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5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CBD4CB-0B63-4085-972E-2CA38C4E09E5}" xr6:coauthVersionLast="47" xr6:coauthVersionMax="47" xr10:uidLastSave="{00000000-0000-0000-0000-000000000000}"/>
  <bookViews>
    <workbookView xWindow="-120" yWindow="-120" windowWidth="38640" windowHeight="15720" tabRatio="641" firstSheet="1" activeTab="1"/>
  </bookViews>
  <sheets>
    <sheet name="Preset Scenarios" sheetId="1" state="hidden" r:id="rId1"/>
    <sheet name="Assum" sheetId="2" r:id="rId2"/>
    <sheet name="Sensitivity" sheetId="27" r:id="rId3"/>
    <sheet name="Power Price" sheetId="3" r:id="rId4"/>
    <sheet name="Inflation" sheetId="26" r:id="rId5"/>
    <sheet name="Sum" sheetId="24" r:id="rId6"/>
    <sheet name="IS" sheetId="4" r:id="rId7"/>
    <sheet name="BS" sheetId="19" r:id="rId8"/>
    <sheet name="CF" sheetId="5" r:id="rId9"/>
    <sheet name="WC" sheetId="23" r:id="rId10"/>
    <sheet name="Debt" sheetId="6" r:id="rId11"/>
    <sheet name="Dep" sheetId="7" r:id="rId12"/>
    <sheet name="Taxes" sheetId="8" r:id="rId13"/>
    <sheet name="Carry" sheetId="20" r:id="rId14"/>
    <sheet name="Draw" sheetId="21" r:id="rId15"/>
    <sheet name="MaintPV" sheetId="25" r:id="rId16"/>
    <sheet name="Maint" sheetId="22" r:id="rId17"/>
    <sheet name="Log" sheetId="18" r:id="rId18"/>
    <sheet name="CapCost" sheetId="28" r:id="rId19"/>
    <sheet name="Scope" sheetId="29" r:id="rId20"/>
    <sheet name="Summary" sheetId="31" r:id="rId21"/>
    <sheet name="Assumptions" sheetId="30" r:id="rId22"/>
    <sheet name="Mob_Estimate" sheetId="32" r:id="rId23"/>
    <sheet name="Mob_Staffing" sheetId="33" r:id="rId24"/>
    <sheet name="Training" sheetId="34" r:id="rId25"/>
    <sheet name="ScopeSplit" sheetId="35" r:id="rId26"/>
    <sheet name="Mob_Backup" sheetId="36" r:id="rId27"/>
    <sheet name="O&amp;M_Estimate" sheetId="37" r:id="rId28"/>
    <sheet name="Plt_Staff" sheetId="38" r:id="rId29"/>
    <sheet name="Pay &amp; Benefits Calculations" sheetId="39" r:id="rId30"/>
    <sheet name="O&amp;M_Backup" sheetId="40" r:id="rId31"/>
    <sheet name="LM6000PC_MMR_Gas" sheetId="41" r:id="rId32"/>
  </sheets>
  <externalReferences>
    <externalReference r:id="rId33"/>
  </externalReferences>
  <definedNames>
    <definedName name="_xlnm._FilterDatabase" localSheetId="26" hidden="1">Mob_Backup!$A$17:$D$268</definedName>
    <definedName name="_xlnm._FilterDatabase" localSheetId="30" hidden="1">'O&amp;M_Backup'!#REF!</definedName>
    <definedName name="ACwvu.jjj." localSheetId="20" hidden="1">Summary!#REF!</definedName>
    <definedName name="annual_hours">Assum!$I$13</definedName>
    <definedName name="availability">Assum!$I$14</definedName>
    <definedName name="BS">BS!$A$1:$S$38</definedName>
    <definedName name="cod">Assum!$I$17</definedName>
    <definedName name="CompleteFilterPrint" localSheetId="30">'O&amp;M_Backup'!$A$2:$D$287</definedName>
    <definedName name="deg_cap">Assum!$I$60</definedName>
    <definedName name="dem_charge">Assum!$I$52</definedName>
    <definedName name="engy_charge">Assum!$I$55</definedName>
    <definedName name="Equity_Copy">BS!$C$35:$S$35</definedName>
    <definedName name="guam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Loan_Copy">BS!$C$28:$S$28</definedName>
    <definedName name="piti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_xlnm.Print_Area" localSheetId="1">Assum!$A$2:$R$90,Assum!$A$94:$T$140</definedName>
    <definedName name="_xlnm.Print_Area" localSheetId="8">CF!$A$2:$S$73,CF!$A$83:$S$114</definedName>
    <definedName name="_xlnm.Print_Area" localSheetId="10">Debt!$A$14:$S$94</definedName>
    <definedName name="_xlnm.Print_Area" localSheetId="11">Dep!$A$2:$AH$46</definedName>
    <definedName name="_xlnm.Print_Area" localSheetId="14">Draw!$A$11:$C$19</definedName>
    <definedName name="_xlnm.Print_Area" localSheetId="6">IS!$A$2:$S$81</definedName>
    <definedName name="_xlnm.Print_Area" localSheetId="17">Log!$A$2:$E$37</definedName>
    <definedName name="_xlnm.Print_Area" localSheetId="16">Maint!$A$1:$T$32</definedName>
    <definedName name="_xlnm.Print_Area" localSheetId="26">Mob_Backup!$E$1:$J$301</definedName>
    <definedName name="_xlnm.Print_Area" localSheetId="22">Mob_Estimate!$A$1:$D$54</definedName>
    <definedName name="_xlnm.Print_Area" localSheetId="30">'O&amp;M_Backup'!$A$1:$D$313</definedName>
    <definedName name="_xlnm.Print_Area" localSheetId="27">'O&amp;M_Estimate'!$A$1:$J$59</definedName>
    <definedName name="_xlnm.Print_Area" localSheetId="29">'Pay &amp; Benefits Calculations'!#REF!</definedName>
    <definedName name="_xlnm.Print_Area" localSheetId="0">'Preset Scenarios'!$A$2:$M$30</definedName>
    <definedName name="_xlnm.Print_Area" localSheetId="25">ScopeSplit!$A$1:$F$122</definedName>
    <definedName name="_xlnm.Print_Area" localSheetId="2">Sensitivity!$A$1:$P$23</definedName>
    <definedName name="_xlnm.Print_Area" localSheetId="5">Sum!$A$1:$T$32</definedName>
    <definedName name="_xlnm.Print_Area" localSheetId="20">Summary!$A$1:$L$52</definedName>
    <definedName name="_xlnm.Print_Area" localSheetId="12">Taxes!$A$2:$R$51</definedName>
    <definedName name="_xlnm.Print_Area" localSheetId="24">Training!$A$1:$I$61</definedName>
    <definedName name="_xlnm.Print_Titles" localSheetId="8">CF!$A:$A</definedName>
    <definedName name="_xlnm.Print_Titles" localSheetId="10">Debt!$A:$A</definedName>
    <definedName name="_xlnm.Print_Titles" localSheetId="11">Dep!$A:$A</definedName>
    <definedName name="_xlnm.Print_Titles" localSheetId="6">IS!$A:$A</definedName>
    <definedName name="_xlnm.Print_Titles" localSheetId="3">'Power Price'!$A:$A</definedName>
    <definedName name="_xlnm.Print_Titles" localSheetId="12">Taxes!$A:$A</definedName>
    <definedName name="SALARY">#REF!</definedName>
    <definedName name="Swvu.jjj." localSheetId="20" hidden="1">Summary!#REF!</definedName>
    <definedName name="UpLt_CommOps" localSheetId="27">'O&amp;M_Estimate'!#REF!</definedName>
    <definedName name="wrn.Ilijan._.Print." localSheetId="19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test1." localSheetId="7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7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7" hidden="1">{"SourcesUses",#N/A,TRUE,#N/A;"TransOverview",#N/A,TRUE,"CFMODEL"}</definedName>
    <definedName name="wrn.test3." hidden="1">{"SourcesUses",#N/A,TRUE,#N/A;"TransOverview",#N/A,TRUE,"CFMODEL"}</definedName>
    <definedName name="wrn.test4." localSheetId="7" hidden="1">{"SourcesUses",#N/A,TRUE,"FundsFlow";"TransOverview",#N/A,TRUE,"FundsFlow"}</definedName>
    <definedName name="wrn.test4." hidden="1">{"SourcesUses",#N/A,TRUE,"FundsFlow";"TransOverview",#N/A,TRUE,"FundsFlow"}</definedName>
    <definedName name="wvu.jjj." localSheetId="20" hidden="1">{TRUE,TRUE,-1.25,-15.5,484.5,276.75,FALSE,TRUE,TRUE,TRUE,0,1,#N/A,30,#N/A,8.4406779661017,23.7692307692308,1,FALSE,FALSE,3,TRUE,1,FALSE,75,"Swvu.jjj.","ACwvu.jjj.",#N/A,FALSE,FALSE,0.5,0.5,0.71,0.77,1,"","&amp;Lkwpierce&amp;C7/31/96&amp;R&amp;F, Rev.1_x000D_Page &amp;P",TRUE,FALSE,FALSE,FALSE,1,#N/A,1,1,FALSE,FALSE,#N/A,#N/A,FALSE,FALSE,FALSE,1,65532,65532,FALSE,FALSE,TRUE,TRUE,TRUE}</definedName>
    <definedName name="Z_23858840_75A3_11D3_9B0F_006097CA9A6E_.wvu.PrintArea" localSheetId="20" hidden="1">Summary!$A$1:$H$58</definedName>
    <definedName name="Z_27B46881_0F5B_11D2_8727_00600802E52E_.wvu.PrintArea" localSheetId="20" hidden="1">Summary!$A$1:$H$53</definedName>
    <definedName name="Z_3653040D_1C03_11D2_AFF6_00805FC918ED_.wvu.PrintArea" localSheetId="14" hidden="1">Draw!$A$1:$AA$32</definedName>
    <definedName name="Z_3653040E_1C03_11D2_AFF6_00805FC918ED_.wvu.PrintArea" localSheetId="14" hidden="1">Draw!$A$1:$AA$32</definedName>
    <definedName name="Z_3653040F_1C03_11D2_AFF6_00805FC918ED_.wvu.PrintArea" localSheetId="14" hidden="1">Draw!$A$1:$AA$32</definedName>
    <definedName name="Z_36530410_1C03_11D2_AFF6_00805FC918ED_.wvu.PrintArea" localSheetId="14" hidden="1">Draw!$A$1:$AA$32</definedName>
    <definedName name="Z_36530411_1C03_11D2_AFF6_00805FC918ED_.wvu.PrintArea" localSheetId="14" hidden="1">Draw!$A$1:$AA$32</definedName>
    <definedName name="Z_36530412_1C03_11D2_AFF6_00805FC918ED_.wvu.PrintArea" localSheetId="14" hidden="1">Draw!$A$1:$AA$32</definedName>
    <definedName name="Z_36530413_1C03_11D2_AFF6_00805FC918ED_.wvu.PrintArea" localSheetId="14" hidden="1">Draw!$A$1:$AA$32</definedName>
    <definedName name="Z_36530414_1C03_11D2_AFF6_00805FC918ED_.wvu.PrintArea" localSheetId="14" hidden="1">Draw!$A$1:$AA$32</definedName>
    <definedName name="Z_36530415_1C03_11D2_AFF6_00805FC918ED_.wvu.PrintArea" localSheetId="14" hidden="1">Draw!$A$1:$AA$32</definedName>
    <definedName name="Z_36530416_1C03_11D2_AFF6_00805FC918ED_.wvu.PrintArea" localSheetId="14" hidden="1">Draw!$A$1:$AA$32</definedName>
    <definedName name="Z_42889D47_02B9_43E3_9871_035CE2C6ABFC_.wvu.Cols" localSheetId="26" hidden="1">Mob_Backup!$A:$D,Mob_Backup!$I:$J</definedName>
    <definedName name="Z_42889D47_02B9_43E3_9871_035CE2C6ABFC_.wvu.FilterData" localSheetId="26" hidden="1">Mob_Backup!$A$17:$D$268</definedName>
    <definedName name="Z_42889D47_02B9_43E3_9871_035CE2C6ABFC_.wvu.PrintArea" localSheetId="26" hidden="1">Mob_Backup!$E$1:$J$301</definedName>
    <definedName name="Z_42889D47_02B9_43E3_9871_035CE2C6ABFC_.wvu.PrintArea" localSheetId="22" hidden="1">Mob_Estimate!$A$1:$D$54</definedName>
    <definedName name="Z_42889D47_02B9_43E3_9871_035CE2C6ABFC_.wvu.PrintArea" localSheetId="30" hidden="1">'O&amp;M_Backup'!$A$1:$D$313</definedName>
    <definedName name="Z_42889D47_02B9_43E3_9871_035CE2C6ABFC_.wvu.PrintArea" localSheetId="27" hidden="1">'O&amp;M_Estimate'!$A$1:$E$63</definedName>
    <definedName name="Z_42889D47_02B9_43E3_9871_035CE2C6ABFC_.wvu.PrintArea" localSheetId="29" hidden="1">'Pay &amp; Benefits Calculations'!#REF!</definedName>
    <definedName name="Z_42889D47_02B9_43E3_9871_035CE2C6ABFC_.wvu.PrintArea" localSheetId="25" hidden="1">ScopeSplit!$A$1:$F$122</definedName>
    <definedName name="Z_42889D47_02B9_43E3_9871_035CE2C6ABFC_.wvu.PrintArea" localSheetId="20" hidden="1">Summary!$A$1:$F$60</definedName>
    <definedName name="Z_42889D47_02B9_43E3_9871_035CE2C6ABFC_.wvu.Rows" localSheetId="31" hidden="1">LM6000PC_MMR_Gas!$37:$70</definedName>
    <definedName name="Z_42889D47_02B9_43E3_9871_035CE2C6ABFC_.wvu.Rows" localSheetId="22" hidden="1">Mob_Estimate!$51:$51</definedName>
    <definedName name="Z_42889D47_02B9_43E3_9871_035CE2C6ABFC_.wvu.Rows" localSheetId="23" hidden="1">Mob_Staffing!$9:$12,Mob_Staffing!$14:$14</definedName>
    <definedName name="Z_42889D47_02B9_43E3_9871_035CE2C6ABFC_.wvu.Rows" localSheetId="27" hidden="1">'O&amp;M_Estimate'!$35:$38</definedName>
    <definedName name="Z_42889D47_02B9_43E3_9871_035CE2C6ABFC_.wvu.Rows" localSheetId="29" hidden="1">'Pay &amp; Benefits Calculations'!#REF!</definedName>
    <definedName name="Z_42889D47_02B9_43E3_9871_035CE2C6ABFC_.wvu.Rows" localSheetId="19" hidden="1">Scope!$50:$50</definedName>
    <definedName name="Z_42889D47_02B9_43E3_9871_035CE2C6ABFC_.wvu.Rows" localSheetId="20" hidden="1">Summary!$24:$24,Summary!$55:$55</definedName>
    <definedName name="Z_44B1FD93_6C50_11D3_9B06_006097CA9A6E_.wvu.PrintArea" localSheetId="20" hidden="1">Summary!$A$1:$H$58</definedName>
    <definedName name="Z_4B3F54DC_ACA1_11D2_B110_00805FC91044_.wvu.PrintArea" localSheetId="14" hidden="1">Draw!$A$1:$AA$52</definedName>
    <definedName name="Z_4B3F54DC_ACA1_11D2_B110_00805FC91044_.wvu.Rows" localSheetId="14" hidden="1">Draw!$27:$27,Draw!#REF!</definedName>
    <definedName name="Z_4B3F5521_ACA1_11D2_B110_00805FC91044_.wvu.PrintArea" localSheetId="14" hidden="1">Draw!$A$1:$AA$52</definedName>
    <definedName name="Z_4B3F5521_ACA1_11D2_B110_00805FC91044_.wvu.Rows" localSheetId="14" hidden="1">Draw!$27:$27,Draw!#REF!</definedName>
    <definedName name="Z_4B3F5522_ACA1_11D2_B110_00805FC91044_.wvu.PrintArea" localSheetId="14" hidden="1">Draw!$A$1:$AA$52</definedName>
    <definedName name="Z_4B3F5522_ACA1_11D2_B110_00805FC91044_.wvu.Rows" localSheetId="14" hidden="1">Draw!$27:$27,Draw!#REF!</definedName>
    <definedName name="Z_50B7DA42_AA2C_11D2_B10A_00805FC91449_.wvu.PrintArea" localSheetId="14" hidden="1">Draw!$A$1:$AA$32</definedName>
    <definedName name="Z_50B7DA43_AA2C_11D2_B10A_00805FC91449_.wvu.PrintArea" localSheetId="14" hidden="1">Draw!$A$1:$AA$32</definedName>
    <definedName name="Z_50B7DA45_AA2C_11D2_B10A_00805FC91449_.wvu.PrintArea" localSheetId="14" hidden="1">Draw!$A$1:$AA$32</definedName>
    <definedName name="Z_50B7DA45_AA2C_11D2_B10A_00805FC91449_.wvu.Rows" localSheetId="14" hidden="1">Draw!$27:$27</definedName>
    <definedName name="Z_50B7DA46_AA2C_11D2_B10A_00805FC91449_.wvu.PrintArea" localSheetId="14" hidden="1">Draw!$A$1:$AA$32</definedName>
    <definedName name="Z_50B7DA46_AA2C_11D2_B10A_00805FC91449_.wvu.Rows" localSheetId="14" hidden="1">Draw!$27:$27</definedName>
    <definedName name="Z_6D91398A_6823_11D2_B084_00805FC91449_.wvu.PrintArea" localSheetId="14" hidden="1">Draw!$A$4:$AA$32</definedName>
    <definedName name="Z_6D91398C_6823_11D2_B084_00805FC91449_.wvu.PrintArea" localSheetId="14" hidden="1">Draw!$A$1:$AA$52</definedName>
    <definedName name="Z_6D91398C_6823_11D2_B084_00805FC91449_.wvu.Rows" localSheetId="14" hidden="1">Draw!#REF!,Draw!$27:$27</definedName>
    <definedName name="Z_6D91398D_6823_11D2_B084_00805FC91449_.wvu.PrintArea" localSheetId="14" hidden="1">Draw!$A$1:$AA$52</definedName>
    <definedName name="Z_6D91398D_6823_11D2_B084_00805FC91449_.wvu.Rows" localSheetId="14" hidden="1">Draw!#REF!,Draw!$27:$27</definedName>
    <definedName name="Z_6D91398E_6823_11D2_B084_00805FC91449_.wvu.PrintArea" localSheetId="14" hidden="1">Draw!$A$1:$AA$52</definedName>
    <definedName name="Z_6D91398E_6823_11D2_B084_00805FC91449_.wvu.Rows" localSheetId="14" hidden="1">Draw!#REF!,Draw!$27:$27</definedName>
    <definedName name="Z_6D91398F_6823_11D2_B084_00805FC91449_.wvu.PrintArea" localSheetId="14" hidden="1">Draw!$A$1:$AA$32</definedName>
    <definedName name="Z_6D91398F_6823_11D2_B084_00805FC91449_.wvu.Rows" localSheetId="14" hidden="1">Draw!$27:$27</definedName>
    <definedName name="Z_6D913990_6823_11D2_B084_00805FC91449_.wvu.PrintArea" localSheetId="14" hidden="1">Draw!$A$1:$AA$32</definedName>
    <definedName name="Z_6D913990_6823_11D2_B084_00805FC91449_.wvu.Rows" localSheetId="14" hidden="1">Draw!$27:$27</definedName>
    <definedName name="Z_6D913991_6823_11D2_B084_00805FC91449_.wvu.PrintArea" localSheetId="14" hidden="1">Draw!$A$1:$AA$32</definedName>
    <definedName name="Z_6D913991_6823_11D2_B084_00805FC91449_.wvu.Rows" localSheetId="14" hidden="1">Draw!$27:$27</definedName>
    <definedName name="Z_6D913992_6823_11D2_B084_00805FC91449_.wvu.PrintArea" localSheetId="14" hidden="1">Draw!$A$1:$AA$32</definedName>
    <definedName name="Z_6D913992_6823_11D2_B084_00805FC91449_.wvu.Rows" localSheetId="14" hidden="1">Draw!$27:$27</definedName>
    <definedName name="Z_6D913993_6823_11D2_B084_00805FC91449_.wvu.PrintArea" localSheetId="14" hidden="1">Draw!$A$1:$AA$32</definedName>
    <definedName name="Z_6D913993_6823_11D2_B084_00805FC91449_.wvu.Rows" localSheetId="14" hidden="1">Draw!$27:$27</definedName>
    <definedName name="Z_6D913994_6823_11D2_B084_00805FC91449_.wvu.PrintArea" localSheetId="14" hidden="1">Draw!$A$1:$AA$32</definedName>
    <definedName name="Z_6D913994_6823_11D2_B084_00805FC91449_.wvu.Rows" localSheetId="14" hidden="1">Draw!$27:$27</definedName>
    <definedName name="Z_6D913995_6823_11D2_B084_00805FC91449_.wvu.PrintArea" localSheetId="14" hidden="1">Draw!$A$1:$AA$32</definedName>
    <definedName name="Z_6D913995_6823_11D2_B084_00805FC91449_.wvu.Rows" localSheetId="14" hidden="1">Draw!$27:$27</definedName>
    <definedName name="Z_6D913997_6823_11D2_B084_00805FC91449_.wvu.PrintArea" localSheetId="14" hidden="1">Draw!$A$1:$AA$32</definedName>
    <definedName name="Z_6D913997_6823_11D2_B084_00805FC91449_.wvu.Rows" localSheetId="14" hidden="1">Draw!$27:$27</definedName>
    <definedName name="Z_6D913999_6823_11D2_B084_00805FC91449_.wvu.PrintArea" localSheetId="14" hidden="1">Draw!$A$1:$AA$52</definedName>
    <definedName name="Z_6D913999_6823_11D2_B084_00805FC91449_.wvu.Rows" localSheetId="14" hidden="1">Draw!#REF!,Draw!$27:$27</definedName>
    <definedName name="Z_76D90A80_B211_11D3_B354_005004B48B2E_.wvu.PrintArea" localSheetId="20" hidden="1">Summary!$A$1:$H$58</definedName>
    <definedName name="Z_7B3B2BED_CD8B_11D3_96CC_0050048E3156_.wvu.Cols" localSheetId="26" hidden="1">Mob_Backup!$A:$D,Mob_Backup!$I:$J</definedName>
    <definedName name="Z_7B3B2BED_CD8B_11D3_96CC_0050048E3156_.wvu.FilterData" localSheetId="26" hidden="1">Mob_Backup!$A$17:$D$268</definedName>
    <definedName name="Z_7B3B2BED_CD8B_11D3_96CC_0050048E3156_.wvu.PrintArea" localSheetId="26" hidden="1">Mob_Backup!$E$1:$J$301</definedName>
    <definedName name="Z_7B3B2BED_CD8B_11D3_96CC_0050048E3156_.wvu.PrintArea" localSheetId="22" hidden="1">Mob_Estimate!$A$1:$D$54</definedName>
    <definedName name="Z_7B3B2BED_CD8B_11D3_96CC_0050048E3156_.wvu.PrintArea" localSheetId="30" hidden="1">'O&amp;M_Backup'!$A$1:$D$313</definedName>
    <definedName name="Z_7B3B2BED_CD8B_11D3_96CC_0050048E3156_.wvu.PrintArea" localSheetId="27" hidden="1">'O&amp;M_Estimate'!$A$1:$E$64</definedName>
    <definedName name="Z_7B3B2BED_CD8B_11D3_96CC_0050048E3156_.wvu.PrintArea" localSheetId="29" hidden="1">'Pay &amp; Benefits Calculations'!#REF!</definedName>
    <definedName name="Z_7B3B2BED_CD8B_11D3_96CC_0050048E3156_.wvu.PrintArea" localSheetId="25" hidden="1">ScopeSplit!$A$1:$F$122</definedName>
    <definedName name="Z_7B3B2BED_CD8B_11D3_96CC_0050048E3156_.wvu.PrintArea" localSheetId="20" hidden="1">Summary!$A$1:$F$60</definedName>
    <definedName name="Z_7B3B2BED_CD8B_11D3_96CC_0050048E3156_.wvu.Rows" localSheetId="31" hidden="1">LM6000PC_MMR_Gas!$37:$70</definedName>
    <definedName name="Z_7B3B2BED_CD8B_11D3_96CC_0050048E3156_.wvu.Rows" localSheetId="22" hidden="1">Mob_Estimate!$41:$42,Mob_Estimate!$51:$51</definedName>
    <definedName name="Z_7B3B2BED_CD8B_11D3_96CC_0050048E3156_.wvu.Rows" localSheetId="23" hidden="1">Mob_Staffing!$9:$10</definedName>
    <definedName name="Z_7B3B2BED_CD8B_11D3_96CC_0050048E3156_.wvu.Rows" localSheetId="30" hidden="1">'O&amp;M_Backup'!$72:$72,'O&amp;M_Backup'!$74:$74,'O&amp;M_Backup'!$239:$241</definedName>
    <definedName name="Z_7B3B2BED_CD8B_11D3_96CC_0050048E3156_.wvu.Rows" localSheetId="27" hidden="1">'O&amp;M_Estimate'!$36:$36,'O&amp;M_Estimate'!$55:$56</definedName>
    <definedName name="Z_7B3B2BED_CD8B_11D3_96CC_0050048E3156_.wvu.Rows" localSheetId="29" hidden="1">'Pay &amp; Benefits Calculations'!#REF!</definedName>
    <definedName name="Z_7B3B2BED_CD8B_11D3_96CC_0050048E3156_.wvu.Rows" localSheetId="19" hidden="1">Scope!$50:$50</definedName>
    <definedName name="Z_7B3B2BED_CD8B_11D3_96CC_0050048E3156_.wvu.Rows" localSheetId="20" hidden="1">Summary!$15:$16,Summary!$24:$24,Summary!$50:$51,Summary!$55:$55</definedName>
    <definedName name="Z_7B8B4280_75B9_11D3_B354_0050048AD64B_.wvu.PrintArea" localSheetId="20" hidden="1">Summary!$A$1:$H$58</definedName>
    <definedName name="Z_7C8030C1_816E_11D3_9B1F_000064657374_.wvu.PrintArea" localSheetId="20" hidden="1">Summary!$A$1:$H$58</definedName>
    <definedName name="Z_82E812EB_35E2_11D2_B016_00805FC918ED_.wvu.PrintArea" localSheetId="14" hidden="1">Draw!$A$1:$AA$32</definedName>
    <definedName name="Z_82E812EC_35E2_11D2_B016_00805FC918ED_.wvu.PrintArea" localSheetId="14" hidden="1">Draw!$A$1:$AA$32</definedName>
    <definedName name="Z_82E812ED_35E2_11D2_B016_00805FC918ED_.wvu.PrintArea" localSheetId="14" hidden="1">Draw!$A$1:$AA$32</definedName>
    <definedName name="Z_82E812EE_35E2_11D2_B016_00805FC918ED_.wvu.PrintArea" localSheetId="14" hidden="1">Draw!$A$1:$AA$32</definedName>
    <definedName name="Z_87D5054C_0AAC_11D2_824B_00A0D1027254_.wvu.PrintArea" localSheetId="13" hidden="1">Carry!$A$2:$G$19</definedName>
    <definedName name="Z_887EA5F3_7E5C_11D3_9B1C_006097CA9A6E_.wvu.PrintArea" localSheetId="20" hidden="1">Summary!$A$1:$H$58</definedName>
    <definedName name="Z_8EEF0F1B_A987_11D2_B109_00805FC91449_.wvu.PrintArea" localSheetId="14" hidden="1">Draw!$A$1:$AA$32</definedName>
    <definedName name="Z_8EEFCF29_2DFA_11D2_B00C_00805FC918ED_.wvu.PrintArea" localSheetId="14" hidden="1">Draw!$A$1:$AA$32</definedName>
    <definedName name="Z_8EEFCF31_2DFA_11D2_B00C_00805FC918ED_.wvu.PrintArea" localSheetId="14" hidden="1">Draw!$A$1:$AA$32</definedName>
    <definedName name="Z_8EEFCF32_2DFA_11D2_B00C_00805FC918ED_.wvu.PrintArea" localSheetId="14" hidden="1">Draw!$A$1:$AA$32</definedName>
    <definedName name="Z_8EEFCF33_2DFA_11D2_B00C_00805FC918ED_.wvu.PrintArea" localSheetId="14" hidden="1">Draw!$A$1:$AA$32</definedName>
    <definedName name="Z_8EEFCF34_2DFA_11D2_B00C_00805FC918ED_.wvu.PrintArea" localSheetId="14" hidden="1">Draw!$A$1:$AA$32</definedName>
    <definedName name="Z_8EEFCF35_2DFA_11D2_B00C_00805FC918ED_.wvu.PrintArea" localSheetId="14" hidden="1">Draw!$A$1:$AA$32</definedName>
    <definedName name="Z_8EEFCF36_2DFA_11D2_B00C_00805FC918ED_.wvu.PrintArea" localSheetId="14" hidden="1">Draw!$A$1:$AA$32</definedName>
    <definedName name="Z_97C9EDC3_809C_11D3_9B1E_006097CA9A6E_.wvu.PrintArea" localSheetId="20" hidden="1">Summary!$A$1:$H$58</definedName>
    <definedName name="Z_ADAAEFB1_7735_11D3_9B11_006097CA9A6E_.wvu.PrintArea" localSheetId="20" hidden="1">Summary!$A$1:$H$58</definedName>
    <definedName name="Z_B14BA500_7FDD_11D3_9B1D_000064657374_.wvu.PrintArea" localSheetId="20" hidden="1">Summary!$A$1:$H$58</definedName>
    <definedName name="Z_DD4FE528_7357_11D3_9B0D_006097CA9A6E_.wvu.PrintArea" localSheetId="20" hidden="1">Summary!$A$1:$H$58</definedName>
    <definedName name="Z_E29E7520_B211_11D3_B354_005004B48B2E_.wvu.PrintArea" localSheetId="20" hidden="1">Summary!$A$1:$H$58</definedName>
    <definedName name="Z_F8408542_C03D_11D2_9A75_00600802E52E_.wvu.PrintArea" localSheetId="20" hidden="1">Summary!$A$1:$H$53</definedName>
    <definedName name="Z_FF2D5A05_A708_11D2_B106_00805FC91449_.wvu.PrintArea" localSheetId="14" hidden="1">Draw!$A$4:$AA$32</definedName>
  </definedNames>
  <calcPr calcId="0" calcMode="autoNoTable" fullCalcOnLoad="1" iterate="1"/>
</workbook>
</file>

<file path=xl/calcChain.xml><?xml version="1.0" encoding="utf-8"?>
<calcChain xmlns="http://schemas.openxmlformats.org/spreadsheetml/2006/main">
  <c r="O9" i="2" l="1"/>
  <c r="B10" i="2"/>
  <c r="C10" i="2"/>
  <c r="D10" i="2"/>
  <c r="B11" i="2"/>
  <c r="C11" i="2"/>
  <c r="D11" i="2"/>
  <c r="I11" i="2"/>
  <c r="O11" i="2"/>
  <c r="B13" i="2"/>
  <c r="C13" i="2"/>
  <c r="D13" i="2"/>
  <c r="C14" i="2"/>
  <c r="I18" i="2"/>
  <c r="B19" i="2"/>
  <c r="C19" i="2"/>
  <c r="D19" i="2"/>
  <c r="I19" i="2"/>
  <c r="B20" i="2"/>
  <c r="C20" i="2"/>
  <c r="D20" i="2"/>
  <c r="B21" i="2"/>
  <c r="C21" i="2"/>
  <c r="D21" i="2"/>
  <c r="B22" i="2"/>
  <c r="D22" i="2"/>
  <c r="I22" i="2"/>
  <c r="B23" i="2"/>
  <c r="D23" i="2"/>
  <c r="B24" i="2"/>
  <c r="D24" i="2"/>
  <c r="C25" i="2"/>
  <c r="D25" i="2"/>
  <c r="B26" i="2"/>
  <c r="C26" i="2"/>
  <c r="D26" i="2"/>
  <c r="I27" i="2"/>
  <c r="J27" i="2"/>
  <c r="O28" i="2"/>
  <c r="P28" i="2"/>
  <c r="Q28" i="2"/>
  <c r="B29" i="2"/>
  <c r="C29" i="2"/>
  <c r="D29" i="2"/>
  <c r="O29" i="2"/>
  <c r="I30" i="2"/>
  <c r="I31" i="2"/>
  <c r="O32" i="2"/>
  <c r="B33" i="2"/>
  <c r="C33" i="2"/>
  <c r="D33" i="2"/>
  <c r="I33" i="2"/>
  <c r="B34" i="2"/>
  <c r="D34" i="2"/>
  <c r="O34" i="2"/>
  <c r="B35" i="2"/>
  <c r="D35" i="2"/>
  <c r="B36" i="2"/>
  <c r="D36" i="2"/>
  <c r="I36" i="2"/>
  <c r="B37" i="2"/>
  <c r="D37" i="2"/>
  <c r="I37" i="2"/>
  <c r="O37" i="2"/>
  <c r="Q37" i="2"/>
  <c r="B38" i="2"/>
  <c r="D38" i="2"/>
  <c r="O38" i="2"/>
  <c r="Q38" i="2"/>
  <c r="B39" i="2"/>
  <c r="D39" i="2"/>
  <c r="H39" i="2"/>
  <c r="I39" i="2"/>
  <c r="J39" i="2"/>
  <c r="K39" i="2"/>
  <c r="O39" i="2"/>
  <c r="Q39" i="2"/>
  <c r="B40" i="2"/>
  <c r="D40" i="2"/>
  <c r="H40" i="2"/>
  <c r="I40" i="2"/>
  <c r="J40" i="2"/>
  <c r="K40" i="2"/>
  <c r="O40" i="2"/>
  <c r="Q40" i="2"/>
  <c r="B41" i="2"/>
  <c r="D41" i="2"/>
  <c r="H41" i="2"/>
  <c r="I41" i="2"/>
  <c r="J41" i="2"/>
  <c r="K41" i="2"/>
  <c r="O41" i="2"/>
  <c r="B42" i="2"/>
  <c r="D42" i="2"/>
  <c r="H42" i="2"/>
  <c r="I42" i="2"/>
  <c r="J42" i="2"/>
  <c r="K42" i="2"/>
  <c r="O42" i="2"/>
  <c r="Q42" i="2"/>
  <c r="B43" i="2"/>
  <c r="D43" i="2"/>
  <c r="B44" i="2"/>
  <c r="D44" i="2"/>
  <c r="B45" i="2"/>
  <c r="D45" i="2"/>
  <c r="Q45" i="2"/>
  <c r="B46" i="2"/>
  <c r="D46" i="2"/>
  <c r="Q46" i="2"/>
  <c r="B47" i="2"/>
  <c r="C47" i="2"/>
  <c r="D47" i="2"/>
  <c r="I47" i="2"/>
  <c r="Q47" i="2"/>
  <c r="I48" i="2"/>
  <c r="Q48" i="2"/>
  <c r="Q49" i="2"/>
  <c r="B50" i="2"/>
  <c r="C50" i="2"/>
  <c r="D50" i="2"/>
  <c r="O50" i="2"/>
  <c r="B51" i="2"/>
  <c r="D51" i="2"/>
  <c r="I51" i="2"/>
  <c r="B52" i="2"/>
  <c r="D52" i="2"/>
  <c r="B53" i="2"/>
  <c r="D53" i="2"/>
  <c r="Q53" i="2"/>
  <c r="C54" i="2"/>
  <c r="G54" i="2"/>
  <c r="Q54" i="2"/>
  <c r="B55" i="2"/>
  <c r="D55" i="2"/>
  <c r="Q55" i="2"/>
  <c r="B56" i="2"/>
  <c r="C56" i="2"/>
  <c r="D56" i="2"/>
  <c r="Q56" i="2"/>
  <c r="I57" i="2"/>
  <c r="O57" i="2"/>
  <c r="I58" i="2"/>
  <c r="B59" i="2"/>
  <c r="C59" i="2"/>
  <c r="D59" i="2"/>
  <c r="B60" i="2"/>
  <c r="C60" i="2"/>
  <c r="D60" i="2"/>
  <c r="I60" i="2"/>
  <c r="B61" i="2"/>
  <c r="C61" i="2"/>
  <c r="D61" i="2"/>
  <c r="I61" i="2"/>
  <c r="B62" i="2"/>
  <c r="C62" i="2"/>
  <c r="D62" i="2"/>
  <c r="C63" i="2"/>
  <c r="B64" i="2"/>
  <c r="C64" i="2"/>
  <c r="D64" i="2"/>
  <c r="B65" i="2"/>
  <c r="C65" i="2"/>
  <c r="D65" i="2"/>
  <c r="B66" i="2"/>
  <c r="C66" i="2"/>
  <c r="D66" i="2"/>
  <c r="B67" i="2"/>
  <c r="C67" i="2"/>
  <c r="D67" i="2"/>
  <c r="I69" i="2"/>
  <c r="I70" i="2"/>
  <c r="B71" i="2"/>
  <c r="C71" i="2"/>
  <c r="D71" i="2"/>
  <c r="B72" i="2"/>
  <c r="D72" i="2"/>
  <c r="B73" i="2"/>
  <c r="D73" i="2"/>
  <c r="B74" i="2"/>
  <c r="D74" i="2"/>
  <c r="B75" i="2"/>
  <c r="C75" i="2"/>
  <c r="D75" i="2"/>
  <c r="B78" i="2"/>
  <c r="D78" i="2"/>
  <c r="I78" i="2"/>
  <c r="B79" i="2"/>
  <c r="C79" i="2"/>
  <c r="D79" i="2"/>
  <c r="B80" i="2"/>
  <c r="D80" i="2"/>
  <c r="B81" i="2"/>
  <c r="C81" i="2"/>
  <c r="D81" i="2"/>
  <c r="B83" i="2"/>
  <c r="C83" i="2"/>
  <c r="D83" i="2"/>
  <c r="B84" i="2"/>
  <c r="C84" i="2"/>
  <c r="D84" i="2"/>
  <c r="I84" i="2"/>
  <c r="B87" i="2"/>
  <c r="C87" i="2"/>
  <c r="D87" i="2"/>
  <c r="B88" i="2"/>
  <c r="C88" i="2"/>
  <c r="D88" i="2"/>
  <c r="B89" i="2"/>
  <c r="C89" i="2"/>
  <c r="D89" i="2"/>
  <c r="B91" i="2"/>
  <c r="C91" i="2"/>
  <c r="D91" i="2"/>
  <c r="B110" i="2"/>
  <c r="E110" i="2"/>
  <c r="E111" i="2"/>
  <c r="E112" i="2"/>
  <c r="I112" i="2"/>
  <c r="C116" i="2"/>
  <c r="D116" i="2"/>
  <c r="E116" i="2"/>
  <c r="E117" i="2"/>
  <c r="B118" i="2"/>
  <c r="C118" i="2"/>
  <c r="D118" i="2"/>
  <c r="E118" i="2"/>
  <c r="B130" i="2"/>
  <c r="C131" i="2"/>
  <c r="B132" i="2"/>
  <c r="C132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A1" i="30"/>
  <c r="A1" i="19"/>
  <c r="T3" i="19"/>
  <c r="U3" i="19"/>
  <c r="V3" i="19"/>
  <c r="W3" i="19"/>
  <c r="X3" i="19"/>
  <c r="Y3" i="19"/>
  <c r="Z3" i="19"/>
  <c r="AA3" i="19"/>
  <c r="AB3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19"/>
  <c r="AB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AB36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B15" i="28"/>
  <c r="B22" i="28"/>
  <c r="B24" i="28"/>
  <c r="B25" i="28"/>
  <c r="B27" i="28"/>
  <c r="B28" i="28"/>
  <c r="B29" i="28"/>
  <c r="B31" i="28"/>
  <c r="B33" i="28"/>
  <c r="B37" i="28"/>
  <c r="A1" i="20"/>
  <c r="C6" i="20"/>
  <c r="D6" i="20"/>
  <c r="E6" i="20"/>
  <c r="F6" i="20"/>
  <c r="B13" i="20"/>
  <c r="C13" i="20"/>
  <c r="E13" i="20"/>
  <c r="B14" i="20"/>
  <c r="C14" i="20"/>
  <c r="E14" i="20"/>
  <c r="B15" i="20"/>
  <c r="C15" i="20"/>
  <c r="E15" i="20"/>
  <c r="B16" i="20"/>
  <c r="C16" i="20"/>
  <c r="E16" i="20"/>
  <c r="B17" i="20"/>
  <c r="C17" i="20"/>
  <c r="E17" i="20"/>
  <c r="B18" i="20"/>
  <c r="C18" i="20"/>
  <c r="E18" i="20"/>
  <c r="B19" i="20"/>
  <c r="C19" i="20"/>
  <c r="E19" i="20"/>
  <c r="B20" i="20"/>
  <c r="C20" i="20"/>
  <c r="E20" i="20"/>
  <c r="A2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B32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B37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B43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B52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B59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B63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B66" i="5"/>
  <c r="A72" i="5"/>
  <c r="B72" i="5"/>
  <c r="A73" i="5"/>
  <c r="B73" i="5"/>
  <c r="B7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1" i="6"/>
  <c r="F5" i="6"/>
  <c r="L5" i="6"/>
  <c r="R5" i="6"/>
  <c r="F6" i="6"/>
  <c r="L6" i="6"/>
  <c r="R6" i="6"/>
  <c r="F7" i="6"/>
  <c r="L7" i="6"/>
  <c r="R7" i="6"/>
  <c r="F8" i="6"/>
  <c r="L8" i="6"/>
  <c r="R8" i="6"/>
  <c r="F10" i="6"/>
  <c r="L10" i="6"/>
  <c r="R10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B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B24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30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B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B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46" i="6"/>
  <c r="A47" i="6"/>
  <c r="A52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A62" i="6"/>
  <c r="A63" i="6"/>
  <c r="A68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B93" i="6"/>
  <c r="B94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B102" i="6"/>
  <c r="A2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D9" i="7"/>
  <c r="B14" i="7"/>
  <c r="B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B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B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B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B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B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B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B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B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B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B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B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B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B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B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B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1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C11" i="21"/>
  <c r="D11" i="21"/>
  <c r="K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C16" i="21"/>
  <c r="D16" i="21"/>
  <c r="T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D22" i="21"/>
  <c r="E22" i="21"/>
  <c r="F22" i="21"/>
  <c r="D23" i="21"/>
  <c r="E23" i="21"/>
  <c r="F23" i="21"/>
  <c r="D24" i="21"/>
  <c r="F24" i="21"/>
  <c r="D25" i="21"/>
  <c r="E25" i="21"/>
  <c r="F25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B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B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2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C34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T89" i="4"/>
  <c r="U89" i="4"/>
  <c r="V89" i="4"/>
  <c r="W89" i="4"/>
  <c r="X89" i="4"/>
  <c r="Y89" i="4"/>
  <c r="Z89" i="4"/>
  <c r="AA89" i="4"/>
  <c r="AB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D93" i="4"/>
  <c r="D93" i="4" a="1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1" i="41"/>
  <c r="H6" i="41"/>
  <c r="H7" i="41"/>
  <c r="H8" i="41"/>
  <c r="H9" i="41"/>
  <c r="D13" i="41"/>
  <c r="C22" i="41"/>
  <c r="D22" i="41"/>
  <c r="E22" i="41"/>
  <c r="F22" i="41"/>
  <c r="G22" i="41"/>
  <c r="H22" i="41"/>
  <c r="I22" i="41"/>
  <c r="J22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B24" i="41"/>
  <c r="C24" i="41"/>
  <c r="D24" i="41"/>
  <c r="E24" i="41"/>
  <c r="F24" i="41"/>
  <c r="G24" i="41"/>
  <c r="H24" i="41"/>
  <c r="I24" i="41"/>
  <c r="J24" i="41"/>
  <c r="K24" i="41"/>
  <c r="L24" i="41"/>
  <c r="M24" i="41"/>
  <c r="N24" i="41"/>
  <c r="O24" i="41"/>
  <c r="P24" i="41"/>
  <c r="Q24" i="41"/>
  <c r="R24" i="41"/>
  <c r="S24" i="41"/>
  <c r="T24" i="41"/>
  <c r="U24" i="41"/>
  <c r="V24" i="41"/>
  <c r="C25" i="41"/>
  <c r="D25" i="41"/>
  <c r="E25" i="41"/>
  <c r="F25" i="41"/>
  <c r="G25" i="41"/>
  <c r="H25" i="41"/>
  <c r="I25" i="41"/>
  <c r="J25" i="41"/>
  <c r="K25" i="41"/>
  <c r="L25" i="41"/>
  <c r="M25" i="41"/>
  <c r="N25" i="41"/>
  <c r="O25" i="41"/>
  <c r="P25" i="41"/>
  <c r="Q25" i="41"/>
  <c r="R25" i="41"/>
  <c r="S25" i="41"/>
  <c r="T25" i="41"/>
  <c r="U25" i="41"/>
  <c r="V25" i="41"/>
  <c r="B26" i="41"/>
  <c r="C26" i="41"/>
  <c r="D26" i="41"/>
  <c r="E26" i="41"/>
  <c r="F26" i="41"/>
  <c r="G26" i="41"/>
  <c r="H26" i="41"/>
  <c r="I26" i="41"/>
  <c r="J26" i="41"/>
  <c r="K26" i="41"/>
  <c r="L26" i="41"/>
  <c r="M26" i="41"/>
  <c r="N26" i="41"/>
  <c r="O26" i="41"/>
  <c r="P26" i="41"/>
  <c r="Q26" i="41"/>
  <c r="R26" i="41"/>
  <c r="S26" i="41"/>
  <c r="T26" i="41"/>
  <c r="U26" i="41"/>
  <c r="V26" i="41"/>
  <c r="C27" i="41"/>
  <c r="D27" i="41"/>
  <c r="E27" i="41"/>
  <c r="F27" i="41"/>
  <c r="G27" i="41"/>
  <c r="H27" i="41"/>
  <c r="I27" i="41"/>
  <c r="J27" i="41"/>
  <c r="K27" i="41"/>
  <c r="L27" i="41"/>
  <c r="M27" i="41"/>
  <c r="N27" i="41"/>
  <c r="O27" i="41"/>
  <c r="P27" i="41"/>
  <c r="Q27" i="41"/>
  <c r="R27" i="41"/>
  <c r="S27" i="41"/>
  <c r="T27" i="41"/>
  <c r="U27" i="41"/>
  <c r="V27" i="41"/>
  <c r="B28" i="41"/>
  <c r="C28" i="41"/>
  <c r="D28" i="41"/>
  <c r="E28" i="41"/>
  <c r="F28" i="41"/>
  <c r="G28" i="41"/>
  <c r="H28" i="41"/>
  <c r="I28" i="41"/>
  <c r="J28" i="41"/>
  <c r="K28" i="41"/>
  <c r="L28" i="41"/>
  <c r="M28" i="41"/>
  <c r="N28" i="41"/>
  <c r="O28" i="41"/>
  <c r="P28" i="41"/>
  <c r="Q28" i="41"/>
  <c r="R28" i="41"/>
  <c r="S28" i="41"/>
  <c r="T28" i="41"/>
  <c r="U28" i="41"/>
  <c r="V28" i="41"/>
  <c r="B29" i="41"/>
  <c r="C29" i="41"/>
  <c r="D29" i="41"/>
  <c r="E29" i="41"/>
  <c r="F29" i="41"/>
  <c r="G29" i="41"/>
  <c r="H29" i="41"/>
  <c r="I29" i="41"/>
  <c r="J29" i="41"/>
  <c r="K29" i="41"/>
  <c r="L29" i="41"/>
  <c r="M29" i="41"/>
  <c r="N29" i="41"/>
  <c r="O29" i="41"/>
  <c r="P29" i="41"/>
  <c r="Q29" i="41"/>
  <c r="R29" i="41"/>
  <c r="S29" i="41"/>
  <c r="T29" i="41"/>
  <c r="U29" i="41"/>
  <c r="V29" i="41"/>
  <c r="W29" i="41"/>
  <c r="H40" i="41"/>
  <c r="H41" i="41"/>
  <c r="H42" i="41"/>
  <c r="H43" i="41"/>
  <c r="C56" i="41"/>
  <c r="D56" i="41"/>
  <c r="E56" i="41"/>
  <c r="F56" i="41"/>
  <c r="G56" i="41"/>
  <c r="H56" i="41"/>
  <c r="I56" i="41"/>
  <c r="J56" i="41"/>
  <c r="K56" i="41"/>
  <c r="L56" i="41"/>
  <c r="M56" i="41"/>
  <c r="N56" i="41"/>
  <c r="O56" i="41"/>
  <c r="P56" i="41"/>
  <c r="Q56" i="41"/>
  <c r="R56" i="41"/>
  <c r="S56" i="41"/>
  <c r="T56" i="41"/>
  <c r="U56" i="41"/>
  <c r="V56" i="41"/>
  <c r="B58" i="41"/>
  <c r="C58" i="41"/>
  <c r="D58" i="41"/>
  <c r="E58" i="41"/>
  <c r="F58" i="41"/>
  <c r="G58" i="41"/>
  <c r="H58" i="41"/>
  <c r="I58" i="41"/>
  <c r="J58" i="41"/>
  <c r="K58" i="41"/>
  <c r="L58" i="41"/>
  <c r="M58" i="41"/>
  <c r="N58" i="41"/>
  <c r="O58" i="41"/>
  <c r="P58" i="41"/>
  <c r="Q58" i="41"/>
  <c r="R58" i="41"/>
  <c r="S58" i="41"/>
  <c r="T58" i="41"/>
  <c r="U58" i="41"/>
  <c r="V58" i="41"/>
  <c r="C59" i="41"/>
  <c r="D59" i="41"/>
  <c r="E59" i="41"/>
  <c r="F59" i="41"/>
  <c r="G59" i="41"/>
  <c r="H59" i="41"/>
  <c r="I59" i="41"/>
  <c r="J59" i="41"/>
  <c r="K59" i="41"/>
  <c r="L59" i="41"/>
  <c r="M59" i="41"/>
  <c r="N59" i="41"/>
  <c r="O59" i="41"/>
  <c r="P59" i="41"/>
  <c r="Q59" i="41"/>
  <c r="R59" i="41"/>
  <c r="S59" i="41"/>
  <c r="T59" i="41"/>
  <c r="U59" i="41"/>
  <c r="V59" i="41"/>
  <c r="B60" i="41"/>
  <c r="C60" i="41"/>
  <c r="D60" i="41"/>
  <c r="E60" i="41"/>
  <c r="F60" i="41"/>
  <c r="G60" i="41"/>
  <c r="H60" i="41"/>
  <c r="I60" i="41"/>
  <c r="J60" i="41"/>
  <c r="K60" i="41"/>
  <c r="L60" i="41"/>
  <c r="M60" i="41"/>
  <c r="N60" i="41"/>
  <c r="O60" i="41"/>
  <c r="P60" i="41"/>
  <c r="Q60" i="41"/>
  <c r="R60" i="41"/>
  <c r="S60" i="41"/>
  <c r="T60" i="41"/>
  <c r="U60" i="41"/>
  <c r="V60" i="41"/>
  <c r="C61" i="41"/>
  <c r="D61" i="41"/>
  <c r="E61" i="41"/>
  <c r="F61" i="41"/>
  <c r="G61" i="41"/>
  <c r="H61" i="41"/>
  <c r="I61" i="41"/>
  <c r="J61" i="41"/>
  <c r="K61" i="41"/>
  <c r="L61" i="41"/>
  <c r="M61" i="41"/>
  <c r="N61" i="41"/>
  <c r="O61" i="41"/>
  <c r="P61" i="41"/>
  <c r="Q61" i="41"/>
  <c r="R61" i="41"/>
  <c r="S61" i="41"/>
  <c r="T61" i="41"/>
  <c r="U61" i="41"/>
  <c r="V61" i="41"/>
  <c r="B62" i="41"/>
  <c r="C62" i="41"/>
  <c r="D62" i="41"/>
  <c r="E62" i="41"/>
  <c r="F62" i="41"/>
  <c r="G62" i="41"/>
  <c r="H62" i="41"/>
  <c r="I62" i="41"/>
  <c r="J62" i="41"/>
  <c r="K62" i="41"/>
  <c r="L62" i="41"/>
  <c r="M62" i="41"/>
  <c r="N62" i="41"/>
  <c r="O62" i="41"/>
  <c r="P62" i="41"/>
  <c r="Q62" i="41"/>
  <c r="R62" i="41"/>
  <c r="S62" i="41"/>
  <c r="T62" i="41"/>
  <c r="U62" i="41"/>
  <c r="V62" i="41"/>
  <c r="B63" i="41"/>
  <c r="C63" i="41"/>
  <c r="D63" i="41"/>
  <c r="E63" i="41"/>
  <c r="F63" i="41"/>
  <c r="G63" i="41"/>
  <c r="H63" i="41"/>
  <c r="I63" i="41"/>
  <c r="J63" i="41"/>
  <c r="K63" i="41"/>
  <c r="L63" i="41"/>
  <c r="M63" i="41"/>
  <c r="N63" i="41"/>
  <c r="O63" i="41"/>
  <c r="P63" i="41"/>
  <c r="Q63" i="41"/>
  <c r="R63" i="41"/>
  <c r="S63" i="41"/>
  <c r="T63" i="41"/>
  <c r="U63" i="41"/>
  <c r="V63" i="41"/>
  <c r="C64" i="41"/>
  <c r="D64" i="41"/>
  <c r="E64" i="41"/>
  <c r="F64" i="41"/>
  <c r="G64" i="41"/>
  <c r="H64" i="41"/>
  <c r="I64" i="41"/>
  <c r="J64" i="41"/>
  <c r="K64" i="41"/>
  <c r="L64" i="41"/>
  <c r="M64" i="41"/>
  <c r="N64" i="41"/>
  <c r="O64" i="41"/>
  <c r="P64" i="41"/>
  <c r="Q64" i="41"/>
  <c r="R64" i="41"/>
  <c r="S64" i="41"/>
  <c r="T64" i="41"/>
  <c r="U64" i="41"/>
  <c r="V64" i="41"/>
  <c r="A2" i="18"/>
  <c r="A2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Z9" i="22"/>
  <c r="AA9" i="22"/>
  <c r="AB9" i="22"/>
  <c r="AC9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D30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D47" i="22"/>
  <c r="D47" i="22" a="1"/>
  <c r="E47" i="22"/>
  <c r="F47" i="22"/>
  <c r="G47" i="22"/>
  <c r="H47" i="22"/>
  <c r="I47" i="22"/>
  <c r="J47" i="22"/>
  <c r="K47" i="22"/>
  <c r="L47" i="22"/>
  <c r="D48" i="22"/>
  <c r="E48" i="22"/>
  <c r="F48" i="22"/>
  <c r="G48" i="22"/>
  <c r="H48" i="22"/>
  <c r="I48" i="22"/>
  <c r="J48" i="22"/>
  <c r="K48" i="22"/>
  <c r="L48" i="22"/>
  <c r="D49" i="22"/>
  <c r="E49" i="22"/>
  <c r="F49" i="22"/>
  <c r="G49" i="22"/>
  <c r="H49" i="22"/>
  <c r="I49" i="22"/>
  <c r="J49" i="22"/>
  <c r="K49" i="22"/>
  <c r="L49" i="22"/>
  <c r="D50" i="22"/>
  <c r="E50" i="22"/>
  <c r="F50" i="22"/>
  <c r="G50" i="22"/>
  <c r="H50" i="22"/>
  <c r="I50" i="22"/>
  <c r="J50" i="22"/>
  <c r="K50" i="22"/>
  <c r="L50" i="22"/>
  <c r="D51" i="22"/>
  <c r="E51" i="22"/>
  <c r="F51" i="22"/>
  <c r="G51" i="22"/>
  <c r="H51" i="22"/>
  <c r="I51" i="22"/>
  <c r="J51" i="22"/>
  <c r="K51" i="22"/>
  <c r="L51" i="22"/>
  <c r="D52" i="22"/>
  <c r="E52" i="22"/>
  <c r="F52" i="22"/>
  <c r="G52" i="22"/>
  <c r="H52" i="22"/>
  <c r="I52" i="22"/>
  <c r="J52" i="22"/>
  <c r="K52" i="22"/>
  <c r="L52" i="22"/>
  <c r="D53" i="22"/>
  <c r="E53" i="22"/>
  <c r="F53" i="22"/>
  <c r="G53" i="22"/>
  <c r="H53" i="22"/>
  <c r="I53" i="22"/>
  <c r="J53" i="22"/>
  <c r="K53" i="22"/>
  <c r="L53" i="22"/>
  <c r="D54" i="22"/>
  <c r="E54" i="22"/>
  <c r="F54" i="22"/>
  <c r="G54" i="22"/>
  <c r="H54" i="22"/>
  <c r="I54" i="22"/>
  <c r="J54" i="22"/>
  <c r="K54" i="22"/>
  <c r="L54" i="22"/>
  <c r="D55" i="22"/>
  <c r="E55" i="22"/>
  <c r="F55" i="22"/>
  <c r="G55" i="22"/>
  <c r="H55" i="22"/>
  <c r="I55" i="22"/>
  <c r="J55" i="22"/>
  <c r="K55" i="22"/>
  <c r="L55" i="22"/>
  <c r="D56" i="22"/>
  <c r="E56" i="22"/>
  <c r="F56" i="22"/>
  <c r="G56" i="22"/>
  <c r="H56" i="22"/>
  <c r="I56" i="22"/>
  <c r="J56" i="22"/>
  <c r="K56" i="22"/>
  <c r="L56" i="22"/>
  <c r="D57" i="22"/>
  <c r="E57" i="22"/>
  <c r="F57" i="22"/>
  <c r="G57" i="22"/>
  <c r="H57" i="22"/>
  <c r="I57" i="22"/>
  <c r="J57" i="22"/>
  <c r="K57" i="22"/>
  <c r="L57" i="22"/>
  <c r="D58" i="22"/>
  <c r="E58" i="22"/>
  <c r="F58" i="22"/>
  <c r="G58" i="22"/>
  <c r="H58" i="22"/>
  <c r="I58" i="22"/>
  <c r="J58" i="22"/>
  <c r="K58" i="22"/>
  <c r="L58" i="22"/>
  <c r="D59" i="22"/>
  <c r="E59" i="22"/>
  <c r="F59" i="22"/>
  <c r="G59" i="22"/>
  <c r="H59" i="22"/>
  <c r="I59" i="22"/>
  <c r="J59" i="22"/>
  <c r="K59" i="22"/>
  <c r="L59" i="22"/>
  <c r="D60" i="22"/>
  <c r="E60" i="22"/>
  <c r="F60" i="22"/>
  <c r="G60" i="22"/>
  <c r="H60" i="22"/>
  <c r="I60" i="22"/>
  <c r="J60" i="22"/>
  <c r="K60" i="22"/>
  <c r="L60" i="22"/>
  <c r="D61" i="22"/>
  <c r="E61" i="22"/>
  <c r="F61" i="22"/>
  <c r="G61" i="22"/>
  <c r="H61" i="22"/>
  <c r="I61" i="22"/>
  <c r="J61" i="22"/>
  <c r="K61" i="22"/>
  <c r="L61" i="22"/>
  <c r="D62" i="22"/>
  <c r="E62" i="22"/>
  <c r="F62" i="22"/>
  <c r="G62" i="22"/>
  <c r="H62" i="22"/>
  <c r="I62" i="22"/>
  <c r="J62" i="22"/>
  <c r="K62" i="22"/>
  <c r="L62" i="22"/>
  <c r="D63" i="22"/>
  <c r="E63" i="22"/>
  <c r="F63" i="22"/>
  <c r="G63" i="22"/>
  <c r="H63" i="22"/>
  <c r="I63" i="22"/>
  <c r="J63" i="22"/>
  <c r="K63" i="22"/>
  <c r="L63" i="22"/>
  <c r="E64" i="22"/>
  <c r="F64" i="22"/>
  <c r="G64" i="22"/>
  <c r="H64" i="22"/>
  <c r="I64" i="22"/>
  <c r="J64" i="22"/>
  <c r="K64" i="22"/>
  <c r="L64" i="22"/>
  <c r="A1" i="25"/>
  <c r="B16" i="25"/>
  <c r="B19" i="25"/>
  <c r="C19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C20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B21" i="25"/>
  <c r="C21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B22" i="25"/>
  <c r="C22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B23" i="25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B24" i="25"/>
  <c r="C24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B26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B33" i="25"/>
  <c r="B36" i="25"/>
  <c r="C36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C37" i="25"/>
  <c r="D37" i="25"/>
  <c r="E37" i="25"/>
  <c r="F37" i="25"/>
  <c r="G37" i="25"/>
  <c r="H37" i="25"/>
  <c r="I37" i="25"/>
  <c r="J37" i="25"/>
  <c r="K37" i="25"/>
  <c r="L37" i="25"/>
  <c r="M37" i="25"/>
  <c r="N37" i="25"/>
  <c r="O37" i="25"/>
  <c r="P37" i="25"/>
  <c r="Q37" i="25"/>
  <c r="R37" i="25"/>
  <c r="B38" i="25"/>
  <c r="C38" i="25"/>
  <c r="D38" i="25"/>
  <c r="E38" i="25"/>
  <c r="F38" i="25"/>
  <c r="G38" i="25"/>
  <c r="H38" i="25"/>
  <c r="I38" i="25"/>
  <c r="J38" i="25"/>
  <c r="K38" i="25"/>
  <c r="L38" i="25"/>
  <c r="M38" i="25"/>
  <c r="N38" i="25"/>
  <c r="O38" i="25"/>
  <c r="P38" i="25"/>
  <c r="Q38" i="25"/>
  <c r="R38" i="25"/>
  <c r="B39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B40" i="25"/>
  <c r="C40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B41" i="25"/>
  <c r="C41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B43" i="25"/>
  <c r="C43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E3" i="36"/>
  <c r="A6" i="36"/>
  <c r="I6" i="36"/>
  <c r="J6" i="36"/>
  <c r="H7" i="36"/>
  <c r="I7" i="36"/>
  <c r="J7" i="36"/>
  <c r="H8" i="36"/>
  <c r="I8" i="36"/>
  <c r="J8" i="36"/>
  <c r="I9" i="36"/>
  <c r="J9" i="36"/>
  <c r="I10" i="36"/>
  <c r="J10" i="36"/>
  <c r="I11" i="36"/>
  <c r="J11" i="36"/>
  <c r="I12" i="36"/>
  <c r="J12" i="36"/>
  <c r="I13" i="36"/>
  <c r="J13" i="36"/>
  <c r="I14" i="36"/>
  <c r="J14" i="36"/>
  <c r="I15" i="36"/>
  <c r="J15" i="36"/>
  <c r="H16" i="36"/>
  <c r="I16" i="36"/>
  <c r="J16" i="36"/>
  <c r="H18" i="36"/>
  <c r="I18" i="36"/>
  <c r="J18" i="36"/>
  <c r="I19" i="36"/>
  <c r="J19" i="36"/>
  <c r="I20" i="36"/>
  <c r="J20" i="36"/>
  <c r="I21" i="36"/>
  <c r="J21" i="36"/>
  <c r="H22" i="36"/>
  <c r="I22" i="36"/>
  <c r="J22" i="36"/>
  <c r="A24" i="36"/>
  <c r="H24" i="36"/>
  <c r="I24" i="36"/>
  <c r="I25" i="36"/>
  <c r="I26" i="36"/>
  <c r="H28" i="36"/>
  <c r="I28" i="36"/>
  <c r="J28" i="36"/>
  <c r="H30" i="36"/>
  <c r="A31" i="36"/>
  <c r="H31" i="36"/>
  <c r="I31" i="36"/>
  <c r="J31" i="36"/>
  <c r="A32" i="36"/>
  <c r="I32" i="36"/>
  <c r="J32" i="36"/>
  <c r="H33" i="36"/>
  <c r="I33" i="36"/>
  <c r="J33" i="36"/>
  <c r="I34" i="36"/>
  <c r="J34" i="36"/>
  <c r="H36" i="36"/>
  <c r="I36" i="36"/>
  <c r="J36" i="36"/>
  <c r="H38" i="36"/>
  <c r="I39" i="36"/>
  <c r="J39" i="36"/>
  <c r="I40" i="36"/>
  <c r="J40" i="36"/>
  <c r="H42" i="36"/>
  <c r="I42" i="36"/>
  <c r="J42" i="36"/>
  <c r="A44" i="36"/>
  <c r="I44" i="36"/>
  <c r="J44" i="36"/>
  <c r="A45" i="36"/>
  <c r="I45" i="36"/>
  <c r="J45" i="36"/>
  <c r="A46" i="36"/>
  <c r="H46" i="36"/>
  <c r="I46" i="36"/>
  <c r="J46" i="36"/>
  <c r="A47" i="36"/>
  <c r="I47" i="36"/>
  <c r="J47" i="36"/>
  <c r="I48" i="36"/>
  <c r="J48" i="36"/>
  <c r="A49" i="36"/>
  <c r="H49" i="36"/>
  <c r="I49" i="36"/>
  <c r="J49" i="36"/>
  <c r="A50" i="36"/>
  <c r="H50" i="36"/>
  <c r="I50" i="36"/>
  <c r="J50" i="36"/>
  <c r="A51" i="36"/>
  <c r="H51" i="36"/>
  <c r="I51" i="36"/>
  <c r="J51" i="36"/>
  <c r="H52" i="36"/>
  <c r="H53" i="36"/>
  <c r="I54" i="36"/>
  <c r="J54" i="36"/>
  <c r="I55" i="36"/>
  <c r="J55" i="36"/>
  <c r="H56" i="36"/>
  <c r="I56" i="36"/>
  <c r="J56" i="36"/>
  <c r="A58" i="36"/>
  <c r="I58" i="36"/>
  <c r="J58" i="36"/>
  <c r="H59" i="36"/>
  <c r="H60" i="36"/>
  <c r="I60" i="36"/>
  <c r="J60" i="36"/>
  <c r="I62" i="36"/>
  <c r="A63" i="36"/>
  <c r="I63" i="36"/>
  <c r="A64" i="36"/>
  <c r="H64" i="36"/>
  <c r="I64" i="36"/>
  <c r="A65" i="36"/>
  <c r="I65" i="36"/>
  <c r="A66" i="36"/>
  <c r="I66" i="36"/>
  <c r="H68" i="36"/>
  <c r="I68" i="36"/>
  <c r="J68" i="36"/>
  <c r="A70" i="36"/>
  <c r="H70" i="36"/>
  <c r="I70" i="36"/>
  <c r="A71" i="36"/>
  <c r="H71" i="36"/>
  <c r="I71" i="36"/>
  <c r="A72" i="36"/>
  <c r="H72" i="36"/>
  <c r="I72" i="36"/>
  <c r="H74" i="36"/>
  <c r="I74" i="36"/>
  <c r="J74" i="36"/>
  <c r="A76" i="36"/>
  <c r="I76" i="36"/>
  <c r="A77" i="36"/>
  <c r="I77" i="36"/>
  <c r="A78" i="36"/>
  <c r="I78" i="36"/>
  <c r="A79" i="36"/>
  <c r="I79" i="36"/>
  <c r="I80" i="36"/>
  <c r="H82" i="36"/>
  <c r="I82" i="36"/>
  <c r="J82" i="36"/>
  <c r="A84" i="36"/>
  <c r="H84" i="36"/>
  <c r="I84" i="36"/>
  <c r="J84" i="36"/>
  <c r="A85" i="36"/>
  <c r="I85" i="36"/>
  <c r="J85" i="36"/>
  <c r="A86" i="36"/>
  <c r="I86" i="36"/>
  <c r="J86" i="36"/>
  <c r="A87" i="36"/>
  <c r="I87" i="36"/>
  <c r="J87" i="36"/>
  <c r="A88" i="36"/>
  <c r="I88" i="36"/>
  <c r="J88" i="36"/>
  <c r="A89" i="36"/>
  <c r="I89" i="36"/>
  <c r="J89" i="36"/>
  <c r="A90" i="36"/>
  <c r="I90" i="36"/>
  <c r="J90" i="36"/>
  <c r="A91" i="36"/>
  <c r="I91" i="36"/>
  <c r="J91" i="36"/>
  <c r="A92" i="36"/>
  <c r="I92" i="36"/>
  <c r="J92" i="36"/>
  <c r="A93" i="36"/>
  <c r="I93" i="36"/>
  <c r="J93" i="36"/>
  <c r="A94" i="36"/>
  <c r="I94" i="36"/>
  <c r="J94" i="36"/>
  <c r="A95" i="36"/>
  <c r="I95" i="36"/>
  <c r="J95" i="36"/>
  <c r="A96" i="36"/>
  <c r="I96" i="36"/>
  <c r="J96" i="36"/>
  <c r="A97" i="36"/>
  <c r="I97" i="36"/>
  <c r="J97" i="36"/>
  <c r="I98" i="36"/>
  <c r="J98" i="36"/>
  <c r="H99" i="36"/>
  <c r="I99" i="36"/>
  <c r="J99" i="36"/>
  <c r="A101" i="36"/>
  <c r="I101" i="36"/>
  <c r="J101" i="36"/>
  <c r="A102" i="36"/>
  <c r="I102" i="36"/>
  <c r="J102" i="36"/>
  <c r="I103" i="36"/>
  <c r="J103" i="36"/>
  <c r="A104" i="36"/>
  <c r="I104" i="36"/>
  <c r="J104" i="36"/>
  <c r="A105" i="36"/>
  <c r="I105" i="36"/>
  <c r="J105" i="36"/>
  <c r="A106" i="36"/>
  <c r="H106" i="36"/>
  <c r="I106" i="36"/>
  <c r="J106" i="36"/>
  <c r="A107" i="36"/>
  <c r="I107" i="36"/>
  <c r="J107" i="36"/>
  <c r="A108" i="36"/>
  <c r="H108" i="36"/>
  <c r="I108" i="36"/>
  <c r="J108" i="36"/>
  <c r="A109" i="36"/>
  <c r="I109" i="36"/>
  <c r="J109" i="36"/>
  <c r="A110" i="36"/>
  <c r="I110" i="36"/>
  <c r="J110" i="36"/>
  <c r="A111" i="36"/>
  <c r="I111" i="36"/>
  <c r="J111" i="36"/>
  <c r="I112" i="36"/>
  <c r="J112" i="36"/>
  <c r="I113" i="36"/>
  <c r="J113" i="36"/>
  <c r="A114" i="36"/>
  <c r="I114" i="36"/>
  <c r="J114" i="36"/>
  <c r="A115" i="36"/>
  <c r="I115" i="36"/>
  <c r="J115" i="36"/>
  <c r="H116" i="36"/>
  <c r="I116" i="36"/>
  <c r="J116" i="36"/>
  <c r="A117" i="36"/>
  <c r="H118" i="36"/>
  <c r="I118" i="36"/>
  <c r="J118" i="36"/>
  <c r="A120" i="36"/>
  <c r="I120" i="36"/>
  <c r="H121" i="36"/>
  <c r="I121" i="36"/>
  <c r="J121" i="36"/>
  <c r="A123" i="36"/>
  <c r="H123" i="36"/>
  <c r="I123" i="36"/>
  <c r="H124" i="36"/>
  <c r="A125" i="36"/>
  <c r="H125" i="36"/>
  <c r="L125" i="36"/>
  <c r="H126" i="36"/>
  <c r="I126" i="36"/>
  <c r="J126" i="36"/>
  <c r="H128" i="36"/>
  <c r="I128" i="36"/>
  <c r="J128" i="36"/>
  <c r="H129" i="36"/>
  <c r="I129" i="36"/>
  <c r="J129" i="36"/>
  <c r="I130" i="36"/>
  <c r="J130" i="36"/>
  <c r="I131" i="36"/>
  <c r="J131" i="36"/>
  <c r="H133" i="36"/>
  <c r="I133" i="36"/>
  <c r="J133" i="36"/>
  <c r="A135" i="36"/>
  <c r="I135" i="36"/>
  <c r="J135" i="36"/>
  <c r="A136" i="36"/>
  <c r="I136" i="36"/>
  <c r="J136" i="36"/>
  <c r="A137" i="36"/>
  <c r="I137" i="36"/>
  <c r="J137" i="36"/>
  <c r="A138" i="36"/>
  <c r="H138" i="36"/>
  <c r="I138" i="36"/>
  <c r="J138" i="36"/>
  <c r="A139" i="36"/>
  <c r="I139" i="36"/>
  <c r="J139" i="36"/>
  <c r="A140" i="36"/>
  <c r="H140" i="36"/>
  <c r="I140" i="36"/>
  <c r="J140" i="36"/>
  <c r="A141" i="36"/>
  <c r="I141" i="36"/>
  <c r="J141" i="36"/>
  <c r="A142" i="36"/>
  <c r="I142" i="36"/>
  <c r="J142" i="36"/>
  <c r="A143" i="36"/>
  <c r="I143" i="36"/>
  <c r="J143" i="36"/>
  <c r="A144" i="36"/>
  <c r="I144" i="36"/>
  <c r="J144" i="36"/>
  <c r="A145" i="36"/>
  <c r="H145" i="36"/>
  <c r="I145" i="36"/>
  <c r="J145" i="36"/>
  <c r="A146" i="36"/>
  <c r="I146" i="36"/>
  <c r="J146" i="36"/>
  <c r="A147" i="36"/>
  <c r="I147" i="36"/>
  <c r="J147" i="36"/>
  <c r="A148" i="36"/>
  <c r="I148" i="36"/>
  <c r="J148" i="36"/>
  <c r="A149" i="36"/>
  <c r="I149" i="36"/>
  <c r="J149" i="36"/>
  <c r="I150" i="36"/>
  <c r="J150" i="36"/>
  <c r="I151" i="36"/>
  <c r="J151" i="36"/>
  <c r="I152" i="36"/>
  <c r="J152" i="36"/>
  <c r="I153" i="36"/>
  <c r="J153" i="36"/>
  <c r="A154" i="36"/>
  <c r="I154" i="36"/>
  <c r="J154" i="36"/>
  <c r="A155" i="36"/>
  <c r="I155" i="36"/>
  <c r="J155" i="36"/>
  <c r="A156" i="36"/>
  <c r="I156" i="36"/>
  <c r="J156" i="36"/>
  <c r="A157" i="36"/>
  <c r="I157" i="36"/>
  <c r="J157" i="36"/>
  <c r="A158" i="36"/>
  <c r="I158" i="36"/>
  <c r="J158" i="36"/>
  <c r="A159" i="36"/>
  <c r="I159" i="36"/>
  <c r="J159" i="36"/>
  <c r="A160" i="36"/>
  <c r="I160" i="36"/>
  <c r="J160" i="36"/>
  <c r="A161" i="36"/>
  <c r="I161" i="36"/>
  <c r="J161" i="36"/>
  <c r="A162" i="36"/>
  <c r="I162" i="36"/>
  <c r="J162" i="36"/>
  <c r="I163" i="36"/>
  <c r="J163" i="36"/>
  <c r="A164" i="36"/>
  <c r="I164" i="36"/>
  <c r="J164" i="36"/>
  <c r="I165" i="36"/>
  <c r="J165" i="36"/>
  <c r="I166" i="36"/>
  <c r="J166" i="36"/>
  <c r="H167" i="36"/>
  <c r="I167" i="36"/>
  <c r="J167" i="36"/>
  <c r="H169" i="36"/>
  <c r="I169" i="36"/>
  <c r="J169" i="36"/>
  <c r="A171" i="36"/>
  <c r="I171" i="36"/>
  <c r="J171" i="36"/>
  <c r="I172" i="36"/>
  <c r="J172" i="36"/>
  <c r="H173" i="36"/>
  <c r="I173" i="36"/>
  <c r="J173" i="36"/>
  <c r="I174" i="36"/>
  <c r="J174" i="36"/>
  <c r="I175" i="36"/>
  <c r="J175" i="36"/>
  <c r="I176" i="36"/>
  <c r="J176" i="36"/>
  <c r="I177" i="36"/>
  <c r="J177" i="36"/>
  <c r="I178" i="36"/>
  <c r="J178" i="36"/>
  <c r="I179" i="36"/>
  <c r="J179" i="36"/>
  <c r="I180" i="36"/>
  <c r="J180" i="36"/>
  <c r="H181" i="36"/>
  <c r="I181" i="36"/>
  <c r="J181" i="36"/>
  <c r="H183" i="36"/>
  <c r="I183" i="36"/>
  <c r="J183" i="36"/>
  <c r="A185" i="36"/>
  <c r="I185" i="36"/>
  <c r="J185" i="36"/>
  <c r="A186" i="36"/>
  <c r="H186" i="36"/>
  <c r="I186" i="36"/>
  <c r="J186" i="36"/>
  <c r="I187" i="36"/>
  <c r="J187" i="36"/>
  <c r="A188" i="36"/>
  <c r="I188" i="36"/>
  <c r="J188" i="36"/>
  <c r="H189" i="36"/>
  <c r="I189" i="36"/>
  <c r="J189" i="36"/>
  <c r="I190" i="36"/>
  <c r="J190" i="36"/>
  <c r="A191" i="36"/>
  <c r="I191" i="36"/>
  <c r="J191" i="36"/>
  <c r="I192" i="36"/>
  <c r="J192" i="36"/>
  <c r="I193" i="36"/>
  <c r="J193" i="36"/>
  <c r="I194" i="36"/>
  <c r="J194" i="36"/>
  <c r="I195" i="36"/>
  <c r="J195" i="36"/>
  <c r="I196" i="36"/>
  <c r="J196" i="36"/>
  <c r="A197" i="36"/>
  <c r="I197" i="36"/>
  <c r="J197" i="36"/>
  <c r="I198" i="36"/>
  <c r="J198" i="36"/>
  <c r="I199" i="36"/>
  <c r="J199" i="36"/>
  <c r="H201" i="36"/>
  <c r="I201" i="36"/>
  <c r="J201" i="36"/>
  <c r="H203" i="36"/>
  <c r="I203" i="36"/>
  <c r="J203" i="36"/>
  <c r="A205" i="36"/>
  <c r="I205" i="36"/>
  <c r="J205" i="36"/>
  <c r="A206" i="36"/>
  <c r="I206" i="36"/>
  <c r="J206" i="36"/>
  <c r="A207" i="36"/>
  <c r="I207" i="36"/>
  <c r="J207" i="36"/>
  <c r="A208" i="36"/>
  <c r="I208" i="36"/>
  <c r="J208" i="36"/>
  <c r="H209" i="36"/>
  <c r="I209" i="36"/>
  <c r="J209" i="36"/>
  <c r="H211" i="36"/>
  <c r="I211" i="36"/>
  <c r="J211" i="36"/>
  <c r="A213" i="36"/>
  <c r="I213" i="36"/>
  <c r="J213" i="36"/>
  <c r="I214" i="36"/>
  <c r="J214" i="36"/>
  <c r="I215" i="36"/>
  <c r="J215" i="36"/>
  <c r="I216" i="36"/>
  <c r="J216" i="36"/>
  <c r="H217" i="36"/>
  <c r="I217" i="36"/>
  <c r="J217" i="36"/>
  <c r="H219" i="36"/>
  <c r="I219" i="36"/>
  <c r="J219" i="36"/>
  <c r="A221" i="36"/>
  <c r="I221" i="36"/>
  <c r="J221" i="36"/>
  <c r="A222" i="36"/>
  <c r="I222" i="36"/>
  <c r="J222" i="36"/>
  <c r="A223" i="36"/>
  <c r="I223" i="36"/>
  <c r="J223" i="36"/>
  <c r="A224" i="36"/>
  <c r="I224" i="36"/>
  <c r="J224" i="36"/>
  <c r="I225" i="36"/>
  <c r="J225" i="36"/>
  <c r="A226" i="36"/>
  <c r="I226" i="36"/>
  <c r="J226" i="36"/>
  <c r="A227" i="36"/>
  <c r="I227" i="36"/>
  <c r="J227" i="36"/>
  <c r="A228" i="36"/>
  <c r="I228" i="36"/>
  <c r="J228" i="36"/>
  <c r="I229" i="36"/>
  <c r="J229" i="36"/>
  <c r="I230" i="36"/>
  <c r="J230" i="36"/>
  <c r="I231" i="36"/>
  <c r="J231" i="36"/>
  <c r="I232" i="36"/>
  <c r="J232" i="36"/>
  <c r="A233" i="36"/>
  <c r="I233" i="36"/>
  <c r="J233" i="36"/>
  <c r="I234" i="36"/>
  <c r="J234" i="36"/>
  <c r="I235" i="36"/>
  <c r="J235" i="36"/>
  <c r="I236" i="36"/>
  <c r="J236" i="36"/>
  <c r="I237" i="36"/>
  <c r="J237" i="36"/>
  <c r="A238" i="36"/>
  <c r="H238" i="36"/>
  <c r="I238" i="36"/>
  <c r="J238" i="36"/>
  <c r="A239" i="36"/>
  <c r="I239" i="36"/>
  <c r="J239" i="36"/>
  <c r="I240" i="36"/>
  <c r="J240" i="36"/>
  <c r="I241" i="36"/>
  <c r="J241" i="36"/>
  <c r="I242" i="36"/>
  <c r="J242" i="36"/>
  <c r="I243" i="36"/>
  <c r="J243" i="36"/>
  <c r="A244" i="36"/>
  <c r="I244" i="36"/>
  <c r="J244" i="36"/>
  <c r="I245" i="36"/>
  <c r="J245" i="36"/>
  <c r="I246" i="36"/>
  <c r="J246" i="36"/>
  <c r="I247" i="36"/>
  <c r="J247" i="36"/>
  <c r="I248" i="36"/>
  <c r="J248" i="36"/>
  <c r="I249" i="36"/>
  <c r="J249" i="36"/>
  <c r="A250" i="36"/>
  <c r="I250" i="36"/>
  <c r="J250" i="36"/>
  <c r="I251" i="36"/>
  <c r="J251" i="36"/>
  <c r="I252" i="36"/>
  <c r="J252" i="36"/>
  <c r="I253" i="36"/>
  <c r="J253" i="36"/>
  <c r="I254" i="36"/>
  <c r="J254" i="36"/>
  <c r="I255" i="36"/>
  <c r="J255" i="36"/>
  <c r="I256" i="36"/>
  <c r="J256" i="36"/>
  <c r="I257" i="36"/>
  <c r="J257" i="36"/>
  <c r="I258" i="36"/>
  <c r="J258" i="36"/>
  <c r="I259" i="36"/>
  <c r="J259" i="36"/>
  <c r="I260" i="36"/>
  <c r="J260" i="36"/>
  <c r="I261" i="36"/>
  <c r="J261" i="36"/>
  <c r="I262" i="36"/>
  <c r="J262" i="36"/>
  <c r="I263" i="36"/>
  <c r="J263" i="36"/>
  <c r="A264" i="36"/>
  <c r="I264" i="36"/>
  <c r="J264" i="36"/>
  <c r="I265" i="36"/>
  <c r="J265" i="36"/>
  <c r="I266" i="36"/>
  <c r="J266" i="36"/>
  <c r="H267" i="36"/>
  <c r="I267" i="36"/>
  <c r="J267" i="36"/>
  <c r="H269" i="36"/>
  <c r="I269" i="36"/>
  <c r="I271" i="36"/>
  <c r="J271" i="36"/>
  <c r="I272" i="36"/>
  <c r="J272" i="36"/>
  <c r="H273" i="36"/>
  <c r="I273" i="36"/>
  <c r="J273" i="36"/>
  <c r="H275" i="36"/>
  <c r="I275" i="36"/>
  <c r="J275" i="36"/>
  <c r="I277" i="36"/>
  <c r="J277" i="36"/>
  <c r="I278" i="36"/>
  <c r="J278" i="36"/>
  <c r="I279" i="36"/>
  <c r="J279" i="36"/>
  <c r="H281" i="36"/>
  <c r="I281" i="36"/>
  <c r="J281" i="36"/>
  <c r="I283" i="36"/>
  <c r="J283" i="36"/>
  <c r="I284" i="36"/>
  <c r="J284" i="36"/>
  <c r="I285" i="36"/>
  <c r="J285" i="36"/>
  <c r="I287" i="36"/>
  <c r="J287" i="36"/>
  <c r="I289" i="36"/>
  <c r="J289" i="36"/>
  <c r="H291" i="36"/>
  <c r="I291" i="36"/>
  <c r="J291" i="36"/>
  <c r="I293" i="36"/>
  <c r="J293" i="36"/>
  <c r="I295" i="36"/>
  <c r="J295" i="36"/>
  <c r="I297" i="36"/>
  <c r="J297" i="36"/>
  <c r="I298" i="36"/>
  <c r="J298" i="36"/>
  <c r="H299" i="36"/>
  <c r="I299" i="36"/>
  <c r="J299" i="36"/>
  <c r="I300" i="36"/>
  <c r="J300" i="36"/>
  <c r="H301" i="36"/>
  <c r="I301" i="36"/>
  <c r="J301" i="36"/>
  <c r="A1" i="32"/>
  <c r="D6" i="32"/>
  <c r="D8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4" i="32"/>
  <c r="D28" i="32"/>
  <c r="D29" i="32"/>
  <c r="D30" i="32"/>
  <c r="D31" i="32"/>
  <c r="D32" i="32"/>
  <c r="D33" i="32"/>
  <c r="D34" i="32"/>
  <c r="D36" i="32"/>
  <c r="D38" i="32"/>
  <c r="D45" i="32"/>
  <c r="D47" i="32"/>
  <c r="D50" i="32"/>
  <c r="D51" i="32"/>
  <c r="A1" i="33"/>
  <c r="B8" i="33"/>
  <c r="E8" i="33"/>
  <c r="F8" i="33"/>
  <c r="F9" i="33"/>
  <c r="F10" i="33"/>
  <c r="B11" i="33"/>
  <c r="E11" i="33"/>
  <c r="F11" i="33"/>
  <c r="B12" i="33"/>
  <c r="E12" i="33"/>
  <c r="F12" i="33"/>
  <c r="B13" i="33"/>
  <c r="E13" i="33"/>
  <c r="F13" i="33"/>
  <c r="B14" i="33"/>
  <c r="E14" i="33"/>
  <c r="F14" i="33"/>
  <c r="B19" i="33"/>
  <c r="F19" i="33"/>
  <c r="A3" i="40"/>
  <c r="D6" i="40"/>
  <c r="D7" i="40"/>
  <c r="D8" i="40"/>
  <c r="D9" i="40"/>
  <c r="D13" i="40"/>
  <c r="D15" i="40"/>
  <c r="D16" i="40"/>
  <c r="D18" i="40"/>
  <c r="D19" i="40"/>
  <c r="D22" i="40"/>
  <c r="D24" i="40"/>
  <c r="D25" i="40"/>
  <c r="D26" i="40"/>
  <c r="D30" i="40"/>
  <c r="D35" i="40"/>
  <c r="D41" i="40"/>
  <c r="D47" i="40"/>
  <c r="D50" i="40"/>
  <c r="D52" i="40"/>
  <c r="D61" i="40"/>
  <c r="D65" i="40"/>
  <c r="D66" i="40"/>
  <c r="D71" i="40"/>
  <c r="D87" i="40"/>
  <c r="D89" i="40"/>
  <c r="D90" i="40"/>
  <c r="D92" i="40"/>
  <c r="D96" i="40"/>
  <c r="D97" i="40"/>
  <c r="D99" i="40"/>
  <c r="D101" i="40"/>
  <c r="F101" i="40"/>
  <c r="D103" i="40"/>
  <c r="D111" i="40"/>
  <c r="D113" i="40"/>
  <c r="D115" i="40"/>
  <c r="D116" i="40"/>
  <c r="D120" i="40"/>
  <c r="D124" i="40"/>
  <c r="D134" i="40"/>
  <c r="D136" i="40"/>
  <c r="D138" i="40"/>
  <c r="D144" i="40"/>
  <c r="D146" i="40"/>
  <c r="D152" i="40"/>
  <c r="D154" i="40"/>
  <c r="D156" i="40"/>
  <c r="F156" i="40"/>
  <c r="D162" i="40"/>
  <c r="D163" i="40"/>
  <c r="D165" i="40"/>
  <c r="D171" i="40"/>
  <c r="D173" i="40"/>
  <c r="D175" i="40"/>
  <c r="D182" i="40"/>
  <c r="D184" i="40"/>
  <c r="D186" i="40"/>
  <c r="D187" i="40"/>
  <c r="D192" i="40"/>
  <c r="D194" i="40"/>
  <c r="F196" i="40"/>
  <c r="D203" i="40"/>
  <c r="D205" i="40"/>
  <c r="D214" i="40"/>
  <c r="D216" i="40"/>
  <c r="D224" i="40"/>
  <c r="D226" i="40"/>
  <c r="D234" i="40"/>
  <c r="D236" i="40"/>
  <c r="D253" i="40"/>
  <c r="D255" i="40"/>
  <c r="F255" i="40"/>
  <c r="D264" i="40"/>
  <c r="D267" i="40"/>
  <c r="D270" i="40"/>
  <c r="D272" i="40"/>
  <c r="C274" i="40"/>
  <c r="C275" i="40"/>
  <c r="D278" i="40"/>
  <c r="D282" i="40"/>
  <c r="D284" i="40"/>
  <c r="D287" i="40"/>
  <c r="D290" i="40"/>
  <c r="D294" i="40"/>
  <c r="D301" i="40"/>
  <c r="A1" i="37"/>
  <c r="D8" i="37"/>
  <c r="E8" i="37"/>
  <c r="F8" i="37"/>
  <c r="G8" i="37"/>
  <c r="B11" i="37"/>
  <c r="D11" i="37"/>
  <c r="E11" i="37"/>
  <c r="F11" i="37"/>
  <c r="G11" i="37"/>
  <c r="B12" i="37"/>
  <c r="D12" i="37"/>
  <c r="E12" i="37"/>
  <c r="F12" i="37"/>
  <c r="G12" i="37"/>
  <c r="B13" i="37"/>
  <c r="D13" i="37"/>
  <c r="E13" i="37"/>
  <c r="F13" i="37"/>
  <c r="G13" i="37"/>
  <c r="B14" i="37"/>
  <c r="D14" i="37"/>
  <c r="E14" i="37"/>
  <c r="F14" i="37"/>
  <c r="G14" i="37"/>
  <c r="B15" i="37"/>
  <c r="D15" i="37"/>
  <c r="E15" i="37"/>
  <c r="F15" i="37"/>
  <c r="G15" i="37"/>
  <c r="B16" i="37"/>
  <c r="D16" i="37"/>
  <c r="E16" i="37"/>
  <c r="F16" i="37"/>
  <c r="G16" i="37"/>
  <c r="B17" i="37"/>
  <c r="D17" i="37"/>
  <c r="E17" i="37"/>
  <c r="F17" i="37"/>
  <c r="G17" i="37"/>
  <c r="B18" i="37"/>
  <c r="D18" i="37"/>
  <c r="E18" i="37"/>
  <c r="F18" i="37"/>
  <c r="G18" i="37"/>
  <c r="B19" i="37"/>
  <c r="D19" i="37"/>
  <c r="E19" i="37"/>
  <c r="F19" i="37"/>
  <c r="G19" i="37"/>
  <c r="B20" i="37"/>
  <c r="D20" i="37"/>
  <c r="F20" i="37"/>
  <c r="G20" i="37"/>
  <c r="D22" i="37"/>
  <c r="E22" i="37"/>
  <c r="F22" i="37"/>
  <c r="G22" i="37"/>
  <c r="E24" i="37"/>
  <c r="F24" i="37"/>
  <c r="G24" i="37"/>
  <c r="D25" i="37"/>
  <c r="E25" i="37"/>
  <c r="F25" i="37"/>
  <c r="G25" i="37"/>
  <c r="E26" i="37"/>
  <c r="F26" i="37"/>
  <c r="G26" i="37"/>
  <c r="K28" i="37"/>
  <c r="L28" i="37"/>
  <c r="B29" i="37"/>
  <c r="D29" i="37"/>
  <c r="E29" i="37"/>
  <c r="F29" i="37"/>
  <c r="G29" i="37"/>
  <c r="K29" i="37"/>
  <c r="L29" i="37"/>
  <c r="B30" i="37"/>
  <c r="D30" i="37"/>
  <c r="E30" i="37"/>
  <c r="F30" i="37"/>
  <c r="G30" i="37"/>
  <c r="B31" i="37"/>
  <c r="D31" i="37"/>
  <c r="E31" i="37"/>
  <c r="F31" i="37"/>
  <c r="G31" i="37"/>
  <c r="B32" i="37"/>
  <c r="D32" i="37"/>
  <c r="E32" i="37"/>
  <c r="F32" i="37"/>
  <c r="G32" i="37"/>
  <c r="B33" i="37"/>
  <c r="D33" i="37"/>
  <c r="E33" i="37"/>
  <c r="F33" i="37"/>
  <c r="G33" i="37"/>
  <c r="B34" i="37"/>
  <c r="D34" i="37"/>
  <c r="E34" i="37"/>
  <c r="F34" i="37"/>
  <c r="G34" i="37"/>
  <c r="B35" i="37"/>
  <c r="D35" i="37"/>
  <c r="E35" i="37"/>
  <c r="F35" i="37"/>
  <c r="G35" i="37"/>
  <c r="B36" i="37"/>
  <c r="D36" i="37"/>
  <c r="E36" i="37"/>
  <c r="F36" i="37"/>
  <c r="G36" i="37"/>
  <c r="B37" i="37"/>
  <c r="D37" i="37"/>
  <c r="E37" i="37"/>
  <c r="F37" i="37"/>
  <c r="G37" i="37"/>
  <c r="B38" i="37"/>
  <c r="D38" i="37"/>
  <c r="E38" i="37"/>
  <c r="F38" i="37"/>
  <c r="G38" i="37"/>
  <c r="B39" i="37"/>
  <c r="D39" i="37"/>
  <c r="E39" i="37"/>
  <c r="F39" i="37"/>
  <c r="G39" i="37"/>
  <c r="D41" i="37"/>
  <c r="E41" i="37"/>
  <c r="F41" i="37"/>
  <c r="G41" i="37"/>
  <c r="D43" i="37"/>
  <c r="E43" i="37"/>
  <c r="F43" i="37"/>
  <c r="G43" i="37"/>
  <c r="F45" i="37"/>
  <c r="G45" i="37"/>
  <c r="D47" i="37"/>
  <c r="E47" i="37"/>
  <c r="F47" i="37"/>
  <c r="G47" i="37"/>
  <c r="D50" i="37"/>
  <c r="E55" i="37"/>
  <c r="E57" i="37"/>
  <c r="F57" i="37"/>
  <c r="G57" i="37"/>
  <c r="D59" i="37"/>
  <c r="E59" i="37"/>
  <c r="F59" i="37"/>
  <c r="G59" i="37"/>
  <c r="A1" i="39"/>
  <c r="B11" i="39"/>
  <c r="B12" i="39"/>
  <c r="B13" i="39"/>
  <c r="B14" i="39"/>
  <c r="B15" i="39"/>
  <c r="B16" i="39"/>
  <c r="B17" i="39"/>
  <c r="C28" i="39"/>
  <c r="D28" i="39"/>
  <c r="E28" i="39"/>
  <c r="F28" i="39"/>
  <c r="G28" i="39"/>
  <c r="H28" i="39"/>
  <c r="I28" i="39"/>
  <c r="J28" i="39"/>
  <c r="K28" i="39"/>
  <c r="L28" i="39"/>
  <c r="O28" i="39"/>
  <c r="P28" i="39"/>
  <c r="S28" i="39"/>
  <c r="B29" i="39"/>
  <c r="C29" i="39"/>
  <c r="D29" i="39"/>
  <c r="E29" i="39"/>
  <c r="F29" i="39"/>
  <c r="G29" i="39"/>
  <c r="H29" i="39"/>
  <c r="I29" i="39"/>
  <c r="J29" i="39"/>
  <c r="K29" i="39"/>
  <c r="L29" i="39"/>
  <c r="O29" i="39"/>
  <c r="P29" i="39"/>
  <c r="S29" i="39"/>
  <c r="C30" i="39"/>
  <c r="D30" i="39"/>
  <c r="E30" i="39"/>
  <c r="F30" i="39"/>
  <c r="G30" i="39"/>
  <c r="H30" i="39"/>
  <c r="I30" i="39"/>
  <c r="J30" i="39"/>
  <c r="K30" i="39"/>
  <c r="L30" i="39"/>
  <c r="O30" i="39"/>
  <c r="P30" i="39"/>
  <c r="S30" i="39"/>
  <c r="C31" i="39"/>
  <c r="D31" i="39"/>
  <c r="E31" i="39"/>
  <c r="F31" i="39"/>
  <c r="G31" i="39"/>
  <c r="H31" i="39"/>
  <c r="I31" i="39"/>
  <c r="J31" i="39"/>
  <c r="K31" i="39"/>
  <c r="L31" i="39"/>
  <c r="O31" i="39"/>
  <c r="P31" i="39"/>
  <c r="S31" i="39"/>
  <c r="B33" i="39"/>
  <c r="C33" i="39"/>
  <c r="D33" i="39"/>
  <c r="E33" i="39"/>
  <c r="F33" i="39"/>
  <c r="G33" i="39"/>
  <c r="H33" i="39"/>
  <c r="I33" i="39"/>
  <c r="J33" i="39"/>
  <c r="K33" i="39"/>
  <c r="L33" i="39"/>
  <c r="P33" i="39"/>
  <c r="S33" i="39"/>
  <c r="A34" i="39"/>
  <c r="C34" i="39"/>
  <c r="D34" i="39"/>
  <c r="E34" i="39"/>
  <c r="F34" i="39"/>
  <c r="G34" i="39"/>
  <c r="H34" i="39"/>
  <c r="I34" i="39"/>
  <c r="J34" i="39"/>
  <c r="K34" i="39"/>
  <c r="L34" i="39"/>
  <c r="O34" i="39"/>
  <c r="P34" i="39"/>
  <c r="S34" i="39"/>
  <c r="A35" i="39"/>
  <c r="C35" i="39"/>
  <c r="D35" i="39"/>
  <c r="E35" i="39"/>
  <c r="F35" i="39"/>
  <c r="G35" i="39"/>
  <c r="H35" i="39"/>
  <c r="I35" i="39"/>
  <c r="J35" i="39"/>
  <c r="K35" i="39"/>
  <c r="L35" i="39"/>
  <c r="P35" i="39"/>
  <c r="S35" i="39"/>
  <c r="C44" i="39"/>
  <c r="D44" i="39"/>
  <c r="E44" i="39"/>
  <c r="G44" i="39"/>
  <c r="H44" i="39"/>
  <c r="A46" i="39"/>
  <c r="B46" i="39"/>
  <c r="C46" i="39"/>
  <c r="D46" i="39"/>
  <c r="E46" i="39"/>
  <c r="F46" i="39"/>
  <c r="G46" i="39"/>
  <c r="K46" i="39"/>
  <c r="P46" i="39"/>
  <c r="S46" i="39"/>
  <c r="A47" i="39"/>
  <c r="B47" i="39"/>
  <c r="C47" i="39"/>
  <c r="D47" i="39"/>
  <c r="E47" i="39"/>
  <c r="F47" i="39"/>
  <c r="G47" i="39"/>
  <c r="K47" i="39"/>
  <c r="P47" i="39"/>
  <c r="S47" i="39"/>
  <c r="A48" i="39"/>
  <c r="B48" i="39"/>
  <c r="C48" i="39"/>
  <c r="D48" i="39"/>
  <c r="E48" i="39"/>
  <c r="F48" i="39"/>
  <c r="G48" i="39"/>
  <c r="K48" i="39"/>
  <c r="P48" i="39"/>
  <c r="S48" i="39"/>
  <c r="A49" i="39"/>
  <c r="B49" i="39"/>
  <c r="C49" i="39"/>
  <c r="D49" i="39"/>
  <c r="E49" i="39"/>
  <c r="F49" i="39"/>
  <c r="G49" i="39"/>
  <c r="K49" i="39"/>
  <c r="O49" i="39"/>
  <c r="P49" i="39"/>
  <c r="R49" i="39"/>
  <c r="S49" i="39"/>
  <c r="A51" i="39"/>
  <c r="B51" i="39"/>
  <c r="C51" i="39"/>
  <c r="D51" i="39"/>
  <c r="E51" i="39"/>
  <c r="F51" i="39"/>
  <c r="G51" i="39"/>
  <c r="K51" i="39"/>
  <c r="P51" i="39"/>
  <c r="S51" i="39"/>
  <c r="A52" i="39"/>
  <c r="B52" i="39"/>
  <c r="C52" i="39"/>
  <c r="D52" i="39"/>
  <c r="E52" i="39"/>
  <c r="F52" i="39"/>
  <c r="G52" i="39"/>
  <c r="K52" i="39"/>
  <c r="O52" i="39"/>
  <c r="P52" i="39"/>
  <c r="R52" i="39"/>
  <c r="S52" i="39"/>
  <c r="A53" i="39"/>
  <c r="B53" i="39"/>
  <c r="C53" i="39"/>
  <c r="D53" i="39"/>
  <c r="E53" i="39"/>
  <c r="F53" i="39"/>
  <c r="G53" i="39"/>
  <c r="K53" i="39"/>
  <c r="O53" i="39"/>
  <c r="P53" i="39"/>
  <c r="R53" i="39"/>
  <c r="S53" i="39"/>
  <c r="P55" i="39"/>
  <c r="S55" i="39"/>
  <c r="A1" i="38"/>
  <c r="C8" i="38"/>
  <c r="E8" i="38"/>
  <c r="F8" i="38"/>
  <c r="G8" i="38"/>
  <c r="H8" i="38"/>
  <c r="D10" i="38"/>
  <c r="E10" i="38"/>
  <c r="F10" i="38"/>
  <c r="G10" i="38"/>
  <c r="H10" i="38"/>
  <c r="D11" i="38"/>
  <c r="E11" i="38"/>
  <c r="F11" i="38"/>
  <c r="G11" i="38"/>
  <c r="H11" i="38"/>
  <c r="A13" i="38"/>
  <c r="D14" i="38"/>
  <c r="E14" i="38"/>
  <c r="F14" i="38"/>
  <c r="G14" i="38"/>
  <c r="H14" i="38"/>
  <c r="D15" i="38"/>
  <c r="E15" i="38"/>
  <c r="F15" i="38"/>
  <c r="G15" i="38"/>
  <c r="H15" i="38"/>
  <c r="A16" i="38"/>
  <c r="D17" i="38"/>
  <c r="E17" i="38"/>
  <c r="F17" i="38"/>
  <c r="G17" i="38"/>
  <c r="H17" i="38"/>
  <c r="D18" i="38"/>
  <c r="E18" i="38"/>
  <c r="F18" i="38"/>
  <c r="G18" i="38"/>
  <c r="H18" i="38"/>
  <c r="B22" i="38"/>
  <c r="F22" i="38"/>
  <c r="G22" i="38"/>
  <c r="H22" i="38"/>
  <c r="A2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B23" i="1"/>
  <c r="C23" i="1"/>
  <c r="D23" i="1"/>
  <c r="E23" i="1"/>
  <c r="C28" i="1"/>
  <c r="D28" i="1"/>
  <c r="E28" i="1"/>
  <c r="D12" i="29"/>
  <c r="A1" i="35"/>
  <c r="B7" i="27"/>
  <c r="C10" i="27"/>
  <c r="E10" i="27"/>
  <c r="E11" i="27"/>
  <c r="H11" i="27"/>
  <c r="I11" i="27"/>
  <c r="K11" i="27"/>
  <c r="L11" i="27"/>
  <c r="N11" i="27"/>
  <c r="O11" i="27"/>
  <c r="B12" i="27"/>
  <c r="C12" i="27"/>
  <c r="E12" i="27"/>
  <c r="H12" i="27"/>
  <c r="I12" i="27"/>
  <c r="K12" i="27"/>
  <c r="L12" i="27"/>
  <c r="N12" i="27"/>
  <c r="O12" i="27"/>
  <c r="B13" i="27"/>
  <c r="C13" i="27"/>
  <c r="E13" i="27"/>
  <c r="H13" i="27"/>
  <c r="I13" i="27"/>
  <c r="K13" i="27"/>
  <c r="L13" i="27"/>
  <c r="N13" i="27"/>
  <c r="O13" i="27"/>
  <c r="B14" i="27"/>
  <c r="C14" i="27"/>
  <c r="E14" i="27"/>
  <c r="H14" i="27"/>
  <c r="I14" i="27"/>
  <c r="K14" i="27"/>
  <c r="L14" i="27"/>
  <c r="N14" i="27"/>
  <c r="O14" i="27"/>
  <c r="B15" i="27"/>
  <c r="C15" i="27"/>
  <c r="E15" i="27"/>
  <c r="H15" i="27"/>
  <c r="I15" i="27"/>
  <c r="K15" i="27"/>
  <c r="L15" i="27"/>
  <c r="N15" i="27"/>
  <c r="O15" i="27"/>
  <c r="B16" i="27"/>
  <c r="C16" i="27"/>
  <c r="E16" i="27"/>
  <c r="H16" i="27"/>
  <c r="I16" i="27"/>
  <c r="K16" i="27"/>
  <c r="L16" i="27"/>
  <c r="N16" i="27"/>
  <c r="O16" i="27"/>
  <c r="B17" i="27"/>
  <c r="C17" i="27"/>
  <c r="E17" i="27"/>
  <c r="H17" i="27"/>
  <c r="I17" i="27"/>
  <c r="K17" i="27"/>
  <c r="L17" i="27"/>
  <c r="N17" i="27"/>
  <c r="O17" i="27"/>
  <c r="B18" i="27"/>
  <c r="C18" i="27"/>
  <c r="E18" i="27"/>
  <c r="H18" i="27"/>
  <c r="I18" i="27"/>
  <c r="K18" i="27"/>
  <c r="L18" i="27"/>
  <c r="N18" i="27"/>
  <c r="O18" i="27"/>
  <c r="B19" i="27"/>
  <c r="C19" i="27"/>
  <c r="E19" i="27"/>
  <c r="H19" i="27"/>
  <c r="I19" i="27"/>
  <c r="K19" i="27"/>
  <c r="L19" i="27"/>
  <c r="N19" i="27"/>
  <c r="O19" i="27"/>
  <c r="C32" i="27"/>
  <c r="E32" i="27"/>
  <c r="C33" i="27"/>
  <c r="E33" i="27"/>
  <c r="C34" i="27"/>
  <c r="E34" i="27"/>
  <c r="C35" i="27"/>
  <c r="E35" i="27"/>
  <c r="C36" i="27"/>
  <c r="E36" i="27"/>
  <c r="C37" i="27"/>
  <c r="E37" i="27"/>
  <c r="C38" i="27"/>
  <c r="E38" i="27"/>
  <c r="C39" i="27"/>
  <c r="E39" i="27"/>
  <c r="C40" i="27"/>
  <c r="E40" i="27"/>
  <c r="C41" i="27"/>
  <c r="E41" i="27"/>
  <c r="C44" i="27"/>
  <c r="E44" i="27"/>
  <c r="C45" i="27"/>
  <c r="E45" i="27"/>
  <c r="C46" i="27"/>
  <c r="E46" i="27"/>
  <c r="C47" i="27"/>
  <c r="E47" i="27"/>
  <c r="C48" i="27"/>
  <c r="E48" i="27"/>
  <c r="C49" i="27"/>
  <c r="E49" i="27"/>
  <c r="C50" i="27"/>
  <c r="E50" i="27"/>
  <c r="C51" i="27"/>
  <c r="E51" i="27"/>
  <c r="C52" i="27"/>
  <c r="E52" i="27"/>
  <c r="C53" i="27"/>
  <c r="E53" i="27"/>
  <c r="C56" i="27"/>
  <c r="E56" i="27"/>
  <c r="C57" i="27"/>
  <c r="E57" i="27"/>
  <c r="C58" i="27"/>
  <c r="E58" i="27"/>
  <c r="C59" i="27"/>
  <c r="E59" i="27"/>
  <c r="C60" i="27"/>
  <c r="E60" i="27"/>
  <c r="C61" i="27"/>
  <c r="E61" i="27"/>
  <c r="C62" i="27"/>
  <c r="E62" i="27"/>
  <c r="C63" i="27"/>
  <c r="E63" i="27"/>
  <c r="C64" i="27"/>
  <c r="E64" i="27"/>
  <c r="C65" i="27"/>
  <c r="E65" i="27"/>
  <c r="A2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Z6" i="24"/>
  <c r="AA6" i="24"/>
  <c r="AB6" i="24"/>
  <c r="AC6" i="24"/>
  <c r="B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B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B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Z10" i="24"/>
  <c r="AA10" i="24"/>
  <c r="AB10" i="24"/>
  <c r="AC10" i="24"/>
  <c r="B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B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B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B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B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B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B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B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B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B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B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P25" i="24"/>
  <c r="Q25" i="24"/>
  <c r="R25" i="24"/>
  <c r="S25" i="24"/>
  <c r="T25" i="24"/>
  <c r="U25" i="24"/>
  <c r="V25" i="24"/>
  <c r="W25" i="24"/>
  <c r="X25" i="24"/>
  <c r="Y25" i="24"/>
  <c r="Z25" i="24"/>
  <c r="AA25" i="24"/>
  <c r="AB25" i="24"/>
  <c r="AC25" i="24"/>
  <c r="B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B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B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B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9" i="24"/>
  <c r="B60" i="24"/>
  <c r="A1" i="31"/>
  <c r="E8" i="31"/>
  <c r="E9" i="31"/>
  <c r="E10" i="31"/>
  <c r="E11" i="31"/>
  <c r="E13" i="31"/>
  <c r="G13" i="31"/>
  <c r="E19" i="31"/>
  <c r="E21" i="31"/>
  <c r="G21" i="31"/>
  <c r="E23" i="31"/>
  <c r="G23" i="31"/>
  <c r="E26" i="31"/>
  <c r="G26" i="31"/>
  <c r="E32" i="31"/>
  <c r="F32" i="31"/>
  <c r="G32" i="31"/>
  <c r="H32" i="31"/>
  <c r="I32" i="31"/>
  <c r="K32" i="31"/>
  <c r="E33" i="31"/>
  <c r="F33" i="31"/>
  <c r="G33" i="31"/>
  <c r="H33" i="31"/>
  <c r="I33" i="31"/>
  <c r="K33" i="31"/>
  <c r="E34" i="31"/>
  <c r="F34" i="31"/>
  <c r="G34" i="31"/>
  <c r="H34" i="31"/>
  <c r="J34" i="31"/>
  <c r="L34" i="31"/>
  <c r="E35" i="31"/>
  <c r="F35" i="31"/>
  <c r="G35" i="31"/>
  <c r="H35" i="31"/>
  <c r="J35" i="31"/>
  <c r="L35" i="31"/>
  <c r="E36" i="31"/>
  <c r="F36" i="31"/>
  <c r="G36" i="31"/>
  <c r="H36" i="31"/>
  <c r="J36" i="31"/>
  <c r="L36" i="31"/>
  <c r="E37" i="31"/>
  <c r="F37" i="31"/>
  <c r="G37" i="31"/>
  <c r="H37" i="31"/>
  <c r="I37" i="31"/>
  <c r="J37" i="31"/>
  <c r="K37" i="31"/>
  <c r="L37" i="31"/>
  <c r="E38" i="31"/>
  <c r="F38" i="31"/>
  <c r="G38" i="31"/>
  <c r="H38" i="31"/>
  <c r="I38" i="31"/>
  <c r="K38" i="31"/>
  <c r="E39" i="31"/>
  <c r="F39" i="31"/>
  <c r="G39" i="31"/>
  <c r="H39" i="31"/>
  <c r="I39" i="31"/>
  <c r="K39" i="31"/>
  <c r="E41" i="31"/>
  <c r="F41" i="31"/>
  <c r="G41" i="31"/>
  <c r="H41" i="31"/>
  <c r="I41" i="31"/>
  <c r="J41" i="31"/>
  <c r="K41" i="31"/>
  <c r="L41" i="31"/>
  <c r="E43" i="31"/>
  <c r="F43" i="31"/>
  <c r="G43" i="31"/>
  <c r="H43" i="31"/>
  <c r="I43" i="31"/>
  <c r="K43" i="31"/>
  <c r="H45" i="31"/>
  <c r="H46" i="31"/>
  <c r="E48" i="31"/>
  <c r="F48" i="31"/>
  <c r="G48" i="31"/>
  <c r="H48" i="31"/>
  <c r="E55" i="31"/>
  <c r="F55" i="31"/>
  <c r="G55" i="31"/>
  <c r="H55" i="31"/>
  <c r="A2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1" i="34"/>
  <c r="H7" i="34"/>
  <c r="H8" i="34"/>
  <c r="H9" i="34"/>
  <c r="H10" i="34"/>
  <c r="G11" i="34"/>
  <c r="H11" i="34"/>
  <c r="I11" i="34"/>
  <c r="H14" i="34"/>
  <c r="I14" i="34"/>
  <c r="H15" i="34"/>
  <c r="I15" i="34"/>
  <c r="H16" i="34"/>
  <c r="I16" i="34"/>
  <c r="G17" i="34"/>
  <c r="H17" i="34"/>
  <c r="I17" i="34"/>
  <c r="H20" i="34"/>
  <c r="I20" i="34"/>
  <c r="G21" i="34"/>
  <c r="H21" i="34"/>
  <c r="I21" i="34"/>
  <c r="H24" i="34"/>
  <c r="I24" i="34"/>
  <c r="H25" i="34"/>
  <c r="I25" i="34"/>
  <c r="H26" i="34"/>
  <c r="I26" i="34"/>
  <c r="G27" i="34"/>
  <c r="H27" i="34"/>
  <c r="I27" i="34"/>
  <c r="H30" i="34"/>
  <c r="I30" i="34"/>
  <c r="G31" i="34"/>
  <c r="H31" i="34"/>
  <c r="I31" i="34"/>
  <c r="H32" i="34"/>
  <c r="I32" i="34"/>
  <c r="G33" i="34"/>
  <c r="H33" i="34"/>
  <c r="I33" i="34"/>
  <c r="H35" i="34"/>
  <c r="I35" i="34"/>
  <c r="H36" i="34"/>
  <c r="I36" i="34"/>
  <c r="H37" i="34"/>
  <c r="I37" i="34"/>
  <c r="H38" i="34"/>
  <c r="I38" i="34"/>
  <c r="G39" i="34"/>
  <c r="H39" i="34"/>
  <c r="I39" i="34"/>
  <c r="H41" i="34"/>
  <c r="I41" i="34"/>
  <c r="I44" i="34"/>
  <c r="I45" i="34"/>
  <c r="I49" i="34"/>
  <c r="I51" i="34"/>
  <c r="I52" i="34"/>
  <c r="I53" i="34"/>
  <c r="A1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Z9" i="23"/>
  <c r="AA9" i="23"/>
  <c r="AB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Z10" i="23"/>
  <c r="AA10" i="23"/>
  <c r="AB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</calcChain>
</file>

<file path=xl/comments1.xml><?xml version="1.0" encoding="utf-8"?>
<comments xmlns="http://schemas.openxmlformats.org/spreadsheetml/2006/main">
  <authors>
    <author>mvasque</author>
  </authors>
  <commentList>
    <comment ref="I109" authorId="0" shapeId="0">
      <text>
        <r>
          <rPr>
            <b/>
            <sz val="8"/>
            <color indexed="81"/>
            <rFont val="Tahoma"/>
          </rPr>
          <t>mvasque:</t>
        </r>
        <r>
          <rPr>
            <sz val="8"/>
            <color indexed="81"/>
            <rFont val="Tahoma"/>
          </rPr>
          <t xml:space="preserve">
Tax info provided by Robert Tillota</t>
        </r>
      </text>
    </comment>
    <comment ref="I112" authorId="0" shapeId="0">
      <text>
        <r>
          <rPr>
            <b/>
            <sz val="8"/>
            <color indexed="81"/>
            <rFont val="Tahoma"/>
          </rPr>
          <t>mvasque:</t>
        </r>
        <r>
          <rPr>
            <sz val="8"/>
            <color indexed="81"/>
            <rFont val="Tahoma"/>
          </rPr>
          <t xml:space="preserve">
This number needs to be looked at</t>
        </r>
      </text>
    </comment>
  </commentList>
</comments>
</file>

<file path=xl/comments2.xml><?xml version="1.0" encoding="utf-8"?>
<comments xmlns="http://schemas.openxmlformats.org/spreadsheetml/2006/main">
  <authors>
    <author>EI</author>
  </authors>
  <commentList>
    <comment ref="O28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6 months</t>
        </r>
      </text>
    </comment>
    <comment ref="O31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5 months</t>
        </r>
      </text>
    </comment>
    <comment ref="O34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3 months</t>
        </r>
      </text>
    </comment>
    <comment ref="O35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3 months</t>
        </r>
      </text>
    </comment>
    <comment ref="O49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5% overtime</t>
        </r>
      </text>
    </comment>
    <comment ref="R49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5% overtime assumed</t>
        </r>
      </text>
    </comment>
    <comment ref="O52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20% overtime</t>
        </r>
      </text>
    </comment>
    <comment ref="R52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20% overtime assumed</t>
        </r>
      </text>
    </comment>
    <comment ref="O53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20% overtime</t>
        </r>
      </text>
    </comment>
    <comment ref="R53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20% overtime assumed</t>
        </r>
      </text>
    </comment>
  </commentList>
</comments>
</file>

<file path=xl/sharedStrings.xml><?xml version="1.0" encoding="utf-8"?>
<sst xmlns="http://schemas.openxmlformats.org/spreadsheetml/2006/main" count="2866" uniqueCount="1727">
  <si>
    <t>Boiler controls (general vendor)</t>
  </si>
  <si>
    <t>DCS Operation &amp; Familiarization (equip. vendor)</t>
  </si>
  <si>
    <t>Basic Maintenance Training (2 x Mechanics) (At Cincinnati)</t>
  </si>
  <si>
    <t>Level 1 Maintenance (equip. vendor)</t>
  </si>
  <si>
    <t>Level 2 Maintenance (equip. vendor)</t>
  </si>
  <si>
    <t>Boroscope Maintenance (equip. vendor)</t>
  </si>
  <si>
    <t>Electrical/Controls Maintenance Training (3 x I/C/E Technicians)  (at OEM sites)</t>
  </si>
  <si>
    <t>GTG controls MK VI (equip vendor)</t>
  </si>
  <si>
    <t>Generator/Excitation Maintenance (equip. vendor)</t>
  </si>
  <si>
    <t>Electrical System Maintenance (general vendor)</t>
  </si>
  <si>
    <t>Familiarization</t>
  </si>
  <si>
    <t xml:space="preserve">                No Charge</t>
  </si>
  <si>
    <t>DCS Maint. (equip. vendor)</t>
  </si>
  <si>
    <t>Total Class Training Cost</t>
  </si>
  <si>
    <t>Travel, lodging, facilities, misc.</t>
  </si>
  <si>
    <t xml:space="preserve">Maint Techs' Per diem: # techs x # class weeks at OEM site x 5d/wk x $150/day </t>
  </si>
  <si>
    <t xml:space="preserve">Instructor Per diem: # class weeks at site for OEM x 5d/wk x $150/day (1 instructor/class week)  </t>
  </si>
  <si>
    <t>Travel: maintenance techs 8 trips x $1M/trip</t>
  </si>
  <si>
    <t>Travel: Instructors (3 Vendors) x $1M/trip ea</t>
  </si>
  <si>
    <t>On site Training Coordinator/Instructor (4 wks x $2600/wk incl per diem + $1M travel) *</t>
  </si>
  <si>
    <t>Total Training Cost Estimate</t>
  </si>
  <si>
    <t>Less Training provided by Equipment supplier (incl in Purchase PO)</t>
  </si>
  <si>
    <t>Net Training Cost Estimate ($M) for Operator/Owner</t>
  </si>
  <si>
    <t>Notes:</t>
  </si>
  <si>
    <t>1. Assumed cost of training (instructor, training materials, aids, manuals, etc.):</t>
  </si>
  <si>
    <t xml:space="preserve">        </t>
  </si>
  <si>
    <t>Equip. Vendor Training - $25M/wk</t>
  </si>
  <si>
    <t>Basic Plant Training (developed in-house) - no added cost</t>
  </si>
  <si>
    <t>General Vendor Training - $8M/wk</t>
  </si>
  <si>
    <t>2. The asterisk (*) denotes training and expenses provided by Operator</t>
  </si>
  <si>
    <t>3. LM6000 and MK VI Familiarization training assumed provided for by Equipment Supplier (in Equipment PO).</t>
  </si>
  <si>
    <t>Assumed Turnkey/O&amp;M/Owner Scope Split</t>
  </si>
  <si>
    <t>Turnkey/</t>
  </si>
  <si>
    <t>O&amp;M</t>
  </si>
  <si>
    <t>Owner</t>
  </si>
  <si>
    <t>Remarks/Comments</t>
  </si>
  <si>
    <t>OPERATING EXPENSES (pre-COD):</t>
  </si>
  <si>
    <t>Payroll and Benefits</t>
  </si>
  <si>
    <t xml:space="preserve">    for Owner Personnel</t>
  </si>
  <si>
    <t>x</t>
  </si>
  <si>
    <t xml:space="preserve">    for O&amp;M Personnel</t>
  </si>
  <si>
    <t xml:space="preserve">    for Turnkey/Startup Personnel</t>
  </si>
  <si>
    <t>Employee Expenses/Recruiting/Relocation</t>
  </si>
  <si>
    <t xml:space="preserve">    Technical Direction of Installation (TD of I)</t>
  </si>
  <si>
    <t xml:space="preserve">    Vendor reps &amp; startup services</t>
  </si>
  <si>
    <t xml:space="preserve">    Security before COD</t>
  </si>
  <si>
    <t xml:space="preserve">    Security after COD</t>
  </si>
  <si>
    <t>At Owner's discretion</t>
  </si>
  <si>
    <t xml:space="preserve">    O&amp;M related services</t>
  </si>
  <si>
    <t xml:space="preserve">    Reliability Availability Maintainability (RAM) Study</t>
  </si>
  <si>
    <t xml:space="preserve">    Process Hazards Analysis (HAZOP)</t>
  </si>
  <si>
    <t>Communications (phone bills, etc.)</t>
  </si>
  <si>
    <t xml:space="preserve">    for Startup Personnel</t>
  </si>
  <si>
    <t>Offices/Buildings/Facilities (temporary)</t>
  </si>
  <si>
    <t xml:space="preserve">    for O&amp;M Personnel (admin, training, etc.)</t>
  </si>
  <si>
    <t xml:space="preserve">    for Startup/Commissioning Personnel</t>
  </si>
  <si>
    <t>Training for O&amp;M Personnel *</t>
  </si>
  <si>
    <t xml:space="preserve">    Vendor Familiarization Training (Maj. Equip &amp; Controls)</t>
  </si>
  <si>
    <t>Assumed in equipment supply</t>
  </si>
  <si>
    <t xml:space="preserve">    Add'l Major Equip. Vendor </t>
  </si>
  <si>
    <t xml:space="preserve">    OJT during startup/commissioning</t>
  </si>
  <si>
    <t xml:space="preserve">    Basic Power Plant Training (&amp; all other training) </t>
  </si>
  <si>
    <t>Permits/Insurance</t>
  </si>
  <si>
    <t xml:space="preserve">    Construction &amp; Startup Contractor's name</t>
  </si>
  <si>
    <t>need permit matrix</t>
  </si>
  <si>
    <t xml:space="preserve">    Operator's name</t>
  </si>
  <si>
    <t>"</t>
  </si>
  <si>
    <t xml:space="preserve">    Owner's name</t>
  </si>
  <si>
    <t>Manuals, Procedures and Plans</t>
  </si>
  <si>
    <t xml:space="preserve">    Startup/Commissioning Plans &amp; Procedures</t>
  </si>
  <si>
    <t xml:space="preserve">    Job Data books</t>
  </si>
  <si>
    <t xml:space="preserve">    Engineering drawings (incl. "as builts")</t>
  </si>
  <si>
    <t>AutoCad 14 (or apprvd substitute)</t>
  </si>
  <si>
    <t xml:space="preserve">    Systems Descriptions</t>
  </si>
  <si>
    <t xml:space="preserve">    Test procedures &amp; report</t>
  </si>
  <si>
    <t xml:space="preserve">    O&amp;M Procedures</t>
  </si>
  <si>
    <t xml:space="preserve">    Admin and all other Plant procedures</t>
  </si>
  <si>
    <t>Punchlist resolution</t>
  </si>
  <si>
    <t>with O&amp;M walkdown</t>
  </si>
  <si>
    <t>Purchase and transportation of fuel to plant (startup)</t>
  </si>
  <si>
    <t>Schedule fuel deliveries from supplier</t>
  </si>
  <si>
    <t>Purchase of turbine generator startup power (backfeed)</t>
  </si>
  <si>
    <t>Purchase of construction power (from fence line)</t>
  </si>
  <si>
    <t>Purchase and delivery of Process water (hydrotests, etc)</t>
  </si>
  <si>
    <t>Steam Blows</t>
  </si>
  <si>
    <t>na</t>
  </si>
  <si>
    <t>Chemical Cleaning (including disposal)</t>
  </si>
  <si>
    <t>Oil Flushes</t>
  </si>
  <si>
    <t>*  O&amp;M has overall responsibility for training O&amp;M personnel, but Major Equip. Vendor training (for CT,  Chillers, Water</t>
  </si>
  <si>
    <t xml:space="preserve">   Treatment/Desal, and DCS) will be provided under the major equip. purchase orders (with O&amp;M participation in scoping).</t>
  </si>
  <si>
    <t>Warranty Implementation</t>
  </si>
  <si>
    <t>O&amp;M/Owner participate</t>
  </si>
  <si>
    <t>Pre-Mobilization expenses</t>
  </si>
  <si>
    <t xml:space="preserve">    O&amp;M engineering review/comments</t>
  </si>
  <si>
    <t xml:space="preserve">    Operating plans/budgets/estimates</t>
  </si>
  <si>
    <t xml:space="preserve">    Other Owner directed O&amp;M services</t>
  </si>
  <si>
    <t>Fuel/water quality checking (pre-COD)</t>
  </si>
  <si>
    <t>Procurement Expenses:</t>
  </si>
  <si>
    <t xml:space="preserve">    Stationary items (built-ins)</t>
  </si>
  <si>
    <t xml:space="preserve">    PABX (internal) telephone system &amp; wiring</t>
  </si>
  <si>
    <t xml:space="preserve">    LAN wiring</t>
  </si>
  <si>
    <t xml:space="preserve">    External communications (satellite dish)</t>
  </si>
  <si>
    <t xml:space="preserve">    Office/Building furniture</t>
  </si>
  <si>
    <t xml:space="preserve">    Office equipment (copiers, fax, etc.)</t>
  </si>
  <si>
    <t xml:space="preserve">    Computer hardware/software</t>
  </si>
  <si>
    <t xml:space="preserve">    CMMS computer system (incl training)</t>
  </si>
  <si>
    <t>Safety &amp; Environmental equipment</t>
  </si>
  <si>
    <t xml:space="preserve">    Permanent Fire protection</t>
  </si>
  <si>
    <t xml:space="preserve">    Portable fire extinguishers (for offices &amp; buildings)</t>
  </si>
  <si>
    <t xml:space="preserve">    Portable fire extinguishers (exterior)</t>
  </si>
  <si>
    <t xml:space="preserve">    Safety showers/eye washes</t>
  </si>
  <si>
    <t xml:space="preserve">    Permanent Environmental testing equip.</t>
  </si>
  <si>
    <t xml:space="preserve">    Portable Environmental testing equip.</t>
  </si>
  <si>
    <t xml:space="preserve">    O&amp;M Personnel Safety/First Aid  equip.</t>
  </si>
  <si>
    <t>Vehicles &amp; Mobile Equipment</t>
  </si>
  <si>
    <t xml:space="preserve">    Construction/Startup Contractor requirements</t>
  </si>
  <si>
    <t xml:space="preserve">    O&amp;M requirements</t>
  </si>
  <si>
    <t>Warehouse/Shop Furnishings &amp; Equipment</t>
  </si>
  <si>
    <t xml:space="preserve">    Stationary items incl hoists (built-ins)</t>
  </si>
  <si>
    <t xml:space="preserve">    Non-stationary items (bins, furniture, etc.)</t>
  </si>
  <si>
    <t>Process Monitoring &amp; Laboratory Equipment</t>
  </si>
  <si>
    <t xml:space="preserve">    Installed analyzers/instruments</t>
  </si>
  <si>
    <t xml:space="preserve">    Stationary lab items (vent hoods, lab benches, etc.) </t>
  </si>
  <si>
    <t xml:space="preserve">    Analytical equipment, glassware, etc.</t>
  </si>
  <si>
    <t>Shop Tools and Equipment</t>
  </si>
  <si>
    <t xml:space="preserve">    Machine shop/Instrument shop tools</t>
  </si>
  <si>
    <t xml:space="preserve">    Maint. (incl I/C&amp;E) test equipment</t>
  </si>
  <si>
    <t xml:space="preserve">    Work benches, storage bins</t>
  </si>
  <si>
    <t xml:space="preserve">    Hand tools for O&amp;M personnel</t>
  </si>
  <si>
    <t xml:space="preserve">    Hand tools for Startup personnel</t>
  </si>
  <si>
    <t>Special Tools</t>
  </si>
  <si>
    <t xml:space="preserve">    Startup, Std Vendor supply</t>
  </si>
  <si>
    <t xml:space="preserve">    Optional vendor supply</t>
  </si>
  <si>
    <t xml:space="preserve">Incl with Vendor PO </t>
  </si>
  <si>
    <t>Chemicals, Lubricants, Fluids</t>
  </si>
  <si>
    <t xml:space="preserve">    Initial equipment/vessel fill</t>
  </si>
  <si>
    <t xml:space="preserve">    Consumption (pre-COD)</t>
  </si>
  <si>
    <t xml:space="preserve">    Consumption (post-COD)</t>
  </si>
  <si>
    <t xml:space="preserve">    Warehouse stock</t>
  </si>
  <si>
    <t>Spare parts*</t>
  </si>
  <si>
    <t xml:space="preserve">    Capital (Overhaul) Spares for major equip.</t>
  </si>
  <si>
    <t>In Owner's scope to accrue</t>
  </si>
  <si>
    <t xml:space="preserve">    Operating (Initial) Spares for major equip.</t>
  </si>
  <si>
    <t xml:space="preserve">    Warehouse stock &amp; BOP spare parts</t>
  </si>
  <si>
    <t>Installed Cranes</t>
  </si>
  <si>
    <t>* Turbine spare parts will be purchased based on competitive bids as part of and prior to Turbine vendors selection;</t>
  </si>
  <si>
    <t xml:space="preserve">   actual parts purchased will be approved by Owner.</t>
  </si>
  <si>
    <t>EstimateSummary</t>
  </si>
  <si>
    <t>Group Item</t>
  </si>
  <si>
    <t>Budget Item</t>
  </si>
  <si>
    <t>Line Item</t>
  </si>
  <si>
    <t>Detail/Basis</t>
  </si>
  <si>
    <t>Total (US $)</t>
  </si>
  <si>
    <t>LOCAL</t>
  </si>
  <si>
    <t>FOREIGN</t>
  </si>
  <si>
    <t>Calculation and Note Area</t>
  </si>
  <si>
    <t>O&amp;M Pre-Mobilization / Mobilization Estimate Backup/Detail</t>
  </si>
  <si>
    <t>O&amp;M Mobilization BudgetOperating ExpensesPublic Relations Title</t>
  </si>
  <si>
    <t>O&amp;M Mobilization Budget</t>
  </si>
  <si>
    <t>Public Relations</t>
  </si>
  <si>
    <t>recruiting;advertising</t>
  </si>
  <si>
    <t>Recruiting PM</t>
  </si>
  <si>
    <t>payroll</t>
  </si>
  <si>
    <t>Plant Manager - 1 month pay/benefits</t>
  </si>
  <si>
    <t>Travel Expenses in to/fro Houston;living</t>
  </si>
  <si>
    <t>2 trips x $1000/trip+ $150/day x 30 days</t>
  </si>
  <si>
    <t>miscellaneous comms, postage,etc</t>
  </si>
  <si>
    <t>O&amp;M Mobilization BudgetOperating ExpensesPublic Relations Total</t>
  </si>
  <si>
    <t>(Assumes Mob period begins COD less 6 months)</t>
  </si>
  <si>
    <t>Sub-Total</t>
  </si>
  <si>
    <t>O&amp;M Mobilization BudgetOperating ExpensesPayroll with burden Title</t>
  </si>
  <si>
    <t>Payroll with burden</t>
  </si>
  <si>
    <t>Total Company Payroll with benefits and 20% overtime on Opns/Maint.</t>
  </si>
  <si>
    <t xml:space="preserve">  (See detailed PltMobStaff schedule)</t>
  </si>
  <si>
    <t>O&amp;M Mobilization BudgetOperating ExpensesPayroll with burden Total</t>
  </si>
  <si>
    <t>O&amp;M Mobilization BudgetOperating ExpensesEmployee Expenses Title</t>
  </si>
  <si>
    <t>Travel related to Plant Mobilization</t>
  </si>
  <si>
    <t>6 trips x $1500/trip</t>
  </si>
  <si>
    <t>Misc. (OT meals, Conferences,etc.)</t>
  </si>
  <si>
    <t>$200/month x 6 months</t>
  </si>
  <si>
    <t>Dues, Misc</t>
  </si>
  <si>
    <t>$250/month x 4 months</t>
  </si>
  <si>
    <t>O&amp;M Mobilization BudgetOperating ExpensesEmployee Expenses Total</t>
  </si>
  <si>
    <t>O&amp;M Mobilization BudgetOperating ExpensesRecruiting Expenses Title</t>
  </si>
  <si>
    <t>Candidate travel, expenses</t>
  </si>
  <si>
    <t>2 trips x $1000/trip+ $150/day x 4 days</t>
  </si>
  <si>
    <t>HR/Home office support</t>
  </si>
  <si>
    <t>2 trips x $1500/trip + perdiem @ $150/day x 10 days</t>
  </si>
  <si>
    <t>Advertisements</t>
  </si>
  <si>
    <t>Local, Chicago</t>
  </si>
  <si>
    <t>Screening Tests</t>
  </si>
  <si>
    <t>$200/employee</t>
  </si>
  <si>
    <t>Misc expenses</t>
  </si>
  <si>
    <t>reproduction, postage, etc</t>
  </si>
  <si>
    <t>O&amp;M Mobilization BudgetOperating ExpensesRecruiting Expenses Total</t>
  </si>
  <si>
    <t>O&amp;M Mobilization BudgetOperating ExpensesRelocation Expenses Title</t>
  </si>
  <si>
    <t>Plant Mgr (assume non-Enron)</t>
  </si>
  <si>
    <t>20% of base</t>
  </si>
  <si>
    <t>Technician III (assume 1 needed)</t>
  </si>
  <si>
    <t>cover HHG shipment, misc</t>
  </si>
  <si>
    <t>Technician II (assume 1 needed)</t>
  </si>
  <si>
    <t>Rest of staff assumed obtained locally</t>
  </si>
  <si>
    <t>O&amp;M Mobilization BudgetOperating ExpensesRelocation Expenses Total</t>
  </si>
  <si>
    <t>O&amp;M Mobilization BudgetOperating ExpensesOutside Services Title</t>
  </si>
  <si>
    <t>Guards</t>
  </si>
  <si>
    <t>Turnkey responsibility</t>
  </si>
  <si>
    <t>Groundskeepers</t>
  </si>
  <si>
    <t>Janitors</t>
  </si>
  <si>
    <t>$800/month x 5 months</t>
  </si>
  <si>
    <t>Legal</t>
  </si>
  <si>
    <t>Covered in fee</t>
  </si>
  <si>
    <t>Tax</t>
  </si>
  <si>
    <t>Accounting</t>
  </si>
  <si>
    <t>1 trips x $1000/trip + 4 days per diem x $150/day</t>
  </si>
  <si>
    <t>Safety</t>
  </si>
  <si>
    <t>2 trips x $1000/trip + 8 days per diem x $150/day</t>
  </si>
  <si>
    <t>Environmental</t>
  </si>
  <si>
    <t>Management</t>
  </si>
  <si>
    <t>Technical/Professional</t>
  </si>
  <si>
    <t>15 days x 8hrs/day x $60/hr</t>
  </si>
  <si>
    <t>Trash/Waste Disposal</t>
  </si>
  <si>
    <t>Electrical Testing/Calibration</t>
  </si>
  <si>
    <t>Buyer support from other projects</t>
  </si>
  <si>
    <t>480 hrs x $43/hr</t>
  </si>
  <si>
    <t>Uniform services</t>
  </si>
  <si>
    <t>Office Equipment Maintenance</t>
  </si>
  <si>
    <t>Warehouse temporaries</t>
  </si>
  <si>
    <t>$20/hr x 160 hrs</t>
  </si>
  <si>
    <t>O&amp;M Mobilization BudgetOperating ExpensesOutside Services Total</t>
  </si>
  <si>
    <t>Labor for all OEC staff assumed covered in Operator's Fee and O/H allocation</t>
  </si>
  <si>
    <t>O&amp;M Mobilization BudgetOperating ExpensesOther Supplies &amp; Expenses Title</t>
  </si>
  <si>
    <t>Postage &amp; Freight</t>
  </si>
  <si>
    <t>$100/month x 6 months</t>
  </si>
  <si>
    <t>Office &amp; Misc. Supplies (usage)</t>
  </si>
  <si>
    <t>$500/month x 5 months</t>
  </si>
  <si>
    <t>Vehicle fuel and maint</t>
  </si>
  <si>
    <t>1 vehicles x 5 months x 1000miles/month x $1.5/14 miles + $500</t>
  </si>
  <si>
    <t>Janitorial Supplies (usage)</t>
  </si>
  <si>
    <t>Bldg. Utilities (water, power, gas)</t>
  </si>
  <si>
    <t>5 months x $500/month</t>
  </si>
  <si>
    <t>O&amp;M Mobilization BudgetOperating ExpensesOther Supplies &amp; Expenses Total</t>
  </si>
  <si>
    <t>O&amp;M Mobilization BudgetOperating ExpensesCommunications Title</t>
  </si>
  <si>
    <t xml:space="preserve">Phone Service </t>
  </si>
  <si>
    <t>5 months x $500/month (excludes cellular service)</t>
  </si>
  <si>
    <t>Cellular Phones</t>
  </si>
  <si>
    <t xml:space="preserve">1ea. x 6 months x $300/month </t>
  </si>
  <si>
    <t>Pagers</t>
  </si>
  <si>
    <t>pagers 6 x $20/month x 4 months</t>
  </si>
  <si>
    <t>O&amp;M Mobilization BudgetOperating ExpensesCommunications Total</t>
  </si>
  <si>
    <t>O&amp;M Mobilization BudgetOperating ExpensesMiscellaneous Office Expenses Title</t>
  </si>
  <si>
    <t>Miscellaneous Office Expenses</t>
  </si>
  <si>
    <t>Office Bldgs.</t>
  </si>
  <si>
    <t>Use existing plant buildings/offices when necessary</t>
  </si>
  <si>
    <t>Trailers (admin only, ex training)</t>
  </si>
  <si>
    <t>1 x $1000/months x 4 months</t>
  </si>
  <si>
    <t>Sanitary facilities</t>
  </si>
  <si>
    <t>Misc. Furnishings</t>
  </si>
  <si>
    <t>Temporary Living Quarters</t>
  </si>
  <si>
    <t>Assume admin facilties complete COD minus 2 months</t>
  </si>
  <si>
    <t>O&amp;M Mobilization BudgetOperating ExpensesMiscellaneous Office Expenses Total</t>
  </si>
  <si>
    <t>O&amp;M Mobilization BudgetOperating ExpensesTraining Title</t>
  </si>
  <si>
    <t>Basic Plant Training</t>
  </si>
  <si>
    <t>See Training sheet</t>
  </si>
  <si>
    <t>Major Systems Training</t>
  </si>
  <si>
    <t>Plant Chemistry</t>
  </si>
  <si>
    <t>Control Room Training</t>
  </si>
  <si>
    <t>Basic Maintenance</t>
  </si>
  <si>
    <t>Electrical/Controls Maintenance</t>
  </si>
  <si>
    <t>Additional Vendor Training</t>
  </si>
  <si>
    <t>Per diem for instructors</t>
  </si>
  <si>
    <t>Facilities (trailer rental, hall)</t>
  </si>
  <si>
    <t xml:space="preserve">Travel </t>
  </si>
  <si>
    <t>Training Coordinator</t>
  </si>
  <si>
    <t>Additional Manuals/Documents</t>
  </si>
  <si>
    <t>Translation</t>
  </si>
  <si>
    <t>O&amp;M Mobilization BudgetOperating ExpensesTraining Total</t>
  </si>
  <si>
    <t>O&amp;M Mobilization BudgetOperating ExpensesManuals/Operating Procedures Title</t>
  </si>
  <si>
    <t>Manuals/Operating Procedures</t>
  </si>
  <si>
    <t>Administration</t>
  </si>
  <si>
    <t>Should have already and inhouse</t>
  </si>
  <si>
    <t>Operations check lists</t>
  </si>
  <si>
    <t>inhouse</t>
  </si>
  <si>
    <t xml:space="preserve">Maintenance </t>
  </si>
  <si>
    <t>Maintenance/CMMS (excluding data)</t>
  </si>
  <si>
    <t>Warehouse/Inventory</t>
  </si>
  <si>
    <t>Emergency Plans</t>
  </si>
  <si>
    <t>40 mandays @$400/manday</t>
  </si>
  <si>
    <t>Safety and Health</t>
  </si>
  <si>
    <t>5 mandays @$400/manday</t>
  </si>
  <si>
    <t>Environmental Compliance</t>
  </si>
  <si>
    <t>20 mandays @$400/manday</t>
  </si>
  <si>
    <t>Utility dispatch</t>
  </si>
  <si>
    <t>10 mandays @$400/manday</t>
  </si>
  <si>
    <t>Government Reporting</t>
  </si>
  <si>
    <t>Owner Reports</t>
  </si>
  <si>
    <t>1 mandays @$400/manday</t>
  </si>
  <si>
    <t>Reproduction/Printing</t>
  </si>
  <si>
    <t>Freight</t>
  </si>
  <si>
    <t>5% of Reproduction cost</t>
  </si>
  <si>
    <t>O&amp;M Mobilization BudgetOperating ExpensesManuals/Operating Procedures Total</t>
  </si>
  <si>
    <t>O&amp;M Mobilization BudgetOperating ExpensesPermits Title</t>
  </si>
  <si>
    <t>Owner's Scope of Supply</t>
  </si>
  <si>
    <t>O&amp;M Mobilization BudgetOperating ExpensesPermits Total</t>
  </si>
  <si>
    <t>O&amp;M Mobilization BudgetOperating ExpensesInsurance Title</t>
  </si>
  <si>
    <t>Worker's Compensation</t>
  </si>
  <si>
    <t>$200/employee/yr</t>
  </si>
  <si>
    <t>Insurance costs per Paul Clayton</t>
  </si>
  <si>
    <t>Auto Liability</t>
  </si>
  <si>
    <t>$400/yr/licensed vehicle</t>
  </si>
  <si>
    <t>3rd Party/General Liability</t>
  </si>
  <si>
    <t>0.15% of Total Expenses</t>
  </si>
  <si>
    <t>O&amp;M Mobilization BudgetOperating ExpensesInsurance Total</t>
  </si>
  <si>
    <t>1ea.x$350/dayx30days (includes benefits)</t>
  </si>
  <si>
    <t xml:space="preserve">    Per diem </t>
  </si>
  <si>
    <t>1ea.x$125/dayx30days</t>
  </si>
  <si>
    <t xml:space="preserve">    Home leave, travel</t>
  </si>
  <si>
    <t>1ea.x$1000 tripx1trips (coach class)</t>
  </si>
  <si>
    <t>Basis: 1 Operating Engineer as operations support 1 months prior to COD</t>
  </si>
  <si>
    <t>O&amp;M Mobilization BudgetProcurement ExpensesOffice Furnishings, Equipment, Supplies Title</t>
  </si>
  <si>
    <t>Procurement Expenses</t>
  </si>
  <si>
    <t>Office Furnishings, Equipment, Supplies</t>
  </si>
  <si>
    <t>Offices (desk, chair, table, misc)</t>
  </si>
  <si>
    <t>4ea @ $800/set</t>
  </si>
  <si>
    <t>Chairs - misc.</t>
  </si>
  <si>
    <t>10ea @ $150</t>
  </si>
  <si>
    <t>Bookshelves</t>
  </si>
  <si>
    <t>10ea @ $75</t>
  </si>
  <si>
    <t>File Cabinets</t>
  </si>
  <si>
    <t>4ea @ $200</t>
  </si>
  <si>
    <t>Storage Shelves/Cabinets</t>
  </si>
  <si>
    <t>10ea @ $50</t>
  </si>
  <si>
    <t>Conference Room (table &amp; chairs)</t>
  </si>
  <si>
    <t>6ea @ $150 + $1000</t>
  </si>
  <si>
    <t>Lunch Room - Tables</t>
  </si>
  <si>
    <t>1ea @ $150</t>
  </si>
  <si>
    <t>Lunch Room - Chairs</t>
  </si>
  <si>
    <t>6ea @ $75</t>
  </si>
  <si>
    <t>Lunch Room - Microwave</t>
  </si>
  <si>
    <t>1 ea @ $150</t>
  </si>
  <si>
    <t>Lunch Room - Coffee Pot</t>
  </si>
  <si>
    <t>1 ea. @ $150</t>
  </si>
  <si>
    <t>Lunch Room - Refrig.</t>
  </si>
  <si>
    <t>1 ea @ $750</t>
  </si>
  <si>
    <t>Lunch Room - Misc</t>
  </si>
  <si>
    <t>Computer Tables</t>
  </si>
  <si>
    <t>5ea @ $200</t>
  </si>
  <si>
    <t>Computers w printers</t>
  </si>
  <si>
    <t>5ea @ $3000</t>
  </si>
  <si>
    <t>Systems Software</t>
  </si>
  <si>
    <t>5ea @ $500</t>
  </si>
  <si>
    <t>CMMS software/installation</t>
  </si>
  <si>
    <t>$10M License + $10M installation/training</t>
  </si>
  <si>
    <t>CMMS hardware, equipment</t>
  </si>
  <si>
    <t>1 PC's ($2500), printer</t>
  </si>
  <si>
    <t>SAP Acctg System</t>
  </si>
  <si>
    <t>Software &amp; License</t>
  </si>
  <si>
    <t>Training &amp; Implementation</t>
  </si>
  <si>
    <t>Copiers</t>
  </si>
  <si>
    <t>1ea @ $8000</t>
  </si>
  <si>
    <t>Typewriters</t>
  </si>
  <si>
    <t>1ea @ $250</t>
  </si>
  <si>
    <t>Local Area Network</t>
  </si>
  <si>
    <t>LAN $2M + Installation $1,000</t>
  </si>
  <si>
    <t>Calculators</t>
  </si>
  <si>
    <t>5ea @ $20</t>
  </si>
  <si>
    <t>Projectors (overhead)</t>
  </si>
  <si>
    <t>1ea @ $400</t>
  </si>
  <si>
    <t>TV/VCR/Camcorders</t>
  </si>
  <si>
    <t>1ea @ $750/$500/$750</t>
  </si>
  <si>
    <t>White Boards</t>
  </si>
  <si>
    <t>5ea @ $80</t>
  </si>
  <si>
    <t>FAX machine</t>
  </si>
  <si>
    <t>Misc Supplies</t>
  </si>
  <si>
    <t>pens, paper, staplers, envelopes, etc.</t>
  </si>
  <si>
    <t>Phones</t>
  </si>
  <si>
    <t>6ea @ $200</t>
  </si>
  <si>
    <t>Office Misc, pictures, plants, rugs, boards</t>
  </si>
  <si>
    <t>Janitorial supplies</t>
  </si>
  <si>
    <t>5% of cost</t>
  </si>
  <si>
    <t>O&amp;M Mobilization BudgetProcurement ExpensesOffice Furnishings, Equipment, Supplies Total</t>
  </si>
  <si>
    <t>O&amp;M Mobilization BudgetProcurement ExpensesSafety Equipment &amp; Supplies Title</t>
  </si>
  <si>
    <t>Safety Equipment &amp; Supplies</t>
  </si>
  <si>
    <t>Safety &amp; Environmental Equipment &amp; Supplies</t>
  </si>
  <si>
    <t>Personnel Safety equipment</t>
  </si>
  <si>
    <t>Safety glasses, Hard hats, goggles, face shields, gloves,</t>
  </si>
  <si>
    <t>locks, acid suits, SCBA respirators, safety shoes, etc.</t>
  </si>
  <si>
    <t>Portable Fire Extinguishers</t>
  </si>
  <si>
    <t>10ea. @ $120</t>
  </si>
  <si>
    <t>Firehose Cabinet Accessories</t>
  </si>
  <si>
    <t>First Aid equipment</t>
  </si>
  <si>
    <t>First Aid kit, stretcher, water jell blanket</t>
  </si>
  <si>
    <t>Safety test Equipment</t>
  </si>
  <si>
    <t>Biosystem unit, LEL &amp; O2 meter</t>
  </si>
  <si>
    <t>Environmental Test Equipment</t>
  </si>
  <si>
    <t>Noise level meter</t>
  </si>
  <si>
    <t>6" and 12" containment booms</t>
  </si>
  <si>
    <t xml:space="preserve">30 ton/hr skimmer </t>
  </si>
  <si>
    <t>Misc. anchors, tow bridles, buoys, etc.</t>
  </si>
  <si>
    <t>O&amp;M Mobilization BudgetProcurement ExpensesSafety Equipment &amp; Supplies Total</t>
  </si>
  <si>
    <t>O&amp;M Mobilization BudgetProcurement ExpensesVehicles &amp; Mobile Equipment Title</t>
  </si>
  <si>
    <t>Cars 4 WD w AC</t>
  </si>
  <si>
    <t>$26M</t>
  </si>
  <si>
    <t>1/2 ton Pickup Trucks</t>
  </si>
  <si>
    <t>1ea leased $2000 down &amp; lease</t>
  </si>
  <si>
    <t>700/mnth</t>
  </si>
  <si>
    <t>2 1/2 ton flat bed truck w winch</t>
  </si>
  <si>
    <t>$32M</t>
  </si>
  <si>
    <t>6 ton Forklift (outside)</t>
  </si>
  <si>
    <t>$38M</t>
  </si>
  <si>
    <t>3 ton Forklift (warehouse)</t>
  </si>
  <si>
    <t>1ea leased $1000 down &amp; lease</t>
  </si>
  <si>
    <t>500/mnth</t>
  </si>
  <si>
    <t>12 passenger Van w/o AC</t>
  </si>
  <si>
    <t>$24M</t>
  </si>
  <si>
    <t>18 passenger Van w/o AC</t>
  </si>
  <si>
    <t>$30M</t>
  </si>
  <si>
    <t>Firefighting equipment</t>
  </si>
  <si>
    <t>1ea. extinguisher cart</t>
  </si>
  <si>
    <t>$1M per</t>
  </si>
  <si>
    <t>Backhoe/heavy equipment</t>
  </si>
  <si>
    <t>Compressor water wash cart</t>
  </si>
  <si>
    <t>$10M</t>
  </si>
  <si>
    <t>250 cfm Air Compressor (trailer mtd)</t>
  </si>
  <si>
    <t>$16M</t>
  </si>
  <si>
    <t>400 amp welder(diesel drvr, trailer)</t>
  </si>
  <si>
    <t>$11M</t>
  </si>
  <si>
    <t>8 ton Crane</t>
  </si>
  <si>
    <t>$30M (used)</t>
  </si>
  <si>
    <t>Crew Boats</t>
  </si>
  <si>
    <t>$60M (used)</t>
  </si>
  <si>
    <t>Switch engine</t>
  </si>
  <si>
    <t>$300M</t>
  </si>
  <si>
    <t>Maintenance cart</t>
  </si>
  <si>
    <t>O&amp;M Mobilization BudgetProcurement ExpensesVehicles &amp; Mobile Equipment Total</t>
  </si>
  <si>
    <t>Basis: Purchasing Dept.</t>
  </si>
  <si>
    <t>O&amp;M Mobilization BudgetProcurement ExpensesWarehouse Furnishings &amp; Equipment Title</t>
  </si>
  <si>
    <t>Bins/Racks/shelves</t>
  </si>
  <si>
    <t>includes Lumber, nails, materials (to construct)</t>
  </si>
  <si>
    <t>Equipment/Tools</t>
  </si>
  <si>
    <t>dollies, scales, carpenter tools, banding &amp; labeling machines</t>
  </si>
  <si>
    <t>Furniture</t>
  </si>
  <si>
    <t>tables, desks, chairs, file cabinets</t>
  </si>
  <si>
    <t>Miscellaneous Supplies</t>
  </si>
  <si>
    <t>O&amp;M Mobilization BudgetProcurement ExpensesWarehouse Furnishings &amp; Equipment Total</t>
  </si>
  <si>
    <t>O&amp;M Mobilization BudgetProcurement ExpensesLaboratory Equipment Title</t>
  </si>
  <si>
    <t>Laboratory Analyzers (pH, conductivity, spectrophotometer)</t>
  </si>
  <si>
    <t>Glassware/Misc. Equipment (centrifuge, vacuum pump, PC,scale,oven)</t>
  </si>
  <si>
    <t>Furniture, cabinets, benches, tables, refrigerator</t>
  </si>
  <si>
    <t>Fuel Testing equipment</t>
  </si>
  <si>
    <t>Gas Chromatogragh/Atomic Absorption</t>
  </si>
  <si>
    <t>O&amp;M Mobilization BudgetProcurement ExpensesLaboratory Equipment Total</t>
  </si>
  <si>
    <t>Basis: Rino Manzano ccMail dtd 8/8/96</t>
  </si>
  <si>
    <t>O&amp;M Mobilization BudgetProcurement ExpensesShop Tools &amp; Equipment Title</t>
  </si>
  <si>
    <t>Mechanic Hand Tools</t>
  </si>
  <si>
    <t>tool boxes</t>
  </si>
  <si>
    <t>$1200 each</t>
  </si>
  <si>
    <t>I/E Tech Hand Tools</t>
  </si>
  <si>
    <t>$1500 each</t>
  </si>
  <si>
    <t>Consumables (Cleaning, Mech. supplies, compounds, I&amp;E supplies, hoses)</t>
  </si>
  <si>
    <t>Radios  (Basis: Houston 2-way Radio - Motorola HC1000, 2 channels)</t>
  </si>
  <si>
    <t>$1000 each</t>
  </si>
  <si>
    <t>Radio Base</t>
  </si>
  <si>
    <t>Mechanical Shop Tools &amp; Equip.</t>
  </si>
  <si>
    <t>High Pressure Hand Pump</t>
  </si>
  <si>
    <t>Nordstrom Hyper Grease Gun 5 gal.</t>
  </si>
  <si>
    <t>$3015 each</t>
  </si>
  <si>
    <t>Rockwell Hand Held High Pressure Grease Gun</t>
  </si>
  <si>
    <t>$960 each</t>
  </si>
  <si>
    <t>Hydraulic Torque Wrench</t>
  </si>
  <si>
    <t>$4000 each</t>
  </si>
  <si>
    <t>Centrifugal Pump</t>
  </si>
  <si>
    <t>$2500 each</t>
  </si>
  <si>
    <t>Pneumatic diaphram pump</t>
  </si>
  <si>
    <t>Bead Blaster</t>
  </si>
  <si>
    <t>$1800 each</t>
  </si>
  <si>
    <t>Sand Blaster</t>
  </si>
  <si>
    <t>$900 each</t>
  </si>
  <si>
    <t>Portable Air Compressor</t>
  </si>
  <si>
    <t>$600 each</t>
  </si>
  <si>
    <t>Hydraulic Press - 25 ton</t>
  </si>
  <si>
    <t>$1400 each</t>
  </si>
  <si>
    <t>O&amp;M Mobilization BudgetProcurement ExpensesShop Tools &amp; Equipment Total</t>
  </si>
  <si>
    <t>Post Hole Digger</t>
  </si>
  <si>
    <t>O&amp;M Mobilization BudgetProcurement ExpensesChemicals, Lubricants, Hydraulic Fluids Title</t>
  </si>
  <si>
    <t>Steel Work Bench</t>
  </si>
  <si>
    <t>$160 each</t>
  </si>
  <si>
    <t xml:space="preserve">Employee Lockers </t>
  </si>
  <si>
    <t>$250 each</t>
  </si>
  <si>
    <t>Storage Cabinets</t>
  </si>
  <si>
    <t>$300 each</t>
  </si>
  <si>
    <t>Parts Washer</t>
  </si>
  <si>
    <t>Bench Grinder</t>
  </si>
  <si>
    <t>$400 each</t>
  </si>
  <si>
    <t>O&amp;M Mobilization BudgetProcurement ExpensesChemicals, Lubricants, Hydraulic Fluids Total</t>
  </si>
  <si>
    <t>Drill Press</t>
  </si>
  <si>
    <t>$2375 each</t>
  </si>
  <si>
    <t>O&amp;M Mobilization BudgetO&amp;M Mobilization Fee Title</t>
  </si>
  <si>
    <t>O&amp;M Mobilization Fee</t>
  </si>
  <si>
    <t>AC/DC Welder Generator</t>
  </si>
  <si>
    <t>$3100 each</t>
  </si>
  <si>
    <t>Assortment Hammer Wrenches</t>
  </si>
  <si>
    <t>$5000 each</t>
  </si>
  <si>
    <t>Flange Spreader</t>
  </si>
  <si>
    <t>Hoists /Come-a-longs</t>
  </si>
  <si>
    <t>Miscellaneous small hand tools</t>
  </si>
  <si>
    <t>$5000 set</t>
  </si>
  <si>
    <t>O&amp;M Mobilization BudgetO&amp;M Mobilization Fee Total</t>
  </si>
  <si>
    <t>I/E Shop Tools &amp; Test Equipment</t>
  </si>
  <si>
    <t>Gas Detector Calibration Kit</t>
  </si>
  <si>
    <t>$500 each</t>
  </si>
  <si>
    <t>O&amp;M Mobilization BudgetOwner Optional Items Title</t>
  </si>
  <si>
    <t>Owner Optional Items</t>
  </si>
  <si>
    <t>Flow, Press, &amp; Temp Transmitter Communicators</t>
  </si>
  <si>
    <t>Digital Thickness Gauge</t>
  </si>
  <si>
    <t>UV IR Portable Test Kit</t>
  </si>
  <si>
    <t>IRD Vibration Meter</t>
  </si>
  <si>
    <t>$8000 each</t>
  </si>
  <si>
    <t>Fluke Digital Multimeter</t>
  </si>
  <si>
    <t>$350 each</t>
  </si>
  <si>
    <t>O&amp;M Mobilization BudgetOwner Optional Items Total</t>
  </si>
  <si>
    <t>Thermocoupler Calibrator</t>
  </si>
  <si>
    <t>$950 each</t>
  </si>
  <si>
    <t>Precision Pressure Calibrator</t>
  </si>
  <si>
    <t>$5700 each</t>
  </si>
  <si>
    <t>Simpson Multimeter</t>
  </si>
  <si>
    <t>RTD Calibrator</t>
  </si>
  <si>
    <t>$700 each</t>
  </si>
  <si>
    <t>Test Gauges 0 -1500 psig.</t>
  </si>
  <si>
    <t>$1000 set</t>
  </si>
  <si>
    <t>Gravitometer</t>
  </si>
  <si>
    <t>$5850 each</t>
  </si>
  <si>
    <t>PK Tester</t>
  </si>
  <si>
    <t>$4065 each</t>
  </si>
  <si>
    <t>Pipeline Locator</t>
  </si>
  <si>
    <t>$3900 each</t>
  </si>
  <si>
    <t xml:space="preserve">Test/Troubleshooting Equipment </t>
  </si>
  <si>
    <t>Beta Engine Analyzer</t>
  </si>
  <si>
    <t>$60,000 each</t>
  </si>
  <si>
    <t>O&amp;M Mobilization BudgetCapital, Operating and BOP Spares (1998$) Title</t>
  </si>
  <si>
    <t>Capital, Operating and BOP Spares (1996$)</t>
  </si>
  <si>
    <t>Oscilloscope</t>
  </si>
  <si>
    <t>$3000 each</t>
  </si>
  <si>
    <t>Capital, Operating and BOP Spares (1998$)</t>
  </si>
  <si>
    <t>Bore Scope (probe, light source and photo)</t>
  </si>
  <si>
    <t>$15,000 each</t>
  </si>
  <si>
    <t>Combustible Gas Detector</t>
  </si>
  <si>
    <t>$1795 each</t>
  </si>
  <si>
    <t>O&amp;M Mobilization BudgetCapital, Operating and BOP Spares (1998$) Total</t>
  </si>
  <si>
    <t>Warehouse Stock</t>
  </si>
  <si>
    <t xml:space="preserve">1month's worth x chemicals </t>
  </si>
  <si>
    <t>5% of cost (included above)</t>
  </si>
  <si>
    <t>Fixed Fee</t>
  </si>
  <si>
    <t>Included in the "Benefits" calculations</t>
  </si>
  <si>
    <t>Commercial Office Mobilization</t>
  </si>
  <si>
    <t>Within the Owner's scope</t>
  </si>
  <si>
    <t>Owners' Engineer</t>
  </si>
  <si>
    <t>Capital, Operating and BOP Spares</t>
  </si>
  <si>
    <t>LM6000PC package spares</t>
  </si>
  <si>
    <t>BOP</t>
  </si>
  <si>
    <t>Freight &amp; Insurance</t>
  </si>
  <si>
    <t>Commercial Operations O&amp;M Estimate</t>
  </si>
  <si>
    <t>2000 US $</t>
  </si>
  <si>
    <t>Fixed</t>
  </si>
  <si>
    <t>Administration and Operations Expenses</t>
  </si>
  <si>
    <t>Makeup to Reverse Osmosis</t>
  </si>
  <si>
    <t>216 gpm</t>
  </si>
  <si>
    <t>Makeup to Cooling Tower</t>
  </si>
  <si>
    <t>192 gpm</t>
  </si>
  <si>
    <t>Total Administration &amp; Operations Expenses</t>
  </si>
  <si>
    <t>Service Water</t>
  </si>
  <si>
    <t xml:space="preserve">  10 gpm</t>
  </si>
  <si>
    <t>Potable Water</t>
  </si>
  <si>
    <t xml:space="preserve">    2 gpm</t>
  </si>
  <si>
    <t>Water Costs</t>
  </si>
  <si>
    <t>Variable</t>
  </si>
  <si>
    <t>Blowdown from CoolingTower</t>
  </si>
  <si>
    <t xml:space="preserve">  41 gpm</t>
  </si>
  <si>
    <t>Wastewater Costs</t>
  </si>
  <si>
    <t>Supply</t>
  </si>
  <si>
    <t>Waste</t>
  </si>
  <si>
    <t>Maintenance Expenses</t>
  </si>
  <si>
    <t>Total Maintenance</t>
  </si>
  <si>
    <t>75% Fixed / 25% Variable</t>
  </si>
  <si>
    <t>Total O&amp;M Expenses (excl GT Scheduled Maint. Program)</t>
  </si>
  <si>
    <t xml:space="preserve">GT Lease Program Annual Membership (1 unit) </t>
  </si>
  <si>
    <t>Commercial Office Expenses</t>
  </si>
  <si>
    <t>Commercial Operations Staffing Plan</t>
  </si>
  <si>
    <t>(US$)</t>
  </si>
  <si>
    <t>INDIVIDUAL</t>
  </si>
  <si>
    <t>ANNUAL</t>
  </si>
  <si>
    <t>TOTAL ANNUAL</t>
  </si>
  <si>
    <t>STAFFING</t>
  </si>
  <si>
    <t>SALARY</t>
  </si>
  <si>
    <t>HOURLY RATE</t>
  </si>
  <si>
    <t>HOURS</t>
  </si>
  <si>
    <t>SALARY &amp; WAGES</t>
  </si>
  <si>
    <t>BENEFITS</t>
  </si>
  <si>
    <t>TOTAL</t>
  </si>
  <si>
    <t xml:space="preserve">     Straight Time</t>
  </si>
  <si>
    <t xml:space="preserve">     Over time</t>
  </si>
  <si>
    <t>1.  Benefits amounts includes Operator G&amp;A allocation.</t>
  </si>
  <si>
    <t>2.  Assumes that Operators will be on 5 days/week shifts of 10 hrs/day during peak and 8 hrs/day during off-peak. No weekend coverage planned.</t>
  </si>
  <si>
    <t>Pay &amp; Benefits Calculations</t>
  </si>
  <si>
    <t>POSITIONS</t>
  </si>
  <si>
    <t>ANNUAL*</t>
  </si>
  <si>
    <t>Hours</t>
  </si>
  <si>
    <t xml:space="preserve"> </t>
  </si>
  <si>
    <t>IN US $</t>
  </si>
  <si>
    <t>PLANT SUPERVISOR</t>
  </si>
  <si>
    <t>TECHNICIAN III</t>
  </si>
  <si>
    <t>TECHNICIAN II</t>
  </si>
  <si>
    <t>Straight Time Domestic Rates</t>
  </si>
  <si>
    <t>Employee Cost Breakdown</t>
  </si>
  <si>
    <t>Mobilization Period</t>
  </si>
  <si>
    <t>Operating Period</t>
  </si>
  <si>
    <t>Monthly</t>
  </si>
  <si>
    <t>Quantity</t>
  </si>
  <si>
    <t>Payroll</t>
  </si>
  <si>
    <t>Workers</t>
  </si>
  <si>
    <t>Group</t>
  </si>
  <si>
    <t>General</t>
  </si>
  <si>
    <t>Position or</t>
  </si>
  <si>
    <t>Capacity Payment for Current Year</t>
  </si>
  <si>
    <t>Demand Charge Changes After</t>
  </si>
  <si>
    <t xml:space="preserve">PROJECT NAME: PLANO </t>
  </si>
  <si>
    <t>UnLevered IRR</t>
  </si>
  <si>
    <t>Hourly</t>
  </si>
  <si>
    <t>Comp.</t>
  </si>
  <si>
    <t>O/H</t>
  </si>
  <si>
    <t>Ins.</t>
  </si>
  <si>
    <t>Liability</t>
  </si>
  <si>
    <t>Balance</t>
  </si>
  <si>
    <t>ESOP</t>
  </si>
  <si>
    <t>401(k)</t>
  </si>
  <si>
    <t>Burdened</t>
  </si>
  <si>
    <t>Employee Name</t>
  </si>
  <si>
    <t>Rate</t>
  </si>
  <si>
    <t>Burdens</t>
  </si>
  <si>
    <t>Alloc.</t>
  </si>
  <si>
    <t>Prem.</t>
  </si>
  <si>
    <t>Salary</t>
  </si>
  <si>
    <t>Plant Manager</t>
  </si>
  <si>
    <t>Maintenance Manager</t>
  </si>
  <si>
    <t>Purchasing / Warehouse</t>
  </si>
  <si>
    <t>Clerk</t>
  </si>
  <si>
    <t>Operations &amp; Maint.</t>
  </si>
  <si>
    <t>Supervisor</t>
  </si>
  <si>
    <t>Over Time Domestic Rates</t>
  </si>
  <si>
    <t>Pension</t>
  </si>
  <si>
    <t>Totals</t>
  </si>
  <si>
    <t>O&amp;M Estimate Backup/Detail</t>
  </si>
  <si>
    <t>Payroll &amp; Burden (Total over project life)</t>
  </si>
  <si>
    <t>See detailed sheet</t>
  </si>
  <si>
    <t>Basis: HR data</t>
  </si>
  <si>
    <t>Travel Expenses/Overtime Meals</t>
  </si>
  <si>
    <t xml:space="preserve">6 x $1,000/trip + 30 days x $150/day </t>
  </si>
  <si>
    <t>Conferences/Training</t>
  </si>
  <si>
    <t>6 x $1500 each</t>
  </si>
  <si>
    <t>Fees &amp; Dues</t>
  </si>
  <si>
    <t>Employees Expense</t>
  </si>
  <si>
    <t>$250/month</t>
  </si>
  <si>
    <t>Entertainment Expense</t>
  </si>
  <si>
    <t>$150/employee</t>
  </si>
  <si>
    <t>Recruiting</t>
  </si>
  <si>
    <t>Basis: OEC experience</t>
  </si>
  <si>
    <t>Permanent Contract Labor</t>
  </si>
  <si>
    <t>Purchasing Support</t>
  </si>
  <si>
    <t>$43/hr x 300 hrs/yr</t>
  </si>
  <si>
    <t>Janitorial</t>
  </si>
  <si>
    <t>$800/month x 12 months</t>
  </si>
  <si>
    <t>Groundskeeping/Landscaping</t>
  </si>
  <si>
    <t>$400/month x 12 months</t>
  </si>
  <si>
    <t>Uniform Services</t>
  </si>
  <si>
    <t>$300/month x 12 months</t>
  </si>
  <si>
    <t>Lab Services</t>
  </si>
  <si>
    <t>costs shown in Lab Expenses category</t>
  </si>
  <si>
    <t>Basis:</t>
  </si>
  <si>
    <t xml:space="preserve">Environmental Expense </t>
  </si>
  <si>
    <t>Training/Awards</t>
  </si>
  <si>
    <t>RATA testing</t>
  </si>
  <si>
    <t>Materials &amp; Supplies</t>
  </si>
  <si>
    <t>Calibration/test gases</t>
  </si>
  <si>
    <t>Technical/Professional Services</t>
  </si>
  <si>
    <t xml:space="preserve">2 trip x $1M/trip + 4 days perdiem x $125/day </t>
  </si>
  <si>
    <t>80 manhrs x $75/hr (audit)</t>
  </si>
  <si>
    <t>covered in O/H</t>
  </si>
  <si>
    <t>Other Outside Services</t>
  </si>
  <si>
    <t>Non-Hazardous Waste Handling</t>
  </si>
  <si>
    <t>Safety Expense</t>
  </si>
  <si>
    <t>Company Membership &amp; Dues</t>
  </si>
  <si>
    <t>Routine Safety Supplies</t>
  </si>
  <si>
    <t xml:space="preserve">2 x $1M/trip + 4 days perdiem x $125/day </t>
  </si>
  <si>
    <t>Labor covered in O/H</t>
  </si>
  <si>
    <t>Safety Equipment Rentals</t>
  </si>
  <si>
    <t>Buildings &amp; Grounds</t>
  </si>
  <si>
    <t>HVAC</t>
  </si>
  <si>
    <t>Scaled on MW</t>
  </si>
  <si>
    <t>Building repairs &amp; painting</t>
  </si>
  <si>
    <t xml:space="preserve">$22,900 x (270MW/414MW)^.6 </t>
  </si>
  <si>
    <t>Road repairs</t>
  </si>
  <si>
    <t>Outside services Contract labor</t>
  </si>
  <si>
    <t>Equipment Rentals</t>
  </si>
  <si>
    <t>Other Rents</t>
  </si>
  <si>
    <t>Supplies</t>
  </si>
  <si>
    <t>Basis: Tx City/Clear Lake experience</t>
  </si>
  <si>
    <t>Office Supplies &amp; Expenses</t>
  </si>
  <si>
    <t>$500/month x 12 months</t>
  </si>
  <si>
    <t>Postage &amp; Express Mail</t>
  </si>
  <si>
    <t>$250/month x 12 months</t>
  </si>
  <si>
    <t>Outside Services Contract Labor</t>
  </si>
  <si>
    <t>120 hrs x $12/hr</t>
  </si>
  <si>
    <t>Misc services at  40 hrs x $100/hr</t>
  </si>
  <si>
    <t>Home office support covered in overheads</t>
  </si>
  <si>
    <t>Office Equipment Maint.</t>
  </si>
  <si>
    <t>Regional Mgmt Support</t>
  </si>
  <si>
    <t>4 trips x $1000/trip + 8 days perdiem x $150/day</t>
  </si>
  <si>
    <t>Regulatory</t>
  </si>
  <si>
    <t>Owner's scope</t>
  </si>
  <si>
    <t>Garbage &amp; Trash</t>
  </si>
  <si>
    <t>Office Equipment Rental</t>
  </si>
  <si>
    <t>Radio parts/repair</t>
  </si>
  <si>
    <t>50% of Subic</t>
  </si>
  <si>
    <t>PC Hardware (purchase)</t>
  </si>
  <si>
    <t>Same as Subic for items &lt; $1000, otherwise in Sus. Capital</t>
  </si>
  <si>
    <t>PC Software</t>
  </si>
  <si>
    <t>1 CMMS licenses @ $750 ea.+ upgrades</t>
  </si>
  <si>
    <t>PC Hardware Rental/Lease</t>
  </si>
  <si>
    <t>PC Maintenance</t>
  </si>
  <si>
    <t>Misc Freight Expenses</t>
  </si>
  <si>
    <t>Utilities (office water, power, gas)</t>
  </si>
  <si>
    <t>Assumed in Plant's House Load</t>
  </si>
  <si>
    <t>Public relations/Contributions</t>
  </si>
  <si>
    <t>Boat maintenance/repair</t>
  </si>
  <si>
    <t>Vehicle &amp; mobile equipment Lease</t>
  </si>
  <si>
    <t>2 x $600/month x 12 months/yr</t>
  </si>
  <si>
    <t>Vehicle maintenance/repair</t>
  </si>
  <si>
    <t>$500/vehicle/year</t>
  </si>
  <si>
    <t>Vehicle fuel</t>
  </si>
  <si>
    <t>see detail below</t>
  </si>
  <si>
    <t>Boat fuel</t>
  </si>
  <si>
    <t xml:space="preserve">Phone service </t>
  </si>
  <si>
    <t>Cellular phone service</t>
  </si>
  <si>
    <t>1 phones x $300/month</t>
  </si>
  <si>
    <t>6 x $5/month x 12 months</t>
  </si>
  <si>
    <t>Basis: Enron Risk Mgmt</t>
  </si>
  <si>
    <t>Control Room/Laboratory Expenses</t>
  </si>
  <si>
    <t>Lab analysis monthly, annual, etc</t>
  </si>
  <si>
    <t>Reagents &amp; Supplies</t>
  </si>
  <si>
    <t>Rental Equipment</t>
  </si>
  <si>
    <t>Analyzer Repairs</t>
  </si>
  <si>
    <t>Contract Labor/Temporaries</t>
  </si>
  <si>
    <t>5% of 75% of total</t>
  </si>
  <si>
    <t>Basis: OEC/Vineland Experience</t>
  </si>
  <si>
    <t>Operations Support (Year 1 Only)</t>
  </si>
  <si>
    <t xml:space="preserve">1ea.x$125/dayx30days </t>
  </si>
  <si>
    <t>1ea.x$1000 trip x 1trips (coach class)</t>
  </si>
  <si>
    <t xml:space="preserve">   Tax Protection (over 6 months)</t>
  </si>
  <si>
    <t>n/a</t>
  </si>
  <si>
    <t>Ops engineer for 1 month to aid in Initial Operating Period</t>
  </si>
  <si>
    <t>Chemicals &amp; Water Treatment</t>
  </si>
  <si>
    <t>Demin Acid/Caustic</t>
  </si>
  <si>
    <t>Trailer Leasing Mixed Beds</t>
  </si>
  <si>
    <t>$0.30/Mgal x 6GTs x 60 gal/min/gt x 60min/hr x 1800 hrs/yr</t>
  </si>
  <si>
    <t>Resin Replacement</t>
  </si>
  <si>
    <t>CT Chemicals</t>
  </si>
  <si>
    <t>assume at 2 cycles, ground water makeup</t>
  </si>
  <si>
    <t>Boiler Chemicals</t>
  </si>
  <si>
    <t>Desal RO Chemicals &amp; Membrane replacement</t>
  </si>
  <si>
    <t>Potable Water Chemicals</t>
  </si>
  <si>
    <t>SCR Ammonia usage</t>
  </si>
  <si>
    <t>46 lbs/hr/gt x 4 gts x 1300 hrs/year x $0.2/lb</t>
  </si>
  <si>
    <t>Hydrogen (generators)</t>
  </si>
  <si>
    <t>Assume air cooled</t>
  </si>
  <si>
    <t>Waste Water Treatment</t>
  </si>
  <si>
    <t>GT Water Wash Detergent</t>
  </si>
  <si>
    <t>4 drums / year</t>
  </si>
  <si>
    <t>freight</t>
  </si>
  <si>
    <t>5% of total</t>
  </si>
  <si>
    <t>Basis: source is 1000 ppm TDS ground water; CT flow 51000 gpm; range 10 deg F</t>
  </si>
  <si>
    <t>Paint &amp; Materials</t>
  </si>
  <si>
    <t xml:space="preserve">$70,000 x (270/414)^.6 </t>
  </si>
  <si>
    <t>Outside Contract Services</t>
  </si>
  <si>
    <t>Equipment rental</t>
  </si>
  <si>
    <t>Basis: 13 years of Actuals from Tx City/Clear Lake Plants</t>
  </si>
  <si>
    <t>Instruments &amp; Controls</t>
  </si>
  <si>
    <t>Repair Parts</t>
  </si>
  <si>
    <t>$3,375/yr x 6</t>
  </si>
  <si>
    <t>fixed</t>
  </si>
  <si>
    <t>Outside Repair Services</t>
  </si>
  <si>
    <t>Basis: Vineland, NJ experience (1 x LM6000)</t>
  </si>
  <si>
    <t>Water Treatment System</t>
  </si>
  <si>
    <t>$9,816 x (156 kpph/180 kpph)^.6 x 2,500hrs/2,500hrs</t>
  </si>
  <si>
    <t>scaled on throughput and hrs of operation</t>
  </si>
  <si>
    <t>Outside Contract Labor</t>
  </si>
  <si>
    <t>The mixed beds are leased</t>
  </si>
  <si>
    <t>Cooling System &amp; Chillers</t>
  </si>
  <si>
    <t>Scaled on plant size</t>
  </si>
  <si>
    <t>$179,000 x (270MW/414MW)^.6 x 60%</t>
  </si>
  <si>
    <t>multiplied by factor of 60% due to no STG at this plant</t>
  </si>
  <si>
    <t>Electrical/Substation/Interconnects</t>
  </si>
  <si>
    <t>Scaled on generator MW and # generators</t>
  </si>
  <si>
    <t>Electric Meter Calibration &amp; Testing</t>
  </si>
  <si>
    <t>Scaled cost = Labor Cost + Materials Cost</t>
  </si>
  <si>
    <t xml:space="preserve">Labor cost (25% of total) = 25% x $94,000 </t>
  </si>
  <si>
    <t xml:space="preserve">Material Cost (75% of total) = 75% x $94,000 x (1gens/4.5gens) </t>
  </si>
  <si>
    <t xml:space="preserve">                                           x (46.5MW/104MW)^0.6  </t>
  </si>
  <si>
    <t>5% of 11% of total</t>
  </si>
  <si>
    <t>Gas Turbines (excluding overhaul maint.)</t>
  </si>
  <si>
    <t>$35,000 x 6</t>
  </si>
  <si>
    <t>$22,000/gt x 1800hrs/2000 hrs x 6 gts</t>
  </si>
  <si>
    <t>variable</t>
  </si>
  <si>
    <t>preventive and corrective maintenance, to include</t>
  </si>
  <si>
    <t>semi-annual boroscope, calibration &amp; inspection by AE staff</t>
  </si>
  <si>
    <t xml:space="preserve">Equipment rental </t>
  </si>
  <si>
    <t>assumed to cover a few routine TIL installations each year</t>
  </si>
  <si>
    <t>.</t>
  </si>
  <si>
    <t>Does not include a membership into the Lease Engine Program</t>
  </si>
  <si>
    <t>Basis: Vineland, NJ experience (1 x LM6000 avg annual maint = $57,000 @ 2000 hrs)</t>
  </si>
  <si>
    <t>Selective Catalytic Reduction &amp; Ammonia System</t>
  </si>
  <si>
    <t>HRSG</t>
  </si>
  <si>
    <t>Chemical Feed system</t>
  </si>
  <si>
    <t>$3500/yr x 8700hrs/2500 hrs</t>
  </si>
  <si>
    <t>Condensate system</t>
  </si>
  <si>
    <t>feedwater system</t>
  </si>
  <si>
    <t>NOT IN SCOPE OF WORK</t>
  </si>
  <si>
    <t>Steam distribution system</t>
  </si>
  <si>
    <t>Auxiliary boiler</t>
  </si>
  <si>
    <t>Assuming minimal usage each year</t>
  </si>
  <si>
    <t>SCR + Ammonia system</t>
  </si>
  <si>
    <t>2% of cost $1,200,000/unit x 6 units</t>
  </si>
  <si>
    <t>Basis: OEC Vineland Experience</t>
  </si>
  <si>
    <t>Steam Turbine (including Scheduled Maint.)</t>
  </si>
  <si>
    <t>Non-scheduled maint. parts/repairs</t>
  </si>
  <si>
    <t>Scheduled Maint.</t>
  </si>
  <si>
    <t>Auxiliary Parts</t>
  </si>
  <si>
    <t>Potable Water System</t>
  </si>
  <si>
    <t>Fuel Handling &amp; Compression System</t>
  </si>
  <si>
    <t>system, metering, valves, piping</t>
  </si>
  <si>
    <t>Gas compression/yr</t>
  </si>
  <si>
    <t>Basis: Vineland, NJ experience</t>
  </si>
  <si>
    <t>Miscellaneous Maintenance Expense</t>
  </si>
  <si>
    <t>Warehouse Supplies</t>
  </si>
  <si>
    <t>Vehicle Fuel/Gasoline</t>
  </si>
  <si>
    <t>Vehicle Repairs &amp; Maintenance</t>
  </si>
  <si>
    <t>Vehicle Lease</t>
  </si>
  <si>
    <t>Equipment/tools rental</t>
  </si>
  <si>
    <t>Lubricants/Turbine Oil/Grease/Compounds</t>
  </si>
  <si>
    <t>Tools &amp; Tool Repair</t>
  </si>
  <si>
    <t>Maint. Materials &amp; Supplies</t>
  </si>
  <si>
    <t>CEMS maint</t>
  </si>
  <si>
    <t>Fire Protection System</t>
  </si>
  <si>
    <t>Wastewater System</t>
  </si>
  <si>
    <t>Instrument Air system</t>
  </si>
  <si>
    <t>Radio Parts and repairs</t>
  </si>
  <si>
    <t>BOP Repairs</t>
  </si>
  <si>
    <t>Hydrogen</t>
  </si>
  <si>
    <t>O&amp;M Annual Fee</t>
  </si>
  <si>
    <t>This is included in benefits loading under payroll</t>
  </si>
  <si>
    <t>Major Equipment Maintenance Program (20 year total)</t>
  </si>
  <si>
    <t>$/Fired Hr for 20 year term is calculated as:</t>
  </si>
  <si>
    <t>Maintenance Accrual should be:</t>
  </si>
  <si>
    <t>Administrative/Technical</t>
  </si>
  <si>
    <t>Sustaining Project Expenses</t>
  </si>
  <si>
    <t>10% of procurement items</t>
  </si>
  <si>
    <t>Basis: Eval team concensus</t>
  </si>
  <si>
    <t>Vehicular Fuel Usage</t>
  </si>
  <si>
    <t>1 Trucks:</t>
  </si>
  <si>
    <t>1 x gal/15 miles x $1.3/gal x 30,000 miles/yr</t>
  </si>
  <si>
    <t>0 Van &amp; 1 Flat-bed Truck:</t>
  </si>
  <si>
    <t>2 x gal/ 10 miles x $1.5/gal x 20 miles/day x 365 days/year</t>
  </si>
  <si>
    <t>1 Forklifts:</t>
  </si>
  <si>
    <t>1 x 2 gal/hr x $1.5/gal x 1 hr/day x 180 days/yr</t>
  </si>
  <si>
    <t>0 Crane:</t>
  </si>
  <si>
    <t>5 gal/hr x $1.5/gal x 40 days/yr x 8 hours/day</t>
  </si>
  <si>
    <t>0 Crew Boats:</t>
  </si>
  <si>
    <t>20 gal/hr x 1hr/30 miles x 30 miles x 2rd trips/d x365 days/yr x $1.5/gal x 2.0 (idle factor)</t>
  </si>
  <si>
    <t>THESE COSTS ARE ALREADY INCLUDED ABOVE IN "OFFICE SUPPLIES/EXPENSES"</t>
  </si>
  <si>
    <t xml:space="preserve">Basis: </t>
  </si>
  <si>
    <t>Note:</t>
  </si>
  <si>
    <t>1/ Fixed Maintenance costs are assumed to be 50% parts, 25% labor, 25% consumables.</t>
  </si>
  <si>
    <t>0..</t>
  </si>
  <si>
    <t>GE LM6000 - Major Maintenance Reserve</t>
  </si>
  <si>
    <t>Gas Fired Operation</t>
  </si>
  <si>
    <t>Project Life</t>
  </si>
  <si>
    <t>Lease Club Membership Fees Not Included</t>
  </si>
  <si>
    <t>total cost</t>
  </si>
  <si>
    <t>cost per engine</t>
  </si>
  <si>
    <t>Total Number of Installed Units</t>
  </si>
  <si>
    <t>cost per year per engine</t>
  </si>
  <si>
    <t>cost per FIRED hour per engine</t>
  </si>
  <si>
    <t>Inputs</t>
  </si>
  <si>
    <t>Annual Lease Club Fees</t>
  </si>
  <si>
    <t>per engine</t>
  </si>
  <si>
    <t>$201,368 for LM6000 DLE (PD) &amp; 20% increase for liquid fuel operation</t>
  </si>
  <si>
    <t xml:space="preserve">Lease Engine Usage Fee </t>
  </si>
  <si>
    <t>per week (1-26 weeks)</t>
  </si>
  <si>
    <t>50,000 hour engine refurbishment assumes 16 week usage of lease engine</t>
  </si>
  <si>
    <t>Preventative Maintenance</t>
  </si>
  <si>
    <t>per year</t>
  </si>
  <si>
    <t>Semi-Annual Preventative Maintenance included in annual O&amp;M</t>
  </si>
  <si>
    <t>Hot Section Refurbishment / 24,000 hrs</t>
  </si>
  <si>
    <t>per GT</t>
  </si>
  <si>
    <t>Rotable exchange for the hot section</t>
  </si>
  <si>
    <t>Engine Refurbishment / 50,000 hrs</t>
  </si>
  <si>
    <t>Depot level repair</t>
  </si>
  <si>
    <t>Labor &amp; Engineering / Hot Section</t>
  </si>
  <si>
    <t>Misc rentals, Freight, Travel &amp; diem for GE personnel</t>
  </si>
  <si>
    <t>Labor &amp; Engineering / Major</t>
  </si>
  <si>
    <t>Fired hrs/yr</t>
  </si>
  <si>
    <t>Hours (EOY)</t>
  </si>
  <si>
    <t>Maint Inspection (C, H or M)</t>
  </si>
  <si>
    <t>H</t>
  </si>
  <si>
    <t>Comb., Hot Sec &amp; Major Maint. Cost</t>
  </si>
  <si>
    <t>Preventative Miantenance</t>
  </si>
  <si>
    <t>Labor &amp; Engineering</t>
  </si>
  <si>
    <t>Lease Program</t>
  </si>
  <si>
    <t>Lease Engine Usage Fee</t>
  </si>
  <si>
    <t>Yearly Totals</t>
  </si>
  <si>
    <t>Assumptions:</t>
  </si>
  <si>
    <t>1. Hot Gas Path inspection conducted at 25,000 fired hour intervals and Major at 50,000 hour intervals.</t>
  </si>
  <si>
    <t>2. Pricing in 2000 USD. Does not include escalation beyond that.</t>
  </si>
  <si>
    <t>3. Assumes that Owner will not enter the Lease Engine Membership program.</t>
  </si>
  <si>
    <t>4. Maintenance and lease costs from George Graham/GE Mar 2000 e-mail.</t>
  </si>
  <si>
    <t>BASE LOAD CASE</t>
  </si>
  <si>
    <t>Lease Club Membership Fees Included</t>
  </si>
  <si>
    <t>cost per year</t>
  </si>
  <si>
    <t>cost per FIRED hour</t>
  </si>
  <si>
    <t>48,000 hour engine refurbishment assumes assumes 12 week usage of lease engine</t>
  </si>
  <si>
    <t>Semi-Annual Preventative Maintenance</t>
  </si>
  <si>
    <t>(rotable exchnage)</t>
  </si>
  <si>
    <t>excludes DLE adder</t>
  </si>
  <si>
    <t>Engine Refurbishment / 48,000 hrs</t>
  </si>
  <si>
    <t>excluding 20% adder for DLN</t>
  </si>
  <si>
    <t>Travel &amp; diem for GE personnel</t>
  </si>
  <si>
    <t>Maint Inspection (H or M)</t>
  </si>
  <si>
    <t>Hot Sec &amp; Major Maint.</t>
  </si>
  <si>
    <t>1. Hot Gas Path inspection conducted at 25,000 fired hour intervals.</t>
  </si>
  <si>
    <t>2. Major inspection conducted at 50,000 fired hour intervals.</t>
  </si>
  <si>
    <t>3. Maintenance and lease costs from George Graham/Stewart &amp; Stevenson 12/10/99 e-mail.</t>
  </si>
  <si>
    <r>
      <t>GT&amp;G Operation &amp; Familiarization (equip vendor)</t>
    </r>
    <r>
      <rPr>
        <vertAlign val="superscript"/>
        <sz val="10"/>
        <rFont val="Arial"/>
        <family val="2"/>
      </rPr>
      <t>3</t>
    </r>
  </si>
  <si>
    <r>
      <t>GTG controls MK VI (equip vendor)</t>
    </r>
    <r>
      <rPr>
        <vertAlign val="superscript"/>
        <sz val="10"/>
        <rFont val="Arial"/>
        <family val="2"/>
      </rPr>
      <t>3</t>
    </r>
  </si>
  <si>
    <t>Chemicals</t>
  </si>
  <si>
    <t>Estimated Cost Schedule for 180 Starts</t>
  </si>
  <si>
    <t>EPC &amp; O&amp;M Info received and entered.  Steve Rose provided EPC info and</t>
  </si>
  <si>
    <t>Scot Chambers provided O&amp;M info.</t>
  </si>
  <si>
    <t>PRESET SCENARIOS</t>
  </si>
  <si>
    <t xml:space="preserve">Annual Escalator </t>
  </si>
  <si>
    <t>(include costs, revenues, and capacity prices)</t>
  </si>
  <si>
    <t>Operating Expenses</t>
  </si>
  <si>
    <t>Dispatch</t>
  </si>
  <si>
    <t>Kaiser Capacity Price Estimates</t>
  </si>
  <si>
    <t>DSCR</t>
  </si>
  <si>
    <t>IRR</t>
  </si>
  <si>
    <t>MIN</t>
  </si>
  <si>
    <t>AVG</t>
  </si>
  <si>
    <t>Sensitivity Selections:</t>
  </si>
  <si>
    <t>Choices</t>
  </si>
  <si>
    <t>Annual Escalator (%)</t>
  </si>
  <si>
    <t>Kaiser Price Options</t>
  </si>
  <si>
    <t>Base</t>
  </si>
  <si>
    <t>Low</t>
  </si>
  <si>
    <t>Customize</t>
  </si>
  <si>
    <t>Chosen</t>
  </si>
  <si>
    <t>ASSUMPTIONS &amp; SUMMARY OUTPUT</t>
  </si>
  <si>
    <t>SOURCES &amp; USES:</t>
  </si>
  <si>
    <t>TECHNICAL ASSUMPTIONS:</t>
  </si>
  <si>
    <t>Sources of Funds</t>
  </si>
  <si>
    <t>%</t>
  </si>
  <si>
    <t>000 $</t>
  </si>
  <si>
    <t xml:space="preserve">Total Equity </t>
  </si>
  <si>
    <t>Total Sources</t>
  </si>
  <si>
    <t>Number of Turbines</t>
  </si>
  <si>
    <t>Equity Partner's Share</t>
  </si>
  <si>
    <t>Enron's Share</t>
  </si>
  <si>
    <t>Annual Operating Hours</t>
  </si>
  <si>
    <t>Tranche 1</t>
  </si>
  <si>
    <t>Tranche 2</t>
  </si>
  <si>
    <t>Tranche 3</t>
  </si>
  <si>
    <t>Total</t>
  </si>
  <si>
    <t>Number of Starts per year</t>
  </si>
  <si>
    <t>Summary</t>
  </si>
  <si>
    <t>Amount ('000 $)</t>
  </si>
  <si>
    <t>Term (yrs)</t>
  </si>
  <si>
    <t>Final Maturity</t>
  </si>
  <si>
    <t>Energy Charge ($/MWh)</t>
  </si>
  <si>
    <t>Treasury Rate (%)</t>
  </si>
  <si>
    <t>Block Charge ($/start/turbine)</t>
  </si>
  <si>
    <t>Spread (%)</t>
  </si>
  <si>
    <t>All In Coupon Rate (%)</t>
  </si>
  <si>
    <t>Interest Income Rate</t>
  </si>
  <si>
    <t>DEPRECIATION ASSUMPTIONS:</t>
  </si>
  <si>
    <t>Market Period Energy Margin ($/MWh)</t>
  </si>
  <si>
    <t>Year</t>
  </si>
  <si>
    <t>Method</t>
  </si>
  <si>
    <t>Residual (%)</t>
  </si>
  <si>
    <t>Federal &amp; State Tax Depreciation</t>
  </si>
  <si>
    <t xml:space="preserve">EPC Costs </t>
  </si>
  <si>
    <t>MACRS</t>
  </si>
  <si>
    <t xml:space="preserve">Transaction Costs </t>
  </si>
  <si>
    <t>SL</t>
  </si>
  <si>
    <t>TAX ASSUMPTIONS:</t>
  </si>
  <si>
    <t>Book Depreciation</t>
  </si>
  <si>
    <t>SUMMARY OUTPUT:</t>
  </si>
  <si>
    <t>OPERATING COSTS ASSUMPTIONS:</t>
  </si>
  <si>
    <t>Min</t>
  </si>
  <si>
    <t>Avg.</t>
  </si>
  <si>
    <t>Fixed O&amp;M</t>
  </si>
  <si>
    <t>Variable O&amp;M</t>
  </si>
  <si>
    <t>Insurance</t>
  </si>
  <si>
    <t>Utilities, Start Power</t>
  </si>
  <si>
    <t>Custom</t>
  </si>
  <si>
    <t>('000 $)</t>
  </si>
  <si>
    <t>Revenue</t>
  </si>
  <si>
    <t>Energy Margin</t>
  </si>
  <si>
    <t>Total Revenue</t>
  </si>
  <si>
    <t>Total Expense</t>
  </si>
  <si>
    <t>EBITDA</t>
  </si>
  <si>
    <t>Depreciation &amp; Amortization</t>
  </si>
  <si>
    <t>EBIT</t>
  </si>
  <si>
    <t>EBT</t>
  </si>
  <si>
    <t>Book State Tax Benefit / (Expense)</t>
  </si>
  <si>
    <t>Shareholder Fed. Tax Benefit / (Expense)</t>
  </si>
  <si>
    <t>Net Income</t>
  </si>
  <si>
    <t>Pre Tax Cash Flow</t>
  </si>
  <si>
    <t>After Tax Cash Flow</t>
  </si>
  <si>
    <t>EQUITY PARTNER'S CASHFLOW</t>
  </si>
  <si>
    <t>Equity Contributions from Equity Partner</t>
  </si>
  <si>
    <t>Net CF</t>
  </si>
  <si>
    <t>Equity Partner's After-Tax IRR w/ 5x EBITDA Residual (20 yr.)</t>
  </si>
  <si>
    <t>Spread</t>
  </si>
  <si>
    <t xml:space="preserve">Spread </t>
  </si>
  <si>
    <t>All In Coupon Rate</t>
  </si>
  <si>
    <t>Total amount ($ '000)</t>
  </si>
  <si>
    <t>Annual Amortization Tranche 1</t>
  </si>
  <si>
    <t>Annual Amortization Tranche 2</t>
  </si>
  <si>
    <t>Beginning Balance</t>
  </si>
  <si>
    <t xml:space="preserve">Principal Payment </t>
  </si>
  <si>
    <t xml:space="preserve">Interest Payment </t>
  </si>
  <si>
    <t>Ending Balance</t>
  </si>
  <si>
    <t>Net Debt Service</t>
  </si>
  <si>
    <t>DSCR Fixed Price PPA Period</t>
  </si>
  <si>
    <t>US FEDERAL TAX DEPRECIATION &amp; AMORTIZATION</t>
  </si>
  <si>
    <t>Years</t>
  </si>
  <si>
    <t>Total Hard Costs, Capitalized Interests, and Contingency- MACRS</t>
  </si>
  <si>
    <t>Transaction Costs</t>
  </si>
  <si>
    <t>Total Hard Costs and Capitalized Interests (Land not included)</t>
  </si>
  <si>
    <t>Total Beginning Book Value</t>
  </si>
  <si>
    <t>Ending Value of Assets</t>
  </si>
  <si>
    <t>STATE TAX DEPRECIATION &amp; AMORTIZATION</t>
  </si>
  <si>
    <t>BOOK DEPRECIATION &amp; AMORTIZATION</t>
  </si>
  <si>
    <t>Residual</t>
  </si>
  <si>
    <t>Total Hard Costs, Capitalized Interests, and Contingency- SL</t>
  </si>
  <si>
    <t>Ending Book Value of Assets</t>
  </si>
  <si>
    <t>STATE TAXES</t>
  </si>
  <si>
    <t>State Income Taxes</t>
  </si>
  <si>
    <t xml:space="preserve">   Pretax Book Income</t>
  </si>
  <si>
    <t xml:space="preserve">   Plus Book Depreciation &amp; Amortization</t>
  </si>
  <si>
    <t xml:space="preserve">   Less State Tax Depreciation</t>
  </si>
  <si>
    <t xml:space="preserve">   State Taxable Income</t>
  </si>
  <si>
    <t xml:space="preserve">   Current State Income Tax Expense (Benefit)</t>
  </si>
  <si>
    <t xml:space="preserve">   Beginning NOL's</t>
  </si>
  <si>
    <t xml:space="preserve">   New NOL's</t>
  </si>
  <si>
    <t xml:space="preserve">   Expired NOL's</t>
  </si>
  <si>
    <t xml:space="preserve">   NOL Utilization</t>
  </si>
  <si>
    <t xml:space="preserve">   Ending NOL's</t>
  </si>
  <si>
    <t>TOTAL STATE TAXES</t>
  </si>
  <si>
    <t xml:space="preserve">        Total State Taxes Utilizing NOLs</t>
  </si>
  <si>
    <t>FEDERAL TAXES</t>
  </si>
  <si>
    <t xml:space="preserve">   Less: Federal Tax Depreciation</t>
  </si>
  <si>
    <t xml:space="preserve">   Less: State Taxes</t>
  </si>
  <si>
    <t xml:space="preserve">   Taxable Income</t>
  </si>
  <si>
    <t xml:space="preserve">   Federal Tax Rate</t>
  </si>
  <si>
    <t xml:space="preserve">   Federal Tax Expense/ (Benefit)</t>
  </si>
  <si>
    <t xml:space="preserve">   NOL Carryforward</t>
  </si>
  <si>
    <t xml:space="preserve">   Total Federal Cash Taxes Payable/(Benefit)</t>
  </si>
  <si>
    <t>Less Interest Payments</t>
  </si>
  <si>
    <t>Less Principal Payments</t>
  </si>
  <si>
    <t>Cash Principal Payments</t>
  </si>
  <si>
    <t>Plus Capitalized Interest</t>
  </si>
  <si>
    <t>Current (Annual)</t>
  </si>
  <si>
    <t xml:space="preserve">Debt Issued </t>
  </si>
  <si>
    <t xml:space="preserve">     Less Capitalized Interest</t>
  </si>
  <si>
    <t>ANNUAL CASH FLOW AND IRR</t>
  </si>
  <si>
    <t>Equity Closed</t>
  </si>
  <si>
    <t>Debt Issuance</t>
  </si>
  <si>
    <t>Increase in Op Exp (%)</t>
  </si>
  <si>
    <t>EQUITY PARTNER'S</t>
  </si>
  <si>
    <t>CHANGES</t>
  </si>
  <si>
    <t>DATE</t>
  </si>
  <si>
    <t>Key Stats</t>
  </si>
  <si>
    <t xml:space="preserve">Average DSCR </t>
  </si>
  <si>
    <t>Minimum DSCR</t>
  </si>
  <si>
    <t>Escalated Costs:</t>
  </si>
  <si>
    <t>Non-Escalated Costs:</t>
  </si>
  <si>
    <t xml:space="preserve">Property Taxes &amp; Other </t>
  </si>
  <si>
    <t>Evaporative Cooler (MW)</t>
  </si>
  <si>
    <t>Consultant Real $</t>
  </si>
  <si>
    <t>Consultant Nominal $</t>
  </si>
  <si>
    <t>Base ($/kw-year )</t>
  </si>
  <si>
    <t>Low ($/kw-year)</t>
  </si>
  <si>
    <t>Base ($/kw-year)</t>
  </si>
  <si>
    <t>Base ($/kW-month)</t>
  </si>
  <si>
    <t>Low ($/kW-month)</t>
  </si>
  <si>
    <t>PLEASE TRACK</t>
  </si>
  <si>
    <t>Power Desk</t>
  </si>
  <si>
    <t>(Months)</t>
  </si>
  <si>
    <t>PROJECT DESCRIPTION:</t>
  </si>
  <si>
    <t>Turbine Rating</t>
  </si>
  <si>
    <t>Heat Rate (HHV)</t>
  </si>
  <si>
    <t>Demand Charge ($/kW-mo)</t>
  </si>
  <si>
    <t>PPA ASSUMPTIONS:</t>
  </si>
  <si>
    <t>PPA Start Date</t>
  </si>
  <si>
    <t>CAPACITY PRICE ASSUMPTIONS</t>
  </si>
  <si>
    <t>INCOME STATEMENT</t>
  </si>
  <si>
    <t>DEBT ISSUANCE</t>
  </si>
  <si>
    <t>DEPRECIATION SCHEDULE</t>
  </si>
  <si>
    <t>TAXES</t>
  </si>
  <si>
    <t xml:space="preserve">   State Income Tax Rate</t>
  </si>
  <si>
    <t>Plus: Supplemental Tax</t>
  </si>
  <si>
    <t>PROJECT CASH FLOW</t>
  </si>
  <si>
    <t>Equity Partner's Cashflow with No Residual</t>
  </si>
  <si>
    <t>20 Yrs After-Tax Cashflow &amp; w/o Residual Value</t>
  </si>
  <si>
    <t>EBITDA (000 $)</t>
  </si>
  <si>
    <t>Net Income (000 $)</t>
  </si>
  <si>
    <t>After-Tax Cashflow (000 $)</t>
  </si>
  <si>
    <t>Financing Costs:</t>
  </si>
  <si>
    <t xml:space="preserve">  Financing Fee</t>
  </si>
  <si>
    <t xml:space="preserve">  Debt Reserves</t>
  </si>
  <si>
    <t>Total Uses</t>
  </si>
  <si>
    <t>Uses of Funds</t>
  </si>
  <si>
    <t xml:space="preserve">  Legal Fees</t>
  </si>
  <si>
    <t>Type of Turbine</t>
  </si>
  <si>
    <t>Project Life (Years)</t>
  </si>
  <si>
    <t>Start of Commercial Operation</t>
  </si>
  <si>
    <t>End of Commercial Operation</t>
  </si>
  <si>
    <t>DEBT</t>
  </si>
  <si>
    <t>EQUITY</t>
  </si>
  <si>
    <t>20 Yrs After-Tax Cashflow &amp; w Residual Value</t>
  </si>
  <si>
    <t>FINANCING ASSUMPTIONS:</t>
  </si>
  <si>
    <t>Fixed Price Period</t>
  </si>
  <si>
    <t>No. of Years</t>
  </si>
  <si>
    <t>Market Price Period</t>
  </si>
  <si>
    <t>Block Payment</t>
  </si>
  <si>
    <t>Market Period:</t>
  </si>
  <si>
    <t>Fixed Price Period:</t>
  </si>
  <si>
    <t>Capacity Revenue</t>
  </si>
  <si>
    <t>Energy Revenue</t>
  </si>
  <si>
    <t>Variable Energy Revenue</t>
  </si>
  <si>
    <t>Ancillary Services</t>
  </si>
  <si>
    <t>Fees</t>
  </si>
  <si>
    <t>Market Price Scenario</t>
  </si>
  <si>
    <t>Capacity Factor (%)</t>
  </si>
  <si>
    <t>Degradation Factor (%)</t>
  </si>
  <si>
    <t>Net Generation (MW)</t>
  </si>
  <si>
    <t>Degraded Capacity (MW)</t>
  </si>
  <si>
    <t>000 $/kW</t>
  </si>
  <si>
    <t>$/MW</t>
  </si>
  <si>
    <t>Fuel</t>
  </si>
  <si>
    <t>Debt Service Reserve Fee</t>
  </si>
  <si>
    <t>EPC</t>
  </si>
  <si>
    <t>Soft Cost &amp; Other Misc Project Cost</t>
  </si>
  <si>
    <t>Cost Summary</t>
  </si>
  <si>
    <t>000$/ MW</t>
  </si>
  <si>
    <t>Residual Value</t>
  </si>
  <si>
    <t>Equity Partner's Cashflow with Residual Value</t>
  </si>
  <si>
    <t>Treasury Rate as of:</t>
  </si>
  <si>
    <t>Site Condition (MW)</t>
  </si>
  <si>
    <t>Net Output before Degradation (MW)</t>
  </si>
  <si>
    <t>000$</t>
  </si>
  <si>
    <t>Federal Income Tax Rate (%)</t>
  </si>
  <si>
    <t>State Income Tax Rate (%)</t>
  </si>
  <si>
    <t>(To be linked to Dispatch Model)</t>
  </si>
  <si>
    <t>Financial Close</t>
  </si>
  <si>
    <t>REFERENCE SHEET</t>
  </si>
  <si>
    <t xml:space="preserve">Information </t>
  </si>
  <si>
    <t>Source</t>
  </si>
  <si>
    <t>Date</t>
  </si>
  <si>
    <t>No.</t>
  </si>
  <si>
    <t>Start of Construction</t>
  </si>
  <si>
    <t>No. of Months in the 1st Operating year</t>
  </si>
  <si>
    <t>ENRON'S EQUITY CASHFLOW</t>
  </si>
  <si>
    <t>Equity Contributions from Enron</t>
  </si>
  <si>
    <t>Enron's Cashflow with No Residual</t>
  </si>
  <si>
    <t>Equity CF</t>
  </si>
  <si>
    <t>Other CF</t>
  </si>
  <si>
    <t>Total CF</t>
  </si>
  <si>
    <t xml:space="preserve">  State Tax Benefit / (Expense)</t>
  </si>
  <si>
    <t xml:space="preserve">  Federal Tax Benefit / (Expense)</t>
  </si>
  <si>
    <t>Other Cashflow</t>
  </si>
  <si>
    <t xml:space="preserve">Term </t>
  </si>
  <si>
    <t>Treasury</t>
  </si>
  <si>
    <t>Period 1</t>
  </si>
  <si>
    <t>Period 2</t>
  </si>
  <si>
    <t>Interest Expense</t>
  </si>
  <si>
    <t>Principal Payments</t>
  </si>
  <si>
    <t>Tranche 1 Debt Service</t>
  </si>
  <si>
    <t>Tranche 2  Debt Service</t>
  </si>
  <si>
    <t>Tranche 3 Debt Service</t>
  </si>
  <si>
    <t>Total Interest Expense</t>
  </si>
  <si>
    <t>Total Per Unit</t>
  </si>
  <si>
    <t>For All Units Purchased</t>
  </si>
  <si>
    <t>Other Costs</t>
  </si>
  <si>
    <t>Start Up</t>
  </si>
  <si>
    <t>IDC</t>
  </si>
  <si>
    <t>Start Up Fuel</t>
  </si>
  <si>
    <t>Total EPC</t>
  </si>
  <si>
    <t>Equity PartnerReturns</t>
  </si>
  <si>
    <t>Payroll and Burden</t>
  </si>
  <si>
    <t>Admin Fee</t>
  </si>
  <si>
    <t>O&amp;M Fee</t>
  </si>
  <si>
    <t xml:space="preserve">  Total Fixed O&amp;M</t>
  </si>
  <si>
    <t>Water Treatment</t>
  </si>
  <si>
    <t>FERC Fee</t>
  </si>
  <si>
    <t>$/MWh</t>
  </si>
  <si>
    <t xml:space="preserve">  Total Variable O&amp;M</t>
  </si>
  <si>
    <t>Interconnection Fees</t>
  </si>
  <si>
    <t>Gas Pipeline Metering Station</t>
  </si>
  <si>
    <t>Miscelaneous</t>
  </si>
  <si>
    <t>Expenses</t>
  </si>
  <si>
    <t>Payroll &amp; Burden</t>
  </si>
  <si>
    <t>Cumulative Starts</t>
  </si>
  <si>
    <t>MEV</t>
  </si>
  <si>
    <t>Revenue Per Start for First 150 Starts</t>
  </si>
  <si>
    <t>Revenue Per Start for Next 50 Starts</t>
  </si>
  <si>
    <t>Revenue Per Start for Remaining Starts</t>
  </si>
  <si>
    <t>Fixed G&amp;A:</t>
  </si>
  <si>
    <t xml:space="preserve">  Total Fixed G&amp;A</t>
  </si>
  <si>
    <t>Start Up Costs</t>
  </si>
  <si>
    <t>Major Maintenance Cost per Start</t>
  </si>
  <si>
    <t xml:space="preserve">  Total Start Up Costs</t>
  </si>
  <si>
    <t>Start Ups Payment</t>
  </si>
  <si>
    <t>Major Maintenance</t>
  </si>
  <si>
    <r>
      <t xml:space="preserve">  </t>
    </r>
    <r>
      <rPr>
        <b/>
        <sz val="10"/>
        <rFont val="Arial"/>
        <family val="2"/>
      </rPr>
      <t>Total Fixed O&amp;M</t>
    </r>
  </si>
  <si>
    <t>Fixed G&amp;A</t>
  </si>
  <si>
    <t>Other</t>
  </si>
  <si>
    <t xml:space="preserve">  Total Other</t>
  </si>
  <si>
    <t>Exit Multiple $/KW</t>
  </si>
  <si>
    <t>$/MW Exit Multiple (in current $'s)</t>
  </si>
  <si>
    <t>Plant Pre-Mobilization and Mobilization O&amp;M</t>
  </si>
  <si>
    <t>Counter</t>
  </si>
  <si>
    <t>Availability</t>
  </si>
  <si>
    <t>Sources &amp; Uses</t>
  </si>
  <si>
    <t>Sources</t>
  </si>
  <si>
    <t>D,D&amp;A</t>
  </si>
  <si>
    <t>Uses</t>
  </si>
  <si>
    <t>Capex</t>
  </si>
  <si>
    <t>Increase in WC</t>
  </si>
  <si>
    <t>Net Principle Repayments</t>
  </si>
  <si>
    <t>Surplus (Deficit)</t>
  </si>
  <si>
    <t>Net Generation MW/h</t>
  </si>
  <si>
    <t>Number of Starts (Current Year)</t>
  </si>
  <si>
    <t>Discount Rate</t>
  </si>
  <si>
    <t>Cumulative Period of PPA</t>
  </si>
  <si>
    <t>Amortization Type</t>
  </si>
  <si>
    <t>Level</t>
  </si>
  <si>
    <t>Balance Sheet</t>
  </si>
  <si>
    <t>Assets:</t>
  </si>
  <si>
    <t>Cash</t>
  </si>
  <si>
    <t>Accounts Receivable</t>
  </si>
  <si>
    <t>Inventories</t>
  </si>
  <si>
    <t>Other Current Assets</t>
  </si>
  <si>
    <t>Debt Service Reserve</t>
  </si>
  <si>
    <t>Maintenance Reserve</t>
  </si>
  <si>
    <t>Total Current Assets</t>
  </si>
  <si>
    <t>Gross PP&amp;E</t>
  </si>
  <si>
    <t>Accumulated Depreciation</t>
  </si>
  <si>
    <t>Net PP&amp;E</t>
  </si>
  <si>
    <t>Other Assets</t>
  </si>
  <si>
    <t>Total Assets</t>
  </si>
  <si>
    <t>Liabilities</t>
  </si>
  <si>
    <t>Accounts Payable</t>
  </si>
  <si>
    <t>Accrued Expenses</t>
  </si>
  <si>
    <t>Deferred Tax Liability</t>
  </si>
  <si>
    <t>Working Capital Revolver</t>
  </si>
  <si>
    <t>Long Term Debt</t>
  </si>
  <si>
    <t>Other Non-Current Liabilities</t>
  </si>
  <si>
    <t>Total Long-term Liabilities</t>
  </si>
  <si>
    <t>Stockholders' Equity</t>
  </si>
  <si>
    <t>Paid-In-Capital</t>
  </si>
  <si>
    <t>Retained earnings</t>
  </si>
  <si>
    <t>Total stockholders' equity</t>
  </si>
  <si>
    <t>Total Liabilities &amp; Equity</t>
  </si>
  <si>
    <t>Proof</t>
  </si>
  <si>
    <t>Turbine Cost of Carry Calculations</t>
  </si>
  <si>
    <t>Turbine Cost of Carry</t>
  </si>
  <si>
    <t>Cost of Capital for WLB</t>
  </si>
  <si>
    <t>Annual</t>
  </si>
  <si>
    <t>Daily</t>
  </si>
  <si>
    <t>Turbines to be delivered</t>
  </si>
  <si>
    <t>$ per all turbines</t>
  </si>
  <si>
    <t>FV At Delivery</t>
  </si>
  <si>
    <t>Draw Schedule</t>
  </si>
  <si>
    <t>Construction Month</t>
  </si>
  <si>
    <t>Month</t>
  </si>
  <si>
    <t>Construction Draw Schedule</t>
  </si>
  <si>
    <t xml:space="preserve">Percentage Draw of EPC by Month </t>
  </si>
  <si>
    <t>Spending</t>
  </si>
  <si>
    <t>Turbine Costs (including carry)</t>
  </si>
  <si>
    <t>Construction Costs</t>
  </si>
  <si>
    <t xml:space="preserve">Total Spending </t>
  </si>
  <si>
    <t>Financing Sources</t>
  </si>
  <si>
    <t xml:space="preserve">Debt Pct. </t>
  </si>
  <si>
    <t>Pct. Of Total</t>
  </si>
  <si>
    <t>Debt Tranche 1</t>
  </si>
  <si>
    <t>Debt Tranche 2</t>
  </si>
  <si>
    <t>Equity</t>
  </si>
  <si>
    <t xml:space="preserve">Total </t>
  </si>
  <si>
    <t>Available Funds</t>
  </si>
  <si>
    <t>Additions</t>
  </si>
  <si>
    <t>Ending AvailableFunds</t>
  </si>
  <si>
    <t>Accrued Interest</t>
  </si>
  <si>
    <t>Total Accrued Interest</t>
  </si>
  <si>
    <t>Total Cash Taxes</t>
  </si>
  <si>
    <t>Total Book Taxes</t>
  </si>
  <si>
    <t xml:space="preserve">  Total Deferred Tax Liability</t>
  </si>
  <si>
    <t xml:space="preserve">  Cumulative DTL</t>
  </si>
  <si>
    <t>Change in Deferred Taxes</t>
  </si>
  <si>
    <t>Dividends Paid</t>
  </si>
  <si>
    <t>Change in Cash</t>
  </si>
  <si>
    <t>Pump Motors</t>
  </si>
  <si>
    <t>Freight &amp; Heavy Haul</t>
  </si>
  <si>
    <t>Nepco Engineering</t>
  </si>
  <si>
    <t>Equipment</t>
  </si>
  <si>
    <t>Construction</t>
  </si>
  <si>
    <t>U/G Electrical</t>
  </si>
  <si>
    <t>U/G Piping</t>
  </si>
  <si>
    <t>Concrete &amp; Grout</t>
  </si>
  <si>
    <t>Structural Steel</t>
  </si>
  <si>
    <t>Buildings</t>
  </si>
  <si>
    <t>A/G Piping</t>
  </si>
  <si>
    <t>A/G Electrical</t>
  </si>
  <si>
    <t>Instrumentation</t>
  </si>
  <si>
    <t>Insulation - Mech</t>
  </si>
  <si>
    <t>Painting</t>
  </si>
  <si>
    <t>GTG</t>
  </si>
  <si>
    <t>Productivity Loss</t>
  </si>
  <si>
    <t>Directs</t>
  </si>
  <si>
    <t>Total Directs</t>
  </si>
  <si>
    <t>Indirects</t>
  </si>
  <si>
    <t>Construction Equipment</t>
  </si>
  <si>
    <t>SM Tools</t>
  </si>
  <si>
    <t>Gen'l Cond</t>
  </si>
  <si>
    <t>Tota Indirects</t>
  </si>
  <si>
    <t>Margin</t>
  </si>
  <si>
    <t>Project Management</t>
  </si>
  <si>
    <t>Legal Fees (As % of Loan)</t>
  </si>
  <si>
    <t>Financing</t>
  </si>
  <si>
    <t>Legal &amp; Debt Reserve</t>
  </si>
  <si>
    <t>Soft Costs</t>
  </si>
  <si>
    <t>Contingency</t>
  </si>
  <si>
    <t>Turbine Carry</t>
  </si>
  <si>
    <t>Turbines (excluding carry)</t>
  </si>
  <si>
    <t>Fixed Maintenance</t>
  </si>
  <si>
    <t>Total Mob Costs</t>
  </si>
  <si>
    <t>Spares</t>
  </si>
  <si>
    <t>Number of Starts to Maintenance Draw</t>
  </si>
  <si>
    <t>Number of Starts per Year</t>
  </si>
  <si>
    <t>Total Cumulative Starts</t>
  </si>
  <si>
    <t>Annual Overhaul Accrual Expense</t>
  </si>
  <si>
    <t>Working Capital</t>
  </si>
  <si>
    <t>Type</t>
  </si>
  <si>
    <t xml:space="preserve"> In Days or $</t>
  </si>
  <si>
    <t xml:space="preserve">Operating Cash Balance in </t>
  </si>
  <si>
    <t>Dollars</t>
  </si>
  <si>
    <t>Accounts Receivable in</t>
  </si>
  <si>
    <t>Inventories in</t>
  </si>
  <si>
    <t>Other Current Assets in</t>
  </si>
  <si>
    <t>Accounts Payable in</t>
  </si>
  <si>
    <t>Accrued Expenses in</t>
  </si>
  <si>
    <t>Operating Cash Balance</t>
  </si>
  <si>
    <t>Change in WC</t>
  </si>
  <si>
    <t>Required WC</t>
  </si>
  <si>
    <t>Beginning WC</t>
  </si>
  <si>
    <t>Accrued Maintenance Liability</t>
  </si>
  <si>
    <t>Beg.Excess Cash</t>
  </si>
  <si>
    <t>End Excess Cash</t>
  </si>
  <si>
    <t>Less: Actual Maintenance Charge</t>
  </si>
  <si>
    <t>Less: Maintenance Charge Reserved</t>
  </si>
  <si>
    <t>Cumulative Reserve</t>
  </si>
  <si>
    <t>Plus: Usage of Maintenance Reserve</t>
  </si>
  <si>
    <t>Other Non-Cash Expenses (Maintenance Accrual)</t>
  </si>
  <si>
    <t>Cash Reserve Case</t>
  </si>
  <si>
    <t>Land Lease Expense</t>
  </si>
  <si>
    <t>Total Non-Escalated Costs</t>
  </si>
  <si>
    <t>Interest Income</t>
  </si>
  <si>
    <t>Total Interest Income/Expense</t>
  </si>
  <si>
    <t>Maintenance Expense</t>
  </si>
  <si>
    <t>Yes</t>
  </si>
  <si>
    <t>Target Reserve</t>
  </si>
  <si>
    <t>Accrual Liability</t>
  </si>
  <si>
    <t>Cumulative Overhaul Accrual Expense Liability</t>
  </si>
  <si>
    <t xml:space="preserve">Available to Deficit Revolver: Beg. Excess Cash Balance + Surplus (Deficit) </t>
  </si>
  <si>
    <t>Increase Decrease in Deficit Revolver</t>
  </si>
  <si>
    <t>Deficit Revolver</t>
  </si>
  <si>
    <t>Revolver Ending Balance</t>
  </si>
  <si>
    <t>Interest on Deficit Revolver</t>
  </si>
  <si>
    <t>Limit on Deficit Revolver</t>
  </si>
  <si>
    <t>Years of Reserve</t>
  </si>
  <si>
    <t>Available for Dividends</t>
  </si>
  <si>
    <t>CAPEX</t>
  </si>
  <si>
    <t>Non Cash Charges</t>
  </si>
  <si>
    <t>RETURNS</t>
  </si>
  <si>
    <t>Unlevered IRR</t>
  </si>
  <si>
    <t>Cash Taxes</t>
  </si>
  <si>
    <t>Check=0</t>
  </si>
  <si>
    <t>PPA</t>
  </si>
  <si>
    <t>Start Up Revenue</t>
  </si>
  <si>
    <t xml:space="preserve">  Total Revenue</t>
  </si>
  <si>
    <t>Maintenance Accrual Expense</t>
  </si>
  <si>
    <t>Other Non-Escalted Costs</t>
  </si>
  <si>
    <t xml:space="preserve">  Total Expenses</t>
  </si>
  <si>
    <t>Cash Available for Shareholders</t>
  </si>
  <si>
    <t>Actual Maintenance Charge</t>
  </si>
  <si>
    <t>Maintenance Charge Reserved</t>
  </si>
  <si>
    <t>Cash Supplied by Cash Reserve</t>
  </si>
  <si>
    <t>Estimated Cost Schedule for 120 Starts (Inflated)</t>
  </si>
  <si>
    <t>Actual Overahaul Disbursement</t>
  </si>
  <si>
    <t>Amount Reserved During Period</t>
  </si>
  <si>
    <t>Charge</t>
  </si>
  <si>
    <t>Interest</t>
  </si>
  <si>
    <t>Usage</t>
  </si>
  <si>
    <t>EB</t>
  </si>
  <si>
    <t>Beg Balance</t>
  </si>
  <si>
    <t>Charge/Start</t>
  </si>
  <si>
    <t>PV of Pmts</t>
  </si>
  <si>
    <t>Pmt Per Year</t>
  </si>
  <si>
    <t>Charge per Start Calculation</t>
  </si>
  <si>
    <t>Libor</t>
  </si>
  <si>
    <t>Spread Over Libor for Bridge Financing</t>
  </si>
  <si>
    <t>Summary of Project Cash Flows</t>
  </si>
  <si>
    <t>Franchise Tax Rate (%) Year 1</t>
  </si>
  <si>
    <t>Franchise Tax Rate (%) After Year 1</t>
  </si>
  <si>
    <t>State Franchise Taxes</t>
  </si>
  <si>
    <t xml:space="preserve">   State Franchise Tax Rate</t>
  </si>
  <si>
    <t xml:space="preserve">   State Franchise Tax Liability</t>
  </si>
  <si>
    <t>State Franchise Tax</t>
  </si>
  <si>
    <t>Sales Tax</t>
  </si>
  <si>
    <t>Sales Tax Rate</t>
  </si>
  <si>
    <t>Cash Reserve for Maintenance Overhaul?</t>
  </si>
  <si>
    <t>Include Turbine Carry Cost?</t>
  </si>
  <si>
    <t>No</t>
  </si>
  <si>
    <t>Escalate the Exit Multiple?</t>
  </si>
  <si>
    <t>Enron's Cashflow with Residual Value</t>
  </si>
  <si>
    <t>Residual Value Discount</t>
  </si>
  <si>
    <t>Include Sales Tax?</t>
  </si>
  <si>
    <t>Start Up Fuel &amp; Power</t>
  </si>
  <si>
    <t>Gas Interconnect</t>
  </si>
  <si>
    <t>Gas Compressor &amp; Filter</t>
  </si>
  <si>
    <t>PPA Termination</t>
  </si>
  <si>
    <t>Miscellaneous</t>
  </si>
  <si>
    <t>MODEL TOGGLES</t>
  </si>
  <si>
    <t xml:space="preserve">Other </t>
  </si>
  <si>
    <t>Total Other</t>
  </si>
  <si>
    <t>Other Non-EPC</t>
  </si>
  <si>
    <t>Total Financing Costs</t>
  </si>
  <si>
    <t xml:space="preserve">   Equity</t>
  </si>
  <si>
    <t>Principal Repayments</t>
  </si>
  <si>
    <t>Incur Year 17 Maintenance?</t>
  </si>
  <si>
    <t>PV</t>
  </si>
  <si>
    <t>PV Reconciliation</t>
  </si>
  <si>
    <t>PV of Cash Flows</t>
  </si>
  <si>
    <t>Less Investment</t>
  </si>
  <si>
    <t>PV of Residual Value</t>
  </si>
  <si>
    <t>PV's</t>
  </si>
  <si>
    <t>Total NPV (Including Residual Value)</t>
  </si>
  <si>
    <t>Total NPV (Ex-Residual Value)</t>
  </si>
  <si>
    <t>If Overhaul Reserve, then how many years previous to expense are reserved?</t>
  </si>
  <si>
    <t>Sound Mitigation</t>
  </si>
  <si>
    <t>Will County Property Tax</t>
  </si>
  <si>
    <t>Assesed Value as % of Value</t>
  </si>
  <si>
    <t>Escalation of Assesed Value Each Year</t>
  </si>
  <si>
    <t>Initial Assesed Value of Taxable Property</t>
  </si>
  <si>
    <t>Property Taxes</t>
  </si>
  <si>
    <t>Include Spares in Total Investment Cost?</t>
  </si>
  <si>
    <t>OTHER COSTS</t>
  </si>
  <si>
    <t>US CPI</t>
  </si>
  <si>
    <t>CPI</t>
  </si>
  <si>
    <t>PPI</t>
  </si>
  <si>
    <t>Annual CPI</t>
  </si>
  <si>
    <t>Escalation</t>
  </si>
  <si>
    <t>Subject to Sales Tax? (1=Yes,0=No)</t>
  </si>
  <si>
    <t>000$/h</t>
  </si>
  <si>
    <t>Adder</t>
  </si>
  <si>
    <t>Res. Estimate</t>
  </si>
  <si>
    <t>Cash Flows</t>
  </si>
  <si>
    <t>check(=0)</t>
  </si>
  <si>
    <t>Levered IRR Sensitivity Tables</t>
  </si>
  <si>
    <t>Pre-Leverage Installed Costs</t>
  </si>
  <si>
    <t>Levered IRR</t>
  </si>
  <si>
    <t>% Debt</t>
  </si>
  <si>
    <t>PLANO, ILLINOIS</t>
  </si>
  <si>
    <t>6 x LM6000PC Sprint Enhanced CTGs</t>
  </si>
  <si>
    <t>PRELIMINARY INFORMATION</t>
  </si>
  <si>
    <t>Indirect Costs</t>
  </si>
  <si>
    <t>Engineering</t>
  </si>
  <si>
    <t>Engineered Equipment</t>
  </si>
  <si>
    <t>Bulk Materials</t>
  </si>
  <si>
    <t>Procurement Subtotal</t>
  </si>
  <si>
    <t>Startup</t>
  </si>
  <si>
    <t>Warranty</t>
  </si>
  <si>
    <t>Subtotal Cost</t>
  </si>
  <si>
    <t>Fixed G&amp;A @ 2.00%</t>
  </si>
  <si>
    <t>Total Cost</t>
  </si>
  <si>
    <t>Contingency @ 1.50%</t>
  </si>
  <si>
    <t>Margin @ 3.00%</t>
  </si>
  <si>
    <t>TOTAL PROJECT EPC</t>
  </si>
  <si>
    <t>TOTAL PROJECT COST PER UNIT</t>
  </si>
  <si>
    <t>MARGIN on NON-CTG SCOPE</t>
  </si>
  <si>
    <t>Approximate Net Plant Output</t>
  </si>
  <si>
    <t>MW</t>
  </si>
  <si>
    <t>TOTAL PROJECT COST PER kW</t>
  </si>
  <si>
    <t>/kW</t>
  </si>
  <si>
    <t>LM6000</t>
  </si>
  <si>
    <t>Levered(1), Unlvered (2)</t>
  </si>
  <si>
    <t>Plano, Illinois 6 x LM6000 Power Project, Rev 0</t>
  </si>
  <si>
    <t>Project Scope Description</t>
  </si>
  <si>
    <t>Scope of Work:</t>
  </si>
  <si>
    <t xml:space="preserve">Full Operations and Maintenance services during the Operating Period </t>
  </si>
  <si>
    <t xml:space="preserve">for one gas-fired LM6000 simple cycle peaking facility </t>
  </si>
  <si>
    <t>Location:</t>
  </si>
  <si>
    <t>Plano, Illinois</t>
  </si>
  <si>
    <t>Ownership:</t>
  </si>
  <si>
    <t>50% People's/50% Enron; To be operated by Enron</t>
  </si>
  <si>
    <t>Capacity:</t>
  </si>
  <si>
    <t xml:space="preserve">MW </t>
  </si>
  <si>
    <t>Equipment:</t>
  </si>
  <si>
    <t>(6) GE LM6000 PC SPRINT Gas Turbine packages with standard combustor (non-DLE)</t>
  </si>
  <si>
    <t>SPRINT water injection assumed at a rate of 7.5 gpm</t>
  </si>
  <si>
    <t>Water injection for NOX control assumed at a rate of 44 gpm</t>
  </si>
  <si>
    <t xml:space="preserve">Water source: </t>
  </si>
  <si>
    <t>Ground water for supply to reverse osmosis/demin process</t>
  </si>
  <si>
    <t>Ground water for cooling tower makeup</t>
  </si>
  <si>
    <t>Demin system: Installed Reverse Osmosis and mixed bed equipment</t>
  </si>
  <si>
    <t>(1) induced draft Cooling Tower with circ. water pumps</t>
  </si>
  <si>
    <t>Chillers with condenser and chilled water pumps</t>
  </si>
  <si>
    <t>Distributed Control System provided at site</t>
  </si>
  <si>
    <t xml:space="preserve">No Remote monitoring or control </t>
  </si>
  <si>
    <t>No Selective Catalytic Reduction units</t>
  </si>
  <si>
    <t>Continuous Emissions Monitoring units</t>
  </si>
  <si>
    <t>Gas compressors</t>
  </si>
  <si>
    <t>No gas or electric distribution</t>
  </si>
  <si>
    <t>Facilities:</t>
  </si>
  <si>
    <t>Administrative Office space</t>
  </si>
  <si>
    <t>Central control room and small lab area</t>
  </si>
  <si>
    <t>Maintenance shop with bay</t>
  </si>
  <si>
    <t>Warehouse</t>
  </si>
  <si>
    <t>Sanitary facilities, to include lockers &amp; showers</t>
  </si>
  <si>
    <t>Fuel:</t>
  </si>
  <si>
    <t>Primary: Pipeline Quality Natural Gas</t>
  </si>
  <si>
    <t>Backup: None</t>
  </si>
  <si>
    <t>Operations Mode:</t>
  </si>
  <si>
    <t>Peaking duty, 1,800 fired hours per year</t>
  </si>
  <si>
    <t>annual availability requirement</t>
  </si>
  <si>
    <t>scheduled outage periods in Mar-Apr; Oct-Nov</t>
  </si>
  <si>
    <t>PPA:</t>
  </si>
  <si>
    <t>TBD</t>
  </si>
  <si>
    <t>Average of 3 and 20 year terms modeled</t>
  </si>
  <si>
    <t>Schedule:</t>
  </si>
  <si>
    <t>Notice To Proceed:</t>
  </si>
  <si>
    <t xml:space="preserve">Commercial Operations Date: </t>
  </si>
  <si>
    <t>Commercial Office:</t>
  </si>
  <si>
    <t>Costs not included</t>
  </si>
  <si>
    <t>Other Facilities:</t>
  </si>
  <si>
    <t>Barge dock on river for fuel deliveries.</t>
  </si>
  <si>
    <t>Owners Engineer:</t>
  </si>
  <si>
    <t>List of O&amp;M Assumptions</t>
  </si>
  <si>
    <t>1) Base year for all costs and prices herein: current 2000 US $ (no escalation or inflation included).</t>
  </si>
  <si>
    <t xml:space="preserve">2) O&amp;M personnel salaries and benefits per Enron experience at Wilton Center, with $2/hr increase in wages due to assumed union labor force in the project area. </t>
  </si>
  <si>
    <t>3) Primary fuel to be Pipline Quality Natural Gas below required operating pressures, with no backup fuel.</t>
  </si>
  <si>
    <t>4) Water injection for Nox control at an assumed rate of 44 gpm; SPRINT at 7.5 gpm.</t>
  </si>
  <si>
    <t>5) Plant to be considered available year round with the exception of scheduled maintenance outages (Mar-April;Oct-Nov).</t>
  </si>
  <si>
    <t>6) Gas turbine run hours/year: 1,800 hours/year.</t>
  </si>
  <si>
    <t>7)  Gas turbine starts/year:  assumed to be less than 200 per year with the above indicated dispatch schedule.</t>
  </si>
  <si>
    <t>7A)  Type of combustion system to be Standard, non-DLE combustor, with water injection.</t>
  </si>
  <si>
    <t>8) Assume any major schedule maintenance will be performed during off-peak season.</t>
  </si>
  <si>
    <t>9) Gas turbine major scheduled maintenance pricing per GE Pricing catalog (George Graham e-mail dated 3/00).</t>
  </si>
  <si>
    <t xml:space="preserve">10)  Major scheduled maintenance intervals per OEM (GE): Hot Gas Path - 24,000 hrs; Major - 50,000 hours. </t>
  </si>
  <si>
    <t>11) Water Source: Ground water. TDS is assumed to be 1000 ppm. Owner/Originator to provide sample analysis when available.</t>
  </si>
  <si>
    <t xml:space="preserve">12) Water treatment chemicals costs per inhouse estimating model and performance dept tabulations (no Water Balance available). </t>
  </si>
  <si>
    <t xml:space="preserve">13) Chemical costs and 25% of annual maintnenace are assumed variable with dispatch; all other costs are fixed. </t>
  </si>
  <si>
    <t>14) Variable costs are based on 21% annual plant capacity factor.</t>
  </si>
  <si>
    <t>15)  EPC Contract to provide an allowance for GT familiarization and operations training to O&amp;M staff.</t>
  </si>
  <si>
    <t>16)  Spare Parts estimate per GE recommended spares for stand alone domestic project, with some assumed adjustments.</t>
  </si>
  <si>
    <t>17)  Permanent O&amp;M Staffing plan of seven people assumes a year round requirement for staffing since winter and summer dispatch is anticipated for 9 out of the 12 months.</t>
  </si>
  <si>
    <t xml:space="preserve">18)  Assumed Scope Split between Turnkey/Startup Contractor and Owner/Operator per enclosed. </t>
  </si>
  <si>
    <t>19) Turnkey Contractor:  Assumed to be EECC.</t>
  </si>
  <si>
    <t>20)  Owners Engineer: Owner's responsibility (estimate not included).</t>
  </si>
  <si>
    <t>21)  Sustaining capital expenses intended to cover only replacement of initial procurement items at end of their useful life.</t>
  </si>
  <si>
    <t>22) Admin staff and support are provided by Operator from home office and other sites.</t>
  </si>
  <si>
    <t>23) Owner to provide Commercial Office function.</t>
  </si>
  <si>
    <t xml:space="preserve">                    </t>
  </si>
  <si>
    <t>Revenue and Property Book Accounting including customer and fuel supplier billing</t>
  </si>
  <si>
    <t>Tax Accounting including preparing Local and US tax returns</t>
  </si>
  <si>
    <t>Annual financial audits by outside auditors.</t>
  </si>
  <si>
    <t xml:space="preserve">Maintaining Bank accounts and treasury functions </t>
  </si>
  <si>
    <t>Commercial contracts and interface with Power Purchasers and Fuel Suppliers</t>
  </si>
  <si>
    <t>Fuel purchasing &amp; supply, logistics and scheduling</t>
  </si>
  <si>
    <t>Government and Public Relations</t>
  </si>
  <si>
    <t>Legal and contractual requirements</t>
  </si>
  <si>
    <t>Project Human resources (compensation and benefits plans)</t>
  </si>
  <si>
    <t>Interface with Lenders and Partners regarding funding and information requests</t>
  </si>
  <si>
    <t>Budgeting, Operating and Capital planning (Operator to provide plans per contract)</t>
  </si>
  <si>
    <t>24) This O&amp;M Estimate does not include the cost of the following items:</t>
  </si>
  <si>
    <t xml:space="preserve">Fuel </t>
  </si>
  <si>
    <t xml:space="preserve">Water rights and water usage costs </t>
  </si>
  <si>
    <t>Purchased (backfeed) power and other purchased utilities</t>
  </si>
  <si>
    <t xml:space="preserve">Owner's Insurance </t>
  </si>
  <si>
    <t>Buildings:  Administration, Warehouse and Shop facilities</t>
  </si>
  <si>
    <t>Operating or Environmental Permits</t>
  </si>
  <si>
    <t>Communications facilities (internal &amp; external)</t>
  </si>
  <si>
    <t xml:space="preserve">Taxes </t>
  </si>
  <si>
    <t>Emissions fees, discharge fees or waste water charges</t>
  </si>
  <si>
    <t>Security (At Owner's discretion)</t>
  </si>
  <si>
    <t>Lease Engine Membership fees (At Owner's discretion)</t>
  </si>
  <si>
    <t>25) No SCR is assumed.</t>
  </si>
  <si>
    <t xml:space="preserve">26) Major Maintenance Program costs is estimated to be $39.25 per fired hour over 20 years. NOTE: an accrual would would need to be $56.52/fired hr. </t>
  </si>
  <si>
    <t>27) Cooling Tower chemicals cost estimate assumes 2 cycles, 51,000 gpm flow rate and 10 deg F range. No water balance available for project</t>
  </si>
  <si>
    <t>28) Estimate makes standard assumptions for labor practices (i.e. O/T after 40hrs/wk). Union labor practices under a local Collective Bargaining Agreement may differ.</t>
  </si>
  <si>
    <t>30) GT Major Maintenance not accrued for in the estimate.</t>
  </si>
  <si>
    <t>Summary - Operations &amp; Maintenance Cost Estimate</t>
  </si>
  <si>
    <t>(US $)</t>
  </si>
  <si>
    <t>Expenses before Commercial Operation:</t>
  </si>
  <si>
    <t>US $</t>
  </si>
  <si>
    <t>$/kW</t>
  </si>
  <si>
    <t>O&amp;M Pre-Mobilization / Mobilization Expenses</t>
  </si>
  <si>
    <t>Pre-Mobilization Expenses</t>
  </si>
  <si>
    <t>Mobilization Payroll and Burden</t>
  </si>
  <si>
    <t>Mobilization Operating Expenses</t>
  </si>
  <si>
    <t>Mobilization Procurement Expenses</t>
  </si>
  <si>
    <t>Total O&amp;M Pre-Mobilization / Mobilization Expenses</t>
  </si>
  <si>
    <t>Housing Colony Mobilization Expenses</t>
  </si>
  <si>
    <t>NA</t>
  </si>
  <si>
    <t xml:space="preserve">Commercial Office Mobilization Expenses </t>
  </si>
  <si>
    <t xml:space="preserve">Owners' Engineer Expenses </t>
  </si>
  <si>
    <t xml:space="preserve">Initial Operating Spares </t>
  </si>
  <si>
    <t xml:space="preserve">O&amp;M Mobilization Period Fee </t>
  </si>
  <si>
    <t>Operator Overhead Charge (G&amp;A)</t>
  </si>
  <si>
    <t xml:space="preserve">TOTAL </t>
  </si>
  <si>
    <t>Expenses during Commercial Operation:</t>
  </si>
  <si>
    <t>3 YEAR</t>
  </si>
  <si>
    <t>20 YEAR</t>
  </si>
  <si>
    <t>Year 1</t>
  </si>
  <si>
    <t>Years 2+</t>
  </si>
  <si>
    <t>AVERAGE</t>
  </si>
  <si>
    <t>FOM ($/kW-yr)</t>
  </si>
  <si>
    <t>VOM ($/mWh)</t>
  </si>
  <si>
    <t>O&amp;M Expenses</t>
  </si>
  <si>
    <t>Administration &amp; Operations Expenses</t>
  </si>
  <si>
    <t>Water</t>
  </si>
  <si>
    <t xml:space="preserve">Chemicals </t>
  </si>
  <si>
    <t>Waste Water Costs</t>
  </si>
  <si>
    <t>Maintenance Expenses (excl. GT Scheduled Maint. Program)</t>
  </si>
  <si>
    <t>Sustaining Capital Expenses</t>
  </si>
  <si>
    <t>Total O&amp;M Expenses (ex GT Scheduled Maint.)</t>
  </si>
  <si>
    <t xml:space="preserve">O&amp;M Annual Operating Fee </t>
  </si>
  <si>
    <t xml:space="preserve">GT Scheduled Major Maintenance ($/fired hour for 20 Yr term) </t>
  </si>
  <si>
    <t xml:space="preserve">SCR Catalyst Replacement Accrual ($/fired hour) </t>
  </si>
  <si>
    <t>GT Lease Program Annual Membership (1 unit)</t>
  </si>
  <si>
    <t>Housing Colony Operating Expenses</t>
  </si>
  <si>
    <t xml:space="preserve">Commercial Office Expenses </t>
  </si>
  <si>
    <t>O&amp;M Pre-Mobilization / Mobilization Cost Estimate</t>
  </si>
  <si>
    <t>O&amp;M Pre-Mobilization Expenses</t>
  </si>
  <si>
    <t>Mobilization Payroll &amp; Burden</t>
  </si>
  <si>
    <t>Employee Expenses</t>
  </si>
  <si>
    <t>Recruiting Expenses</t>
  </si>
  <si>
    <t>Relocation Expenses</t>
  </si>
  <si>
    <t>Outside Services</t>
  </si>
  <si>
    <t>Other Supplies &amp; Expenses</t>
  </si>
  <si>
    <t>Communications</t>
  </si>
  <si>
    <t>Temporary Offices/Facilities</t>
  </si>
  <si>
    <t>Training</t>
  </si>
  <si>
    <t>Manuals &amp; Procedures</t>
  </si>
  <si>
    <t>Permits</t>
  </si>
  <si>
    <t>Operator's Insurance</t>
  </si>
  <si>
    <t>Operations Support Personnel</t>
  </si>
  <si>
    <t>Total Mobilization Operating Expenses</t>
  </si>
  <si>
    <t>Office Furnishings &amp; Equipment</t>
  </si>
  <si>
    <t>Safety &amp; Environmental Equipment</t>
  </si>
  <si>
    <t xml:space="preserve">Vehicles &amp; Mobile Equipment </t>
  </si>
  <si>
    <t>Warehouse Furnishings &amp; Equipment</t>
  </si>
  <si>
    <t>Laboratory Equipment</t>
  </si>
  <si>
    <t>Shop Tools &amp; Equipment</t>
  </si>
  <si>
    <t>Chemicals, Lubricants, Hydraulic Fluids</t>
  </si>
  <si>
    <t>Total Mobilization Procurement Expenses</t>
  </si>
  <si>
    <t>O&amp;M Mobilization Period Fee</t>
  </si>
  <si>
    <t>O&amp;M Staff Mobilization Plan</t>
  </si>
  <si>
    <t>Staff</t>
  </si>
  <si>
    <t>Number</t>
  </si>
  <si>
    <t>Salary &amp;</t>
  </si>
  <si>
    <t>Total Salary</t>
  </si>
  <si>
    <t>Area</t>
  </si>
  <si>
    <t>of</t>
  </si>
  <si>
    <t>Benefits</t>
  </si>
  <si>
    <t>&amp; Benefits</t>
  </si>
  <si>
    <t>Personnel</t>
  </si>
  <si>
    <t>A,O or M</t>
  </si>
  <si>
    <t>Months</t>
  </si>
  <si>
    <t>US$/Month</t>
  </si>
  <si>
    <t>PLANT MANAGER</t>
  </si>
  <si>
    <t>A</t>
  </si>
  <si>
    <t>MAINTENANCE MANAGER</t>
  </si>
  <si>
    <t>M</t>
  </si>
  <si>
    <t xml:space="preserve">PURCHASING / WAREHOUSE </t>
  </si>
  <si>
    <t>CLERK</t>
  </si>
  <si>
    <t>O&amp;M SUPERVISOR</t>
  </si>
  <si>
    <t>O,M</t>
  </si>
  <si>
    <t>O&amp;M TECHNICIAN III</t>
  </si>
  <si>
    <t>O &amp; M</t>
  </si>
  <si>
    <t>O&amp;M TECHNICIAN II</t>
  </si>
  <si>
    <t>TOTALS</t>
  </si>
  <si>
    <t>Training Program</t>
  </si>
  <si>
    <t>Class</t>
  </si>
  <si>
    <t>Weeks</t>
  </si>
  <si>
    <t xml:space="preserve"> Weeks</t>
  </si>
  <si>
    <t>$M</t>
  </si>
  <si>
    <t>Basic Plant Training (All New Hires) (1session at site)</t>
  </si>
  <si>
    <t>New Employee Orientation (1 day) *</t>
  </si>
  <si>
    <t>Plant Safety/Environmental/Firefighting (3 days) *</t>
  </si>
  <si>
    <t>Power Plant Basic O&amp;M (2 days)*</t>
  </si>
  <si>
    <t>Introduction to Plant &amp; Systems (3 days)*</t>
  </si>
  <si>
    <t>Major Systems Training (All O&amp;M Personnel) (1 session at site)</t>
  </si>
  <si>
    <t>Boiler Familiarization &amp; Operation (general vendor)</t>
  </si>
  <si>
    <t>Balance of Plant (general vendor)</t>
  </si>
  <si>
    <t>Specialized Operator Training (All Operators) (1 session at site)</t>
  </si>
  <si>
    <t/>
  </si>
  <si>
    <t>Water Systems &amp; Chemistry (general vendor)</t>
  </si>
  <si>
    <t>Control Room Training (All Operators) (1 session at site/other plants)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</si>
</sst>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79" formatCode="0.00\x_);\(0.00\x\)"/>
    <numFmt numFmtId="180" formatCode="_(* #,##0.0_);_(* \(#,##0.0\);_(* &quot;-&quot;?_);_(@_)"/>
    <numFmt numFmtId="187" formatCode="0.0"/>
    <numFmt numFmtId="189" formatCode="0.0000"/>
    <numFmt numFmtId="190" formatCode="0.000"/>
    <numFmt numFmtId="193" formatCode="_(* #,##0.000_);_(* \(#,##0.000\);_(* &quot;-&quot;??_);_(@_)"/>
    <numFmt numFmtId="194" formatCode="_(* #,##0.0000_);_(* \(#,##0.0000\);_(* &quot;-&quot;??_);_(@_)"/>
    <numFmt numFmtId="201" formatCode="_(&quot;$&quot;* #,##0.000_);_(&quot;$&quot;* \(#,##0.000\);_(&quot;$&quot;* &quot;-&quot;??_);_(@_)"/>
    <numFmt numFmtId="204" formatCode="#,##0.0_);[Red]\(#,##0.0\)"/>
    <numFmt numFmtId="205" formatCode="#,##0.000_);[Red]\(#,##0.000\)"/>
    <numFmt numFmtId="206" formatCode="&quot;$&quot;#,##0.000_);\(&quot;$&quot;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1" formatCode="00000\x"/>
    <numFmt numFmtId="212" formatCode="0.00\x"/>
    <numFmt numFmtId="213" formatCode="0.000\x"/>
    <numFmt numFmtId="217" formatCode="&quot;$&quot;#,##0"/>
    <numFmt numFmtId="219" formatCode="&quot;$&quot;#,##0.00"/>
    <numFmt numFmtId="220" formatCode="&quot;$&quot;#,##0.000"/>
    <numFmt numFmtId="222" formatCode="#,##0.000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51" formatCode="_(* #,##0.00000_);_(* \(#,##0.00000\);_(* &quot;-&quot;??_);_(@_)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86" formatCode="mmmm\-yy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22" formatCode="#,##0.0000000_);[Red]\(#,##0.0000000\)"/>
    <numFmt numFmtId="323" formatCode="#,##0.00000000_);[Red]\(#,##0.00000000\)"/>
    <numFmt numFmtId="335" formatCode="General_)"/>
    <numFmt numFmtId="336" formatCode="dd\-mmm_)"/>
    <numFmt numFmtId="337" formatCode="mmm\-dd"/>
    <numFmt numFmtId="338" formatCode="#,##0;\(#,##0\)"/>
    <numFmt numFmtId="339" formatCode="&quot;$&quot;#,##0;\(&quot;$&quot;#,##0\)"/>
    <numFmt numFmtId="340" formatCode="##0.000\ \¢"/>
    <numFmt numFmtId="341" formatCode="0.000E+00_)"/>
    <numFmt numFmtId="342" formatCode="&quot;$&quot;#,##0.0000000_);\(&quot;$&quot;#,##0.0000000\)"/>
    <numFmt numFmtId="343" formatCode="0.000000000"/>
    <numFmt numFmtId="344" formatCode="0.0000000000"/>
    <numFmt numFmtId="345" formatCode="&quot;$&quot;#,##0.000000_);\(&quot;$&quot;#,##0.000000\)"/>
    <numFmt numFmtId="347" formatCode="&quot;$&quot;#,##0.000000000_);\(&quot;$&quot;#,##0.000000000\)"/>
    <numFmt numFmtId="348" formatCode="&quot;$&quot;#,##0.0000000000_);\(&quot;$&quot;#,##0.0000000000\)"/>
    <numFmt numFmtId="349" formatCode="&quot;$&quot;#,##0.000000_);[Red]\(&quot;$&quot;#,##0.000000\)"/>
    <numFmt numFmtId="350" formatCode="&quot;$&quot;#,##0.0000000_);[Red]\(&quot;$&quot;#,##0.0000000\)"/>
    <numFmt numFmtId="351" formatCode="0.000000_)"/>
    <numFmt numFmtId="352" formatCode="0.0000000_)"/>
    <numFmt numFmtId="353" formatCode="0.00000000_)"/>
    <numFmt numFmtId="354" formatCode="0.000000000_)"/>
    <numFmt numFmtId="355" formatCode="#,##0.0000000000_);[Red]\(#,##0.0000000000\)"/>
    <numFmt numFmtId="356" formatCode="0.0E+00"/>
    <numFmt numFmtId="357" formatCode="0E+00"/>
    <numFmt numFmtId="358" formatCode="0_);[Red]\-0_)"/>
  </numFmts>
  <fonts count="170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8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b/>
      <i/>
      <u/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u/>
      <sz val="10"/>
      <color indexed="10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b/>
      <u/>
      <sz val="12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color indexed="10"/>
      <name val="Times New Roman"/>
      <family val="1"/>
    </font>
    <font>
      <i/>
      <u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i/>
      <sz val="12"/>
      <name val="Times New Roman"/>
      <family val="1"/>
    </font>
    <font>
      <b/>
      <sz val="20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u/>
      <sz val="14"/>
      <name val="Times New Roman"/>
      <family val="1"/>
    </font>
    <font>
      <i/>
      <u/>
      <sz val="12"/>
      <name val="Times New Roman"/>
      <family val="1"/>
    </font>
    <font>
      <b/>
      <sz val="10"/>
      <color indexed="20"/>
      <name val="Arial"/>
      <family val="2"/>
    </font>
    <font>
      <sz val="12"/>
      <name val="Times New Roman"/>
    </font>
    <font>
      <b/>
      <sz val="12"/>
      <color indexed="8"/>
      <name val="Times New Roman"/>
      <family val="1"/>
    </font>
    <font>
      <b/>
      <sz val="18"/>
      <color indexed="10"/>
      <name val="Times New Roman"/>
      <family val="1"/>
    </font>
    <font>
      <b/>
      <u/>
      <sz val="12"/>
      <color indexed="12"/>
      <name val="Times New Roman"/>
      <family val="1"/>
    </font>
    <font>
      <b/>
      <sz val="10"/>
      <color indexed="12"/>
      <name val="Times New Roman"/>
      <family val="1"/>
    </font>
    <font>
      <i/>
      <sz val="12"/>
      <name val="Times New Roman"/>
      <family val="1"/>
    </font>
    <font>
      <i/>
      <sz val="10"/>
      <name val="Arial"/>
      <family val="2"/>
    </font>
    <font>
      <b/>
      <sz val="14"/>
      <color indexed="10"/>
      <name val="Times New Roman"/>
      <family val="1"/>
    </font>
    <font>
      <sz val="9"/>
      <color indexed="8"/>
      <name val="Times New Roman"/>
      <family val="1"/>
    </font>
    <font>
      <b/>
      <sz val="10"/>
      <name val="Arial"/>
    </font>
    <font>
      <b/>
      <sz val="12"/>
      <color indexed="14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1"/>
      <name val="Arial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u/>
      <sz val="8"/>
      <name val="Times New Roman"/>
      <family val="1"/>
    </font>
    <font>
      <b/>
      <sz val="8"/>
      <name val="Times New Roman"/>
      <family val="1"/>
    </font>
    <font>
      <b/>
      <i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P-TIMES"/>
    </font>
    <font>
      <sz val="8"/>
      <color indexed="8"/>
      <name val="Arial MT"/>
    </font>
    <font>
      <b/>
      <sz val="8"/>
      <color indexed="8"/>
      <name val="Times New Roman"/>
      <family val="1"/>
    </font>
    <font>
      <sz val="8"/>
      <color indexed="12"/>
      <name val="Times New Roman"/>
      <family val="1"/>
    </font>
    <font>
      <sz val="8"/>
      <color indexed="12"/>
      <name val="P-TIMES"/>
    </font>
    <font>
      <sz val="8"/>
      <color indexed="10"/>
      <name val="Times New Roman"/>
      <family val="1"/>
    </font>
    <font>
      <b/>
      <sz val="8"/>
      <color indexed="50"/>
      <name val="Times New Roman"/>
      <family val="1"/>
    </font>
    <font>
      <b/>
      <sz val="8"/>
      <name val="Times New Roman"/>
    </font>
    <font>
      <b/>
      <sz val="8"/>
      <color indexed="12"/>
      <name val="Times New Roman"/>
      <family val="1"/>
    </font>
    <font>
      <sz val="8"/>
      <color indexed="56"/>
      <name val="Times New Roman"/>
      <family val="1"/>
    </font>
    <font>
      <u/>
      <sz val="8"/>
      <name val="Times New Roman"/>
      <family val="1"/>
    </font>
    <font>
      <i/>
      <sz val="8"/>
      <name val="Times New Roman"/>
      <family val="1"/>
    </font>
    <font>
      <i/>
      <u/>
      <sz val="8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u val="singleAccounting"/>
      <sz val="10"/>
      <color indexed="12"/>
      <name val="Arial"/>
      <family val="2"/>
    </font>
    <font>
      <b/>
      <i/>
      <u/>
      <sz val="12"/>
      <name val="Times New Roman"/>
      <family val="1"/>
    </font>
    <font>
      <u/>
      <sz val="14"/>
      <name val="Times New Roman"/>
      <family val="1"/>
    </font>
    <font>
      <b/>
      <i/>
      <u/>
      <sz val="14"/>
      <name val="Times New Roman"/>
      <family val="1"/>
    </font>
    <font>
      <b/>
      <i/>
      <sz val="14"/>
      <name val="Times New Roman"/>
      <family val="1"/>
    </font>
    <font>
      <i/>
      <u/>
      <sz val="14"/>
      <name val="Times New Roman"/>
      <family val="1"/>
    </font>
    <font>
      <sz val="14"/>
      <name val="Times New Roman"/>
      <family val="1"/>
    </font>
    <font>
      <b/>
      <sz val="14"/>
      <color indexed="10"/>
      <name val="Arial"/>
      <family val="2"/>
    </font>
    <font>
      <b/>
      <sz val="10"/>
      <color indexed="14"/>
      <name val="Times New Roman"/>
      <family val="1"/>
    </font>
    <font>
      <b/>
      <sz val="10"/>
      <color indexed="12"/>
      <name val="Arial"/>
      <family val="2"/>
    </font>
    <font>
      <u/>
      <sz val="10"/>
      <name val="Arial"/>
      <family val="2"/>
    </font>
    <font>
      <sz val="12"/>
      <name val="Arial MT"/>
    </font>
    <font>
      <i/>
      <sz val="10"/>
      <name val="Arial"/>
    </font>
    <font>
      <b/>
      <sz val="12"/>
      <name val="Arial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</font>
    <font>
      <b/>
      <u/>
      <sz val="12"/>
      <name val="Arial"/>
      <family val="2"/>
    </font>
    <font>
      <b/>
      <i/>
      <sz val="10"/>
      <name val="Arial"/>
    </font>
    <font>
      <sz val="10"/>
      <color indexed="20"/>
      <name val="Arial"/>
      <family val="2"/>
    </font>
    <font>
      <vertAlign val="superscript"/>
      <sz val="10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b/>
      <i/>
      <sz val="10"/>
      <name val="Arial"/>
      <family val="2"/>
    </font>
    <font>
      <b/>
      <sz val="14"/>
      <name val="Arial"/>
    </font>
    <font>
      <b/>
      <i/>
      <sz val="10"/>
      <color indexed="8"/>
      <name val="Arial"/>
      <family val="2"/>
    </font>
    <font>
      <b/>
      <sz val="10"/>
      <name val="Arial MT"/>
    </font>
    <font>
      <b/>
      <sz val="10"/>
      <color indexed="19"/>
      <name val="Arial"/>
      <family val="2"/>
    </font>
    <font>
      <b/>
      <sz val="10"/>
      <color indexed="19"/>
      <name val="Arial MT"/>
    </font>
    <font>
      <b/>
      <sz val="12"/>
      <name val="Arial MT"/>
    </font>
    <font>
      <sz val="10"/>
      <color indexed="19"/>
      <name val="Arial"/>
      <family val="2"/>
    </font>
    <font>
      <sz val="10"/>
      <name val="Arial MT"/>
    </font>
    <font>
      <b/>
      <i/>
      <sz val="12"/>
      <color indexed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name val="Arial Narrow"/>
      <family val="2"/>
    </font>
    <font>
      <b/>
      <sz val="10"/>
      <color indexed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6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47"/>
      </right>
      <top style="medium">
        <color indexed="47"/>
      </top>
      <bottom style="medium">
        <color indexed="47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6">
    <xf numFmtId="0" fontId="0" fillId="0" borderId="0"/>
    <xf numFmtId="0" fontId="139" fillId="0" borderId="0" applyNumberFormat="0" applyFill="0" applyBorder="0" applyAlignment="0" applyProtection="0"/>
    <xf numFmtId="0" fontId="57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60" fillId="0" borderId="0">
      <protection locked="0"/>
    </xf>
    <xf numFmtId="342" fontId="1" fillId="0" borderId="0" applyFont="0" applyFill="0" applyBorder="0" applyAlignment="0" applyProtection="0"/>
    <xf numFmtId="344" fontId="1" fillId="0" borderId="0" applyFont="0" applyFill="0" applyBorder="0" applyAlignment="0" applyProtection="0"/>
    <xf numFmtId="313" fontId="1" fillId="0" borderId="0">
      <protection locked="0"/>
    </xf>
    <xf numFmtId="38" fontId="67" fillId="4" borderId="0" applyNumberFormat="0" applyBorder="0" applyAlignment="0" applyProtection="0"/>
    <xf numFmtId="0" fontId="68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69" fillId="0" borderId="2" applyNumberFormat="0" applyFill="0" applyAlignment="0" applyProtection="0"/>
    <xf numFmtId="10" fontId="67" fillId="5" borderId="3" applyNumberFormat="0" applyBorder="0" applyAlignment="0" applyProtection="0"/>
    <xf numFmtId="37" fontId="70" fillId="0" borderId="0"/>
    <xf numFmtId="170" fontId="71" fillId="0" borderId="0"/>
    <xf numFmtId="339" fontId="1" fillId="0" borderId="0" applyNumberFormat="0" applyFont="0" applyFill="0" applyBorder="0" applyAlignment="0" applyProtection="0"/>
    <xf numFmtId="0" fontId="1" fillId="0" borderId="0"/>
    <xf numFmtId="37" fontId="7" fillId="0" borderId="0" applyBorder="0" applyAlignment="0" applyProtection="0">
      <alignment horizontal="center"/>
    </xf>
    <xf numFmtId="37" fontId="7" fillId="0" borderId="0" applyBorder="0" applyAlignment="0" applyProtection="0">
      <alignment horizontal="center"/>
    </xf>
    <xf numFmtId="0" fontId="34" fillId="0" borderId="0"/>
    <xf numFmtId="0" fontId="7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22" fontId="1" fillId="0" borderId="0"/>
    <xf numFmtId="38" fontId="67" fillId="8" borderId="0" applyNumberFormat="0" applyBorder="0" applyAlignment="0" applyProtection="0"/>
    <xf numFmtId="37" fontId="67" fillId="8" borderId="0" applyNumberFormat="0" applyBorder="0" applyAlignment="0" applyProtection="0"/>
    <xf numFmtId="37" fontId="7" fillId="0" borderId="0"/>
    <xf numFmtId="37" fontId="7" fillId="4" borderId="0" applyNumberFormat="0" applyBorder="0" applyAlignment="0" applyProtection="0"/>
    <xf numFmtId="3" fontId="107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1183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43" fontId="2" fillId="0" borderId="0" xfId="4" applyFont="1" applyFill="1" applyAlignment="1">
      <alignment horizontal="left"/>
    </xf>
    <xf numFmtId="43" fontId="3" fillId="0" borderId="0" xfId="4" applyFont="1" applyFill="1" applyAlignment="1">
      <alignment horizontal="left"/>
    </xf>
    <xf numFmtId="0" fontId="1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37" fontId="11" fillId="0" borderId="0" xfId="21" applyFont="1" applyAlignment="1"/>
    <xf numFmtId="14" fontId="12" fillId="0" borderId="0" xfId="0" applyNumberFormat="1" applyFont="1" applyBorder="1" applyAlignment="1">
      <alignment horizontal="right"/>
    </xf>
    <xf numFmtId="0" fontId="3" fillId="0" borderId="0" xfId="0" applyFont="1" applyAlignment="1" applyProtection="1">
      <alignment horizontal="left"/>
    </xf>
    <xf numFmtId="165" fontId="3" fillId="0" borderId="0" xfId="5" applyNumberFormat="1" applyFont="1" applyProtection="1"/>
    <xf numFmtId="166" fontId="3" fillId="0" borderId="0" xfId="4" applyNumberFormat="1" applyFont="1"/>
    <xf numFmtId="166" fontId="3" fillId="0" borderId="0" xfId="4" applyNumberFormat="1" applyFont="1" applyBorder="1" applyProtection="1"/>
    <xf numFmtId="166" fontId="11" fillId="0" borderId="0" xfId="4" applyNumberFormat="1" applyFont="1"/>
    <xf numFmtId="0" fontId="3" fillId="0" borderId="0" xfId="0" applyFont="1" applyBorder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13" fillId="0" borderId="0" xfId="0" applyFont="1" applyBorder="1" applyAlignment="1" applyProtection="1">
      <alignment horizontal="left"/>
    </xf>
    <xf numFmtId="166" fontId="3" fillId="0" borderId="0" xfId="4" applyNumberFormat="1" applyFont="1" applyBorder="1"/>
    <xf numFmtId="0" fontId="18" fillId="0" borderId="0" xfId="0" applyFont="1"/>
    <xf numFmtId="0" fontId="20" fillId="0" borderId="0" xfId="0" applyFont="1"/>
    <xf numFmtId="37" fontId="20" fillId="0" borderId="0" xfId="21" applyFont="1" applyAlignment="1"/>
    <xf numFmtId="0" fontId="10" fillId="0" borderId="0" xfId="0" applyFont="1"/>
    <xf numFmtId="0" fontId="2" fillId="0" borderId="0" xfId="0" applyFont="1" applyAlignment="1" applyProtection="1">
      <alignment horizontal="left"/>
      <protection locked="0"/>
    </xf>
    <xf numFmtId="169" fontId="21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right"/>
    </xf>
    <xf numFmtId="170" fontId="3" fillId="0" borderId="0" xfId="0" applyNumberFormat="1" applyFont="1" applyProtection="1"/>
    <xf numFmtId="171" fontId="3" fillId="0" borderId="0" xfId="0" applyNumberFormat="1" applyFont="1" applyProtection="1">
      <protection locked="0"/>
    </xf>
    <xf numFmtId="10" fontId="18" fillId="0" borderId="0" xfId="0" applyNumberFormat="1" applyFont="1" applyProtection="1"/>
    <xf numFmtId="10" fontId="3" fillId="0" borderId="0" xfId="24" applyNumberFormat="1" applyFont="1" applyProtection="1"/>
    <xf numFmtId="171" fontId="3" fillId="0" borderId="0" xfId="0" applyNumberFormat="1" applyFont="1" applyProtection="1"/>
    <xf numFmtId="165" fontId="18" fillId="0" borderId="0" xfId="5" applyNumberFormat="1" applyFont="1" applyProtection="1"/>
    <xf numFmtId="165" fontId="3" fillId="0" borderId="0" xfId="0" applyNumberFormat="1" applyFont="1"/>
    <xf numFmtId="10" fontId="3" fillId="0" borderId="0" xfId="0" applyNumberFormat="1" applyFont="1"/>
    <xf numFmtId="0" fontId="18" fillId="0" borderId="0" xfId="0" applyFont="1" applyAlignment="1">
      <alignment horizontal="center"/>
    </xf>
    <xf numFmtId="9" fontId="18" fillId="8" borderId="0" xfId="24" applyFont="1" applyFill="1" applyProtection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" fontId="3" fillId="0" borderId="0" xfId="0" applyNumberFormat="1" applyFont="1"/>
    <xf numFmtId="0" fontId="3" fillId="0" borderId="6" xfId="0" applyFont="1" applyBorder="1"/>
    <xf numFmtId="0" fontId="2" fillId="0" borderId="0" xfId="0" applyFont="1" applyBorder="1"/>
    <xf numFmtId="166" fontId="2" fillId="0" borderId="0" xfId="4" applyNumberFormat="1" applyFont="1" applyBorder="1" applyProtection="1"/>
    <xf numFmtId="0" fontId="3" fillId="0" borderId="0" xfId="0" applyFont="1" applyAlignment="1">
      <alignment horizontal="left"/>
    </xf>
    <xf numFmtId="0" fontId="27" fillId="0" borderId="0" xfId="0" applyFont="1"/>
    <xf numFmtId="0" fontId="28" fillId="0" borderId="0" xfId="0" applyFont="1" applyBorder="1"/>
    <xf numFmtId="0" fontId="29" fillId="0" borderId="0" xfId="0" applyFont="1"/>
    <xf numFmtId="10" fontId="30" fillId="0" borderId="0" xfId="0" applyNumberFormat="1" applyFont="1"/>
    <xf numFmtId="10" fontId="12" fillId="0" borderId="0" xfId="0" applyNumberFormat="1" applyFont="1" applyAlignment="1">
      <alignment horizontal="center"/>
    </xf>
    <xf numFmtId="3" fontId="18" fillId="0" borderId="0" xfId="0" applyNumberFormat="1" applyFont="1"/>
    <xf numFmtId="0" fontId="12" fillId="0" borderId="0" xfId="0" applyFont="1"/>
    <xf numFmtId="3" fontId="3" fillId="0" borderId="0" xfId="0" applyNumberFormat="1" applyFont="1"/>
    <xf numFmtId="3" fontId="29" fillId="0" borderId="0" xfId="0" applyNumberFormat="1" applyFont="1"/>
    <xf numFmtId="3" fontId="2" fillId="0" borderId="0" xfId="0" applyNumberFormat="1" applyFont="1"/>
    <xf numFmtId="0" fontId="19" fillId="0" borderId="0" xfId="0" applyFont="1"/>
    <xf numFmtId="0" fontId="19" fillId="0" borderId="0" xfId="0" applyFont="1" applyBorder="1"/>
    <xf numFmtId="0" fontId="19" fillId="0" borderId="10" xfId="0" applyFont="1" applyBorder="1"/>
    <xf numFmtId="179" fontId="19" fillId="0" borderId="11" xfId="0" applyNumberFormat="1" applyFont="1" applyBorder="1"/>
    <xf numFmtId="6" fontId="19" fillId="0" borderId="0" xfId="0" applyNumberFormat="1" applyFont="1"/>
    <xf numFmtId="0" fontId="15" fillId="0" borderId="0" xfId="0" applyFont="1"/>
    <xf numFmtId="2" fontId="19" fillId="0" borderId="11" xfId="0" applyNumberFormat="1" applyFont="1" applyBorder="1" applyAlignment="1">
      <alignment horizontal="center"/>
    </xf>
    <xf numFmtId="0" fontId="27" fillId="0" borderId="12" xfId="0" applyFont="1" applyBorder="1"/>
    <xf numFmtId="0" fontId="19" fillId="0" borderId="13" xfId="0" applyFont="1" applyBorder="1"/>
    <xf numFmtId="4" fontId="2" fillId="0" borderId="14" xfId="0" applyNumberFormat="1" applyFont="1" applyBorder="1" applyAlignment="1">
      <alignment horizontal="center"/>
    </xf>
    <xf numFmtId="0" fontId="27" fillId="0" borderId="4" xfId="0" applyFont="1" applyBorder="1"/>
    <xf numFmtId="0" fontId="2" fillId="0" borderId="0" xfId="0" applyFont="1" applyFill="1" applyAlignment="1"/>
    <xf numFmtId="37" fontId="2" fillId="0" borderId="0" xfId="0" applyNumberFormat="1" applyFont="1" applyFill="1"/>
    <xf numFmtId="0" fontId="10" fillId="0" borderId="0" xfId="0" applyFont="1" applyFill="1"/>
    <xf numFmtId="0" fontId="32" fillId="0" borderId="0" xfId="0" applyFont="1"/>
    <xf numFmtId="0" fontId="10" fillId="0" borderId="10" xfId="0" applyFont="1" applyBorder="1" applyAlignment="1">
      <alignment horizontal="centerContinuous"/>
    </xf>
    <xf numFmtId="0" fontId="10" fillId="0" borderId="12" xfId="0" applyFont="1" applyBorder="1" applyAlignment="1">
      <alignment horizontal="centerContinuous"/>
    </xf>
    <xf numFmtId="0" fontId="10" fillId="0" borderId="11" xfId="0" applyFont="1" applyBorder="1" applyAlignment="1">
      <alignment horizontal="centerContinuous"/>
    </xf>
    <xf numFmtId="0" fontId="3" fillId="0" borderId="1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73" fontId="2" fillId="0" borderId="14" xfId="0" applyNumberFormat="1" applyFont="1" applyBorder="1" applyAlignment="1">
      <alignment horizontal="center"/>
    </xf>
    <xf numFmtId="0" fontId="3" fillId="0" borderId="12" xfId="0" applyFont="1" applyBorder="1"/>
    <xf numFmtId="0" fontId="2" fillId="0" borderId="12" xfId="0" applyFont="1" applyFill="1" applyBorder="1"/>
    <xf numFmtId="0" fontId="3" fillId="0" borderId="4" xfId="0" applyFont="1" applyBorder="1"/>
    <xf numFmtId="179" fontId="19" fillId="0" borderId="14" xfId="0" applyNumberFormat="1" applyFont="1" applyBorder="1"/>
    <xf numFmtId="38" fontId="3" fillId="0" borderId="0" xfId="4" applyNumberFormat="1" applyFont="1"/>
    <xf numFmtId="0" fontId="8" fillId="4" borderId="0" xfId="0" applyFont="1" applyFill="1"/>
    <xf numFmtId="0" fontId="9" fillId="4" borderId="0" xfId="19" applyFont="1" applyFill="1" applyBorder="1"/>
    <xf numFmtId="0" fontId="2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0" xfId="0" applyFont="1" applyFill="1"/>
    <xf numFmtId="0" fontId="2" fillId="0" borderId="0" xfId="0" applyFont="1" applyFill="1" applyBorder="1"/>
    <xf numFmtId="166" fontId="3" fillId="0" borderId="0" xfId="4" applyNumberFormat="1" applyFont="1" applyFill="1" applyBorder="1"/>
    <xf numFmtId="10" fontId="15" fillId="10" borderId="0" xfId="24" applyNumberFormat="1" applyFont="1" applyFill="1" applyAlignment="1">
      <alignment horizontal="center"/>
    </xf>
    <xf numFmtId="168" fontId="3" fillId="0" borderId="0" xfId="4" applyNumberFormat="1" applyFont="1" applyFill="1"/>
    <xf numFmtId="38" fontId="3" fillId="0" borderId="0" xfId="0" applyNumberFormat="1" applyFont="1"/>
    <xf numFmtId="166" fontId="3" fillId="0" borderId="0" xfId="0" applyNumberFormat="1" applyFont="1"/>
    <xf numFmtId="0" fontId="27" fillId="0" borderId="0" xfId="0" applyFont="1" applyFill="1"/>
    <xf numFmtId="171" fontId="3" fillId="0" borderId="0" xfId="0" applyNumberFormat="1" applyFont="1" applyFill="1" applyProtection="1"/>
    <xf numFmtId="10" fontId="18" fillId="0" borderId="0" xfId="0" applyNumberFormat="1" applyFont="1" applyFill="1" applyProtection="1"/>
    <xf numFmtId="0" fontId="11" fillId="0" borderId="0" xfId="0" applyFont="1" applyFill="1"/>
    <xf numFmtId="38" fontId="0" fillId="0" borderId="0" xfId="0" applyNumberFormat="1"/>
    <xf numFmtId="38" fontId="6" fillId="0" borderId="0" xfId="0" applyNumberFormat="1" applyFont="1"/>
    <xf numFmtId="38" fontId="26" fillId="0" borderId="0" xfId="0" applyNumberFormat="1" applyFont="1"/>
    <xf numFmtId="38" fontId="3" fillId="0" borderId="0" xfId="5" applyNumberFormat="1" applyFont="1" applyFill="1"/>
    <xf numFmtId="38" fontId="18" fillId="0" borderId="0" xfId="5" applyNumberFormat="1" applyFont="1" applyProtection="1"/>
    <xf numFmtId="38" fontId="3" fillId="0" borderId="0" xfId="5" applyNumberFormat="1" applyFont="1"/>
    <xf numFmtId="38" fontId="14" fillId="0" borderId="0" xfId="5" applyNumberFormat="1" applyFont="1" applyFill="1" applyProtection="1"/>
    <xf numFmtId="38" fontId="14" fillId="0" borderId="0" xfId="5" applyNumberFormat="1" applyFont="1" applyProtection="1"/>
    <xf numFmtId="38" fontId="3" fillId="0" borderId="0" xfId="0" applyNumberFormat="1" applyFont="1" applyFill="1"/>
    <xf numFmtId="38" fontId="3" fillId="0" borderId="4" xfId="4" applyNumberFormat="1" applyFont="1" applyFill="1" applyBorder="1"/>
    <xf numFmtId="37" fontId="11" fillId="0" borderId="0" xfId="21" applyFont="1" applyAlignment="1">
      <alignment horizontal="right"/>
    </xf>
    <xf numFmtId="166" fontId="11" fillId="0" borderId="0" xfId="4" applyNumberFormat="1" applyFont="1" applyProtection="1"/>
    <xf numFmtId="0" fontId="11" fillId="0" borderId="0" xfId="0" applyFont="1" applyFill="1" applyBorder="1"/>
    <xf numFmtId="37" fontId="11" fillId="0" borderId="0" xfId="21" applyFont="1" applyFill="1" applyBorder="1" applyAlignment="1"/>
    <xf numFmtId="0" fontId="3" fillId="0" borderId="18" xfId="0" applyFont="1" applyBorder="1"/>
    <xf numFmtId="10" fontId="3" fillId="0" borderId="0" xfId="24" applyNumberFormat="1" applyFont="1"/>
    <xf numFmtId="38" fontId="3" fillId="0" borderId="0" xfId="0" applyNumberFormat="1" applyFont="1" applyBorder="1"/>
    <xf numFmtId="38" fontId="3" fillId="0" borderId="4" xfId="0" applyNumberFormat="1" applyFont="1" applyBorder="1"/>
    <xf numFmtId="40" fontId="3" fillId="0" borderId="0" xfId="0" applyNumberFormat="1" applyFont="1" applyBorder="1"/>
    <xf numFmtId="43" fontId="3" fillId="0" borderId="0" xfId="4" applyFont="1"/>
    <xf numFmtId="0" fontId="8" fillId="0" borderId="0" xfId="0" applyFont="1"/>
    <xf numFmtId="0" fontId="0" fillId="0" borderId="0" xfId="0" applyFill="1" applyBorder="1"/>
    <xf numFmtId="38" fontId="0" fillId="0" borderId="0" xfId="0" applyNumberFormat="1" applyFill="1" applyBorder="1"/>
    <xf numFmtId="3" fontId="2" fillId="0" borderId="0" xfId="0" applyNumberFormat="1" applyFont="1" applyFill="1" applyBorder="1"/>
    <xf numFmtId="37" fontId="11" fillId="0" borderId="0" xfId="21" applyFont="1" applyFill="1" applyAlignment="1"/>
    <xf numFmtId="37" fontId="2" fillId="0" borderId="0" xfId="0" applyNumberFormat="1" applyFont="1" applyFill="1" applyBorder="1" applyAlignment="1">
      <alignment horizontal="center"/>
    </xf>
    <xf numFmtId="4" fontId="0" fillId="0" borderId="0" xfId="0" applyNumberFormat="1" applyFill="1" applyBorder="1"/>
    <xf numFmtId="0" fontId="38" fillId="0" borderId="0" xfId="0" applyFont="1" applyBorder="1" applyAlignment="1">
      <alignment horizontal="center"/>
    </xf>
    <xf numFmtId="0" fontId="27" fillId="0" borderId="0" xfId="0" applyFont="1" applyBorder="1"/>
    <xf numFmtId="10" fontId="39" fillId="0" borderId="0" xfId="0" applyNumberFormat="1" applyFont="1" applyBorder="1" applyAlignment="1" applyProtection="1">
      <alignment horizontal="center"/>
    </xf>
    <xf numFmtId="0" fontId="27" fillId="0" borderId="9" xfId="0" applyFont="1" applyBorder="1"/>
    <xf numFmtId="0" fontId="27" fillId="0" borderId="8" xfId="0" applyFont="1" applyBorder="1"/>
    <xf numFmtId="0" fontId="27" fillId="0" borderId="19" xfId="0" applyFont="1" applyBorder="1"/>
    <xf numFmtId="173" fontId="27" fillId="0" borderId="0" xfId="0" applyNumberFormat="1" applyFont="1" applyBorder="1" applyAlignment="1">
      <alignment horizontal="center"/>
    </xf>
    <xf numFmtId="0" fontId="38" fillId="0" borderId="0" xfId="0" applyFont="1" applyBorder="1"/>
    <xf numFmtId="212" fontId="27" fillId="0" borderId="0" xfId="4" applyNumberFormat="1" applyFont="1" applyBorder="1" applyAlignment="1">
      <alignment horizontal="center"/>
    </xf>
    <xf numFmtId="38" fontId="27" fillId="0" borderId="0" xfId="0" applyNumberFormat="1" applyFont="1" applyBorder="1"/>
    <xf numFmtId="38" fontId="27" fillId="0" borderId="0" xfId="0" applyNumberFormat="1" applyFont="1" applyBorder="1" applyAlignment="1">
      <alignment horizontal="center"/>
    </xf>
    <xf numFmtId="10" fontId="40" fillId="0" borderId="0" xfId="0" applyNumberFormat="1" applyFont="1" applyFill="1" applyBorder="1"/>
    <xf numFmtId="10" fontId="10" fillId="0" borderId="0" xfId="24" applyNumberFormat="1" applyFont="1" applyFill="1" applyBorder="1" applyAlignment="1">
      <alignment horizontal="center"/>
    </xf>
    <xf numFmtId="10" fontId="40" fillId="0" borderId="0" xfId="24" applyNumberFormat="1" applyFont="1" applyFill="1" applyBorder="1" applyAlignment="1">
      <alignment horizontal="center"/>
    </xf>
    <xf numFmtId="0" fontId="27" fillId="0" borderId="7" xfId="0" applyFont="1" applyBorder="1"/>
    <xf numFmtId="0" fontId="27" fillId="0" borderId="20" xfId="0" applyFont="1" applyBorder="1"/>
    <xf numFmtId="0" fontId="36" fillId="4" borderId="0" xfId="0" applyFont="1" applyFill="1" applyBorder="1" applyAlignment="1">
      <alignment horizontal="center"/>
    </xf>
    <xf numFmtId="4" fontId="27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9" fontId="40" fillId="8" borderId="0" xfId="0" applyNumberFormat="1" applyFont="1" applyFill="1" applyBorder="1" applyAlignment="1">
      <alignment horizontal="center"/>
    </xf>
    <xf numFmtId="38" fontId="2" fillId="0" borderId="0" xfId="0" applyNumberFormat="1" applyFont="1"/>
    <xf numFmtId="38" fontId="3" fillId="0" borderId="4" xfId="4" applyNumberFormat="1" applyFont="1" applyBorder="1"/>
    <xf numFmtId="0" fontId="42" fillId="0" borderId="0" xfId="0" applyFont="1"/>
    <xf numFmtId="10" fontId="40" fillId="8" borderId="0" xfId="0" applyNumberFormat="1" applyFont="1" applyFill="1" applyBorder="1" applyAlignment="1">
      <alignment horizontal="center"/>
    </xf>
    <xf numFmtId="7" fontId="27" fillId="0" borderId="0" xfId="4" applyNumberFormat="1" applyFont="1" applyBorder="1"/>
    <xf numFmtId="44" fontId="27" fillId="0" borderId="0" xfId="5" applyFont="1" applyFill="1" applyBorder="1"/>
    <xf numFmtId="2" fontId="27" fillId="0" borderId="0" xfId="0" applyNumberFormat="1" applyFont="1" applyBorder="1"/>
    <xf numFmtId="43" fontId="27" fillId="0" borderId="0" xfId="0" applyNumberFormat="1" applyFont="1" applyBorder="1"/>
    <xf numFmtId="0" fontId="23" fillId="0" borderId="0" xfId="4" applyNumberFormat="1" applyFont="1" applyBorder="1" applyAlignment="1">
      <alignment horizontal="right"/>
    </xf>
    <xf numFmtId="2" fontId="40" fillId="0" borderId="0" xfId="4" applyNumberFormat="1" applyFont="1" applyFill="1" applyBorder="1" applyAlignment="1">
      <alignment horizontal="right"/>
    </xf>
    <xf numFmtId="43" fontId="27" fillId="0" borderId="0" xfId="4" applyNumberFormat="1" applyFont="1" applyBorder="1" applyAlignment="1">
      <alignment horizontal="right"/>
    </xf>
    <xf numFmtId="44" fontId="27" fillId="0" borderId="0" xfId="5" applyFont="1" applyBorder="1" applyAlignment="1">
      <alignment horizontal="right"/>
    </xf>
    <xf numFmtId="9" fontId="40" fillId="0" borderId="0" xfId="0" applyNumberFormat="1" applyFont="1" applyBorder="1"/>
    <xf numFmtId="40" fontId="27" fillId="0" borderId="0" xfId="4" applyNumberFormat="1" applyFont="1" applyFill="1" applyBorder="1" applyAlignment="1">
      <alignment horizontal="right"/>
    </xf>
    <xf numFmtId="0" fontId="10" fillId="0" borderId="0" xfId="0" applyFont="1" applyBorder="1"/>
    <xf numFmtId="1" fontId="40" fillId="0" borderId="0" xfId="4" applyNumberFormat="1" applyFont="1" applyFill="1" applyBorder="1" applyAlignment="1">
      <alignment horizontal="right"/>
    </xf>
    <xf numFmtId="43" fontId="38" fillId="0" borderId="0" xfId="4" applyNumberFormat="1" applyFont="1" applyBorder="1" applyAlignment="1">
      <alignment horizontal="right"/>
    </xf>
    <xf numFmtId="7" fontId="27" fillId="0" borderId="0" xfId="4" applyNumberFormat="1" applyFont="1" applyBorder="1" applyAlignment="1">
      <alignment horizontal="right"/>
    </xf>
    <xf numFmtId="7" fontId="38" fillId="0" borderId="0" xfId="5" applyNumberFormat="1" applyFont="1" applyBorder="1"/>
    <xf numFmtId="0" fontId="27" fillId="0" borderId="9" xfId="0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9" fontId="40" fillId="0" borderId="0" xfId="24" applyFont="1" applyFill="1" applyBorder="1" applyAlignment="1">
      <alignment horizontal="right"/>
    </xf>
    <xf numFmtId="0" fontId="1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6" fontId="14" fillId="0" borderId="0" xfId="4" applyNumberFormat="1" applyFont="1" applyBorder="1"/>
    <xf numFmtId="10" fontId="17" fillId="0" borderId="0" xfId="4" applyNumberFormat="1" applyFont="1" applyBorder="1"/>
    <xf numFmtId="166" fontId="16" fillId="0" borderId="0" xfId="4" applyNumberFormat="1" applyFont="1" applyBorder="1" applyProtection="1"/>
    <xf numFmtId="166" fontId="17" fillId="0" borderId="0" xfId="4" applyNumberFormat="1" applyFont="1" applyBorder="1" applyProtection="1"/>
    <xf numFmtId="166" fontId="2" fillId="0" borderId="0" xfId="4" applyNumberFormat="1" applyFont="1" applyBorder="1"/>
    <xf numFmtId="166" fontId="14" fillId="0" borderId="0" xfId="4" applyNumberFormat="1" applyFont="1" applyBorder="1" applyProtection="1"/>
    <xf numFmtId="9" fontId="3" fillId="0" borderId="0" xfId="4" applyNumberFormat="1" applyFont="1" applyBorder="1"/>
    <xf numFmtId="166" fontId="2" fillId="0" borderId="0" xfId="4" quotePrefix="1" applyNumberFormat="1" applyFont="1" applyBorder="1" applyProtection="1"/>
    <xf numFmtId="0" fontId="23" fillId="0" borderId="0" xfId="0" applyFont="1" applyBorder="1"/>
    <xf numFmtId="0" fontId="23" fillId="0" borderId="0" xfId="0" applyFont="1" applyBorder="1" applyAlignment="1" applyProtection="1">
      <alignment horizontal="left"/>
    </xf>
    <xf numFmtId="0" fontId="43" fillId="0" borderId="0" xfId="0" applyFont="1" applyBorder="1"/>
    <xf numFmtId="1" fontId="40" fillId="8" borderId="3" xfId="4" applyNumberFormat="1" applyFont="1" applyFill="1" applyBorder="1" applyAlignment="1">
      <alignment horizontal="right"/>
    </xf>
    <xf numFmtId="38" fontId="44" fillId="0" borderId="0" xfId="0" applyNumberFormat="1" applyFont="1"/>
    <xf numFmtId="166" fontId="3" fillId="0" borderId="0" xfId="4" applyNumberFormat="1" applyFont="1" applyFill="1" applyBorder="1" applyProtection="1"/>
    <xf numFmtId="166" fontId="2" fillId="0" borderId="16" xfId="4" applyNumberFormat="1" applyFont="1" applyBorder="1"/>
    <xf numFmtId="166" fontId="2" fillId="0" borderId="17" xfId="4" applyNumberFormat="1" applyFont="1" applyBorder="1"/>
    <xf numFmtId="166" fontId="2" fillId="0" borderId="21" xfId="4" applyNumberFormat="1" applyFont="1" applyBorder="1"/>
    <xf numFmtId="166" fontId="3" fillId="0" borderId="17" xfId="4" applyNumberFormat="1" applyFont="1" applyBorder="1" applyProtection="1"/>
    <xf numFmtId="166" fontId="3" fillId="0" borderId="21" xfId="4" applyNumberFormat="1" applyFont="1" applyBorder="1" applyProtection="1"/>
    <xf numFmtId="166" fontId="3" fillId="0" borderId="16" xfId="4" applyNumberFormat="1" applyFont="1" applyBorder="1" applyProtection="1"/>
    <xf numFmtId="0" fontId="15" fillId="0" borderId="0" xfId="0" applyFont="1" applyBorder="1"/>
    <xf numFmtId="0" fontId="29" fillId="0" borderId="0" xfId="0" applyFont="1" applyBorder="1"/>
    <xf numFmtId="0" fontId="2" fillId="0" borderId="0" xfId="0" applyFont="1" applyBorder="1" applyAlignment="1">
      <alignment horizontal="center"/>
    </xf>
    <xf numFmtId="0" fontId="20" fillId="0" borderId="6" xfId="0" applyFont="1" applyBorder="1"/>
    <xf numFmtId="0" fontId="20" fillId="0" borderId="0" xfId="0" applyFont="1" applyBorder="1"/>
    <xf numFmtId="38" fontId="27" fillId="0" borderId="0" xfId="4" applyNumberFormat="1" applyFont="1" applyFill="1" applyBorder="1" applyAlignment="1" applyProtection="1">
      <alignment horizontal="center"/>
    </xf>
    <xf numFmtId="38" fontId="40" fillId="8" borderId="0" xfId="0" applyNumberFormat="1" applyFont="1" applyFill="1" applyBorder="1" applyAlignment="1">
      <alignment horizontal="center"/>
    </xf>
    <xf numFmtId="10" fontId="27" fillId="0" borderId="0" xfId="0" applyNumberFormat="1" applyFont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9" fontId="23" fillId="0" borderId="0" xfId="0" applyNumberFormat="1" applyFont="1" applyBorder="1" applyAlignment="1" applyProtection="1">
      <alignment horizontal="center"/>
    </xf>
    <xf numFmtId="14" fontId="29" fillId="0" borderId="0" xfId="0" applyNumberFormat="1" applyFont="1" applyAlignment="1">
      <alignment horizontal="center"/>
    </xf>
    <xf numFmtId="251" fontId="18" fillId="0" borderId="0" xfId="4" applyNumberFormat="1" applyFont="1" applyProtection="1"/>
    <xf numFmtId="166" fontId="0" fillId="0" borderId="0" xfId="4" applyNumberFormat="1" applyFont="1" applyFill="1" applyBorder="1"/>
    <xf numFmtId="0" fontId="22" fillId="0" borderId="0" xfId="19" applyFont="1" applyFill="1" applyBorder="1"/>
    <xf numFmtId="0" fontId="23" fillId="0" borderId="0" xfId="0" applyFont="1" applyBorder="1" applyAlignment="1">
      <alignment horizontal="centerContinuous"/>
    </xf>
    <xf numFmtId="10" fontId="27" fillId="0" borderId="0" xfId="24" applyNumberFormat="1" applyFont="1" applyFill="1" applyBorder="1"/>
    <xf numFmtId="40" fontId="27" fillId="0" borderId="0" xfId="0" applyNumberFormat="1" applyFont="1" applyFill="1" applyBorder="1"/>
    <xf numFmtId="1" fontId="27" fillId="0" borderId="0" xfId="0" applyNumberFormat="1" applyFont="1" applyFill="1" applyBorder="1"/>
    <xf numFmtId="43" fontId="27" fillId="0" borderId="0" xfId="4" applyFont="1" applyFill="1" applyBorder="1"/>
    <xf numFmtId="38" fontId="27" fillId="0" borderId="0" xfId="0" applyNumberFormat="1" applyFont="1" applyFill="1" applyBorder="1"/>
    <xf numFmtId="43" fontId="0" fillId="0" borderId="0" xfId="0" applyNumberFormat="1"/>
    <xf numFmtId="0" fontId="10" fillId="0" borderId="0" xfId="0" quotePrefix="1" applyFont="1" applyBorder="1"/>
    <xf numFmtId="0" fontId="3" fillId="11" borderId="0" xfId="0" applyFont="1" applyFill="1"/>
    <xf numFmtId="0" fontId="10" fillId="11" borderId="0" xfId="0" applyFont="1" applyFill="1"/>
    <xf numFmtId="0" fontId="27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Continuous"/>
    </xf>
    <xf numFmtId="0" fontId="10" fillId="0" borderId="22" xfId="0" applyFont="1" applyBorder="1"/>
    <xf numFmtId="0" fontId="38" fillId="0" borderId="9" xfId="0" applyFont="1" applyBorder="1" applyAlignment="1">
      <alignment horizontal="center"/>
    </xf>
    <xf numFmtId="166" fontId="27" fillId="0" borderId="0" xfId="4" applyNumberFormat="1" applyFont="1" applyBorder="1"/>
    <xf numFmtId="164" fontId="27" fillId="0" borderId="0" xfId="0" applyNumberFormat="1" applyFont="1" applyBorder="1"/>
    <xf numFmtId="9" fontId="27" fillId="0" borderId="0" xfId="0" applyNumberFormat="1" applyFont="1" applyBorder="1"/>
    <xf numFmtId="0" fontId="27" fillId="0" borderId="8" xfId="0" applyFont="1" applyBorder="1" applyAlignment="1">
      <alignment horizontal="right"/>
    </xf>
    <xf numFmtId="0" fontId="27" fillId="0" borderId="19" xfId="0" applyFont="1" applyBorder="1" applyAlignment="1">
      <alignment horizontal="center"/>
    </xf>
    <xf numFmtId="9" fontId="27" fillId="0" borderId="6" xfId="24" applyFont="1" applyBorder="1"/>
    <xf numFmtId="164" fontId="27" fillId="0" borderId="6" xfId="24" applyNumberFormat="1" applyFont="1" applyBorder="1"/>
    <xf numFmtId="166" fontId="27" fillId="0" borderId="6" xfId="4" applyNumberFormat="1" applyFont="1" applyBorder="1"/>
    <xf numFmtId="166" fontId="27" fillId="0" borderId="18" xfId="4" applyNumberFormat="1" applyFont="1" applyBorder="1" applyAlignment="1">
      <alignment horizontal="right"/>
    </xf>
    <xf numFmtId="3" fontId="2" fillId="0" borderId="0" xfId="0" applyNumberFormat="1" applyFont="1" applyFill="1"/>
    <xf numFmtId="3" fontId="3" fillId="0" borderId="0" xfId="0" applyNumberFormat="1" applyFont="1" applyFill="1"/>
    <xf numFmtId="14" fontId="3" fillId="0" borderId="0" xfId="0" applyNumberFormat="1" applyFont="1"/>
    <xf numFmtId="3" fontId="3" fillId="0" borderId="0" xfId="0" applyNumberFormat="1" applyFont="1" applyBorder="1"/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5" fillId="0" borderId="0" xfId="0" applyFont="1"/>
    <xf numFmtId="164" fontId="27" fillId="0" borderId="0" xfId="0" applyNumberFormat="1" applyFont="1" applyBorder="1" applyAlignment="1">
      <alignment horizontal="center"/>
    </xf>
    <xf numFmtId="164" fontId="27" fillId="0" borderId="0" xfId="24" applyNumberFormat="1" applyFont="1" applyBorder="1" applyAlignment="1">
      <alignment horizontal="center"/>
    </xf>
    <xf numFmtId="38" fontId="3" fillId="0" borderId="0" xfId="4" applyNumberFormat="1" applyFont="1" applyBorder="1"/>
    <xf numFmtId="313" fontId="40" fillId="8" borderId="0" xfId="0" applyNumberFormat="1" applyFont="1" applyFill="1" applyBorder="1" applyAlignment="1" applyProtection="1">
      <alignment horizontal="right"/>
    </xf>
    <xf numFmtId="0" fontId="38" fillId="0" borderId="0" xfId="0" applyFont="1" applyFill="1" applyBorder="1" applyAlignment="1">
      <alignment horizontal="centerContinuous"/>
    </xf>
    <xf numFmtId="0" fontId="8" fillId="4" borderId="0" xfId="19" applyFont="1" applyFill="1" applyBorder="1"/>
    <xf numFmtId="0" fontId="38" fillId="0" borderId="8" xfId="0" applyFont="1" applyBorder="1" applyAlignment="1">
      <alignment horizontal="center"/>
    </xf>
    <xf numFmtId="0" fontId="27" fillId="0" borderId="23" xfId="0" applyFont="1" applyFill="1" applyBorder="1" applyAlignment="1">
      <alignment horizontal="center"/>
    </xf>
    <xf numFmtId="0" fontId="27" fillId="0" borderId="24" xfId="0" applyFont="1" applyFill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2" fillId="0" borderId="22" xfId="0" applyFont="1" applyFill="1" applyBorder="1" applyAlignment="1">
      <alignment horizontal="left"/>
    </xf>
    <xf numFmtId="0" fontId="27" fillId="0" borderId="7" xfId="0" applyFont="1" applyBorder="1" applyAlignment="1">
      <alignment horizontal="center"/>
    </xf>
    <xf numFmtId="0" fontId="10" fillId="0" borderId="25" xfId="0" applyFont="1" applyFill="1" applyBorder="1"/>
    <xf numFmtId="0" fontId="3" fillId="0" borderId="26" xfId="0" applyFont="1" applyBorder="1"/>
    <xf numFmtId="10" fontId="10" fillId="0" borderId="26" xfId="0" applyNumberFormat="1" applyFont="1" applyFill="1" applyBorder="1"/>
    <xf numFmtId="179" fontId="10" fillId="0" borderId="26" xfId="4" applyNumberFormat="1" applyFont="1" applyFill="1" applyBorder="1"/>
    <xf numFmtId="179" fontId="10" fillId="0" borderId="27" xfId="4" applyNumberFormat="1" applyFont="1" applyFill="1" applyBorder="1"/>
    <xf numFmtId="0" fontId="10" fillId="0" borderId="22" xfId="0" applyFont="1" applyFill="1" applyBorder="1"/>
    <xf numFmtId="10" fontId="10" fillId="0" borderId="7" xfId="0" applyNumberFormat="1" applyFont="1" applyFill="1" applyBorder="1"/>
    <xf numFmtId="179" fontId="10" fillId="0" borderId="7" xfId="4" applyNumberFormat="1" applyFont="1" applyFill="1" applyBorder="1"/>
    <xf numFmtId="179" fontId="10" fillId="0" borderId="20" xfId="4" applyNumberFormat="1" applyFont="1" applyFill="1" applyBorder="1"/>
    <xf numFmtId="0" fontId="3" fillId="0" borderId="19" xfId="0" applyFont="1" applyBorder="1"/>
    <xf numFmtId="37" fontId="40" fillId="8" borderId="0" xfId="0" applyNumberFormat="1" applyFont="1" applyFill="1" applyBorder="1" applyAlignment="1">
      <alignment horizontal="center"/>
    </xf>
    <xf numFmtId="37" fontId="2" fillId="0" borderId="21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173" fontId="40" fillId="8" borderId="0" xfId="0" applyNumberFormat="1" applyFont="1" applyFill="1" applyBorder="1" applyAlignment="1">
      <alignment horizontal="center"/>
    </xf>
    <xf numFmtId="173" fontId="48" fillId="8" borderId="0" xfId="0" applyNumberFormat="1" applyFont="1" applyFill="1" applyBorder="1" applyAlignment="1">
      <alignment horizontal="center"/>
    </xf>
    <xf numFmtId="173" fontId="3" fillId="0" borderId="28" xfId="0" applyNumberFormat="1" applyFont="1" applyFill="1" applyBorder="1" applyAlignment="1">
      <alignment horizontal="center"/>
    </xf>
    <xf numFmtId="173" fontId="3" fillId="0" borderId="0" xfId="0" applyNumberFormat="1" applyFont="1" applyFill="1"/>
    <xf numFmtId="0" fontId="3" fillId="0" borderId="1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3" fontId="10" fillId="0" borderId="0" xfId="4" applyFont="1" applyFill="1" applyBorder="1" applyAlignment="1">
      <alignment horizontal="center"/>
    </xf>
    <xf numFmtId="179" fontId="19" fillId="0" borderId="0" xfId="0" applyNumberFormat="1" applyFont="1" applyBorder="1" applyAlignment="1">
      <alignment horizontal="right"/>
    </xf>
    <xf numFmtId="0" fontId="19" fillId="0" borderId="16" xfId="0" applyFont="1" applyBorder="1"/>
    <xf numFmtId="179" fontId="19" fillId="0" borderId="17" xfId="0" applyNumberFormat="1" applyFont="1" applyBorder="1" applyAlignment="1">
      <alignment horizontal="right"/>
    </xf>
    <xf numFmtId="0" fontId="27" fillId="0" borderId="22" xfId="0" applyFont="1" applyFill="1" applyBorder="1" applyAlignment="1">
      <alignment horizontal="center"/>
    </xf>
    <xf numFmtId="0" fontId="27" fillId="0" borderId="0" xfId="0" applyFont="1" applyFill="1" applyBorder="1"/>
    <xf numFmtId="0" fontId="8" fillId="0" borderId="0" xfId="0" applyFont="1" applyAlignment="1">
      <alignment horizontal="left"/>
    </xf>
    <xf numFmtId="43" fontId="40" fillId="8" borderId="0" xfId="4" applyNumberFormat="1" applyFont="1" applyFill="1" applyBorder="1" applyAlignment="1">
      <alignment horizontal="right"/>
    </xf>
    <xf numFmtId="16" fontId="12" fillId="0" borderId="0" xfId="0" applyNumberFormat="1" applyFont="1" applyAlignment="1">
      <alignment horizontal="left"/>
    </xf>
    <xf numFmtId="16" fontId="12" fillId="8" borderId="0" xfId="0" applyNumberFormat="1" applyFont="1" applyFill="1" applyAlignment="1">
      <alignment horizontal="left"/>
    </xf>
    <xf numFmtId="0" fontId="0" fillId="0" borderId="0" xfId="0" applyBorder="1"/>
    <xf numFmtId="10" fontId="3" fillId="8" borderId="0" xfId="24" applyNumberFormat="1" applyFont="1" applyFill="1" applyProtection="1"/>
    <xf numFmtId="166" fontId="3" fillId="8" borderId="0" xfId="4" applyNumberFormat="1" applyFont="1" applyFill="1" applyBorder="1"/>
    <xf numFmtId="38" fontId="31" fillId="8" borderId="0" xfId="0" applyNumberFormat="1" applyFont="1" applyFill="1" applyBorder="1"/>
    <xf numFmtId="3" fontId="31" fillId="8" borderId="0" xfId="0" applyNumberFormat="1" applyFont="1" applyFill="1"/>
    <xf numFmtId="10" fontId="2" fillId="0" borderId="3" xfId="24" applyNumberFormat="1" applyFont="1" applyBorder="1"/>
    <xf numFmtId="164" fontId="38" fillId="0" borderId="0" xfId="24" applyNumberFormat="1" applyFont="1" applyBorder="1" applyAlignment="1">
      <alignment horizontal="center"/>
    </xf>
    <xf numFmtId="0" fontId="17" fillId="0" borderId="0" xfId="0" applyFont="1" applyFill="1"/>
    <xf numFmtId="2" fontId="27" fillId="12" borderId="0" xfId="0" applyNumberFormat="1" applyFont="1" applyFill="1"/>
    <xf numFmtId="166" fontId="0" fillId="0" borderId="0" xfId="4" applyNumberFormat="1" applyFont="1"/>
    <xf numFmtId="38" fontId="0" fillId="8" borderId="0" xfId="0" applyNumberFormat="1" applyFill="1"/>
    <xf numFmtId="38" fontId="0" fillId="8" borderId="4" xfId="0" applyNumberFormat="1" applyFill="1" applyBorder="1"/>
    <xf numFmtId="38" fontId="3" fillId="8" borderId="0" xfId="0" applyNumberFormat="1" applyFont="1" applyFill="1"/>
    <xf numFmtId="6" fontId="38" fillId="0" borderId="0" xfId="0" quotePrefix="1" applyNumberFormat="1" applyFont="1" applyBorder="1" applyAlignment="1">
      <alignment horizontal="center"/>
    </xf>
    <xf numFmtId="38" fontId="40" fillId="8" borderId="0" xfId="4" applyNumberFormat="1" applyFont="1" applyFill="1" applyBorder="1" applyAlignment="1">
      <alignment horizontal="center"/>
    </xf>
    <xf numFmtId="38" fontId="27" fillId="0" borderId="0" xfId="4" applyNumberFormat="1" applyFont="1" applyBorder="1" applyAlignment="1">
      <alignment horizontal="center"/>
    </xf>
    <xf numFmtId="38" fontId="23" fillId="0" borderId="0" xfId="4" applyNumberFormat="1" applyFont="1" applyBorder="1" applyAlignment="1" applyProtection="1">
      <alignment horizontal="center"/>
    </xf>
    <xf numFmtId="38" fontId="40" fillId="8" borderId="0" xfId="0" applyNumberFormat="1" applyFont="1" applyFill="1" applyBorder="1" applyAlignment="1">
      <alignment horizontal="right"/>
    </xf>
    <xf numFmtId="38" fontId="40" fillId="8" borderId="0" xfId="0" applyNumberFormat="1" applyFont="1" applyFill="1" applyBorder="1"/>
    <xf numFmtId="40" fontId="40" fillId="8" borderId="0" xfId="0" applyNumberFormat="1" applyFont="1" applyFill="1" applyBorder="1"/>
    <xf numFmtId="9" fontId="40" fillId="8" borderId="0" xfId="24" applyFont="1" applyFill="1" applyBorder="1"/>
    <xf numFmtId="15" fontId="40" fillId="8" borderId="0" xfId="0" applyNumberFormat="1" applyFont="1" applyFill="1" applyBorder="1"/>
    <xf numFmtId="166" fontId="40" fillId="8" borderId="0" xfId="4" applyNumberFormat="1" applyFont="1" applyFill="1" applyBorder="1"/>
    <xf numFmtId="40" fontId="45" fillId="0" borderId="0" xfId="0" applyNumberFormat="1" applyFont="1" applyFill="1" applyBorder="1"/>
    <xf numFmtId="10" fontId="40" fillId="8" borderId="0" xfId="0" applyNumberFormat="1" applyFont="1" applyFill="1" applyBorder="1"/>
    <xf numFmtId="204" fontId="45" fillId="0" borderId="0" xfId="0" applyNumberFormat="1" applyFont="1" applyBorder="1"/>
    <xf numFmtId="166" fontId="3" fillId="8" borderId="0" xfId="0" applyNumberFormat="1" applyFont="1" applyFill="1"/>
    <xf numFmtId="38" fontId="43" fillId="0" borderId="0" xfId="0" applyNumberFormat="1" applyFont="1" applyBorder="1" applyAlignment="1">
      <alignment horizontal="center"/>
    </xf>
    <xf numFmtId="14" fontId="29" fillId="0" borderId="0" xfId="0" applyNumberFormat="1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14" fontId="29" fillId="0" borderId="0" xfId="0" applyNumberFormat="1" applyFont="1" applyBorder="1" applyAlignment="1">
      <alignment horizontal="center"/>
    </xf>
    <xf numFmtId="0" fontId="52" fillId="0" borderId="0" xfId="0" applyFont="1"/>
    <xf numFmtId="37" fontId="3" fillId="0" borderId="0" xfId="21" applyFont="1" applyBorder="1" applyAlignment="1">
      <alignment horizontal="left"/>
    </xf>
    <xf numFmtId="0" fontId="38" fillId="0" borderId="6" xfId="0" applyFont="1" applyBorder="1"/>
    <xf numFmtId="187" fontId="51" fillId="0" borderId="0" xfId="0" applyNumberFormat="1" applyFont="1" applyAlignment="1">
      <alignment horizontal="center"/>
    </xf>
    <xf numFmtId="0" fontId="23" fillId="0" borderId="6" xfId="4" applyNumberFormat="1" applyFont="1" applyBorder="1" applyAlignment="1">
      <alignment horizontal="center"/>
    </xf>
    <xf numFmtId="187" fontId="29" fillId="0" borderId="0" xfId="0" applyNumberFormat="1" applyFont="1" applyAlignment="1">
      <alignment horizontal="center"/>
    </xf>
    <xf numFmtId="187" fontId="29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9" fontId="20" fillId="0" borderId="0" xfId="0" applyNumberFormat="1" applyFont="1" applyAlignment="1" applyProtection="1">
      <alignment horizontal="center"/>
    </xf>
    <xf numFmtId="171" fontId="29" fillId="0" borderId="0" xfId="21" applyNumberFormat="1" applyFont="1" applyBorder="1" applyAlignment="1">
      <alignment horizontal="center"/>
    </xf>
    <xf numFmtId="0" fontId="11" fillId="4" borderId="0" xfId="0" applyFont="1" applyFill="1" applyBorder="1"/>
    <xf numFmtId="38" fontId="3" fillId="0" borderId="0" xfId="4" applyNumberFormat="1" applyFont="1" applyFill="1"/>
    <xf numFmtId="38" fontId="2" fillId="0" borderId="0" xfId="4" applyNumberFormat="1" applyFont="1"/>
    <xf numFmtId="38" fontId="17" fillId="0" borderId="0" xfId="4" applyNumberFormat="1" applyFont="1"/>
    <xf numFmtId="38" fontId="29" fillId="0" borderId="0" xfId="24" applyNumberFormat="1" applyFont="1"/>
    <xf numFmtId="14" fontId="29" fillId="8" borderId="0" xfId="0" applyNumberFormat="1" applyFont="1" applyFill="1" applyAlignment="1">
      <alignment horizontal="center"/>
    </xf>
    <xf numFmtId="9" fontId="10" fillId="0" borderId="0" xfId="0" applyNumberFormat="1" applyFont="1" applyFill="1" applyBorder="1" applyAlignment="1">
      <alignment horizontal="center"/>
    </xf>
    <xf numFmtId="38" fontId="50" fillId="0" borderId="0" xfId="0" applyNumberFormat="1" applyFont="1" applyBorder="1"/>
    <xf numFmtId="2" fontId="3" fillId="0" borderId="0" xfId="0" applyNumberFormat="1" applyFont="1" applyBorder="1"/>
    <xf numFmtId="166" fontId="27" fillId="0" borderId="0" xfId="4" applyNumberFormat="1" applyFont="1" applyFill="1" applyBorder="1"/>
    <xf numFmtId="1" fontId="0" fillId="0" borderId="0" xfId="0" applyNumberFormat="1"/>
    <xf numFmtId="38" fontId="0" fillId="0" borderId="0" xfId="0" applyNumberFormat="1" applyBorder="1"/>
    <xf numFmtId="10" fontId="0" fillId="0" borderId="0" xfId="24" applyNumberFormat="1" applyFont="1" applyBorder="1"/>
    <xf numFmtId="1" fontId="0" fillId="0" borderId="0" xfId="0" applyNumberFormat="1" applyFill="1"/>
    <xf numFmtId="166" fontId="27" fillId="0" borderId="0" xfId="0" applyNumberFormat="1" applyFont="1" applyBorder="1"/>
    <xf numFmtId="1" fontId="0" fillId="0" borderId="4" xfId="0" applyNumberFormat="1" applyFill="1" applyBorder="1"/>
    <xf numFmtId="1" fontId="0" fillId="0" borderId="4" xfId="0" applyNumberFormat="1" applyBorder="1"/>
    <xf numFmtId="0" fontId="0" fillId="0" borderId="4" xfId="0" applyBorder="1"/>
    <xf numFmtId="0" fontId="2" fillId="0" borderId="0" xfId="0" applyFont="1" applyFill="1" applyAlignment="1">
      <alignment horizontal="left"/>
    </xf>
    <xf numFmtId="0" fontId="54" fillId="0" borderId="0" xfId="0" applyFont="1"/>
    <xf numFmtId="43" fontId="0" fillId="0" borderId="0" xfId="4" applyFont="1"/>
    <xf numFmtId="2" fontId="49" fillId="8" borderId="0" xfId="0" applyNumberFormat="1" applyFont="1" applyFill="1" applyBorder="1"/>
    <xf numFmtId="10" fontId="10" fillId="0" borderId="0" xfId="0" applyNumberFormat="1" applyFont="1" applyBorder="1" applyAlignment="1">
      <alignment horizontal="center"/>
    </xf>
    <xf numFmtId="38" fontId="12" fillId="0" borderId="0" xfId="0" applyNumberFormat="1" applyFont="1"/>
    <xf numFmtId="38" fontId="28" fillId="0" borderId="0" xfId="0" applyNumberFormat="1" applyFont="1"/>
    <xf numFmtId="3" fontId="0" fillId="0" borderId="0" xfId="0" applyNumberFormat="1" applyFill="1" applyBorder="1"/>
    <xf numFmtId="0" fontId="55" fillId="0" borderId="15" xfId="0" applyFont="1" applyBorder="1"/>
    <xf numFmtId="0" fontId="55" fillId="0" borderId="13" xfId="0" applyFont="1" applyBorder="1"/>
    <xf numFmtId="0" fontId="55" fillId="0" borderId="10" xfId="0" applyFont="1" applyBorder="1"/>
    <xf numFmtId="165" fontId="55" fillId="0" borderId="29" xfId="5" applyNumberFormat="1" applyFont="1" applyBorder="1"/>
    <xf numFmtId="165" fontId="55" fillId="0" borderId="30" xfId="5" applyNumberFormat="1" applyFont="1" applyBorder="1"/>
    <xf numFmtId="10" fontId="3" fillId="0" borderId="0" xfId="0" applyNumberFormat="1" applyFont="1" applyFill="1" applyAlignment="1">
      <alignment horizontal="right"/>
    </xf>
    <xf numFmtId="10" fontId="3" fillId="0" borderId="0" xfId="24" applyNumberFormat="1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6" fillId="0" borderId="0" xfId="0" applyFont="1" applyBorder="1"/>
    <xf numFmtId="9" fontId="22" fillId="0" borderId="0" xfId="24" applyFont="1" applyFill="1" applyBorder="1" applyAlignment="1">
      <alignment horizontal="left"/>
    </xf>
    <xf numFmtId="37" fontId="11" fillId="0" borderId="0" xfId="0" applyNumberFormat="1" applyFont="1"/>
    <xf numFmtId="0" fontId="3" fillId="0" borderId="10" xfId="0" applyFont="1" applyBorder="1"/>
    <xf numFmtId="0" fontId="108" fillId="0" borderId="12" xfId="0" applyFont="1" applyFill="1" applyBorder="1"/>
    <xf numFmtId="166" fontId="2" fillId="0" borderId="15" xfId="4" applyNumberFormat="1" applyFont="1" applyBorder="1"/>
    <xf numFmtId="0" fontId="3" fillId="0" borderId="15" xfId="0" applyFont="1" applyBorder="1"/>
    <xf numFmtId="166" fontId="11" fillId="0" borderId="0" xfId="4" applyNumberFormat="1" applyFont="1" applyBorder="1"/>
    <xf numFmtId="37" fontId="3" fillId="0" borderId="0" xfId="0" applyNumberFormat="1" applyFont="1" applyBorder="1"/>
    <xf numFmtId="41" fontId="17" fillId="0" borderId="0" xfId="0" applyNumberFormat="1" applyFont="1" applyBorder="1"/>
    <xf numFmtId="166" fontId="11" fillId="0" borderId="15" xfId="4" applyNumberFormat="1" applyFont="1" applyBorder="1"/>
    <xf numFmtId="38" fontId="17" fillId="0" borderId="0" xfId="0" applyNumberFormat="1" applyFont="1" applyBorder="1"/>
    <xf numFmtId="166" fontId="109" fillId="0" borderId="13" xfId="4" applyNumberFormat="1" applyFont="1" applyBorder="1"/>
    <xf numFmtId="166" fontId="2" fillId="0" borderId="10" xfId="4" applyNumberFormat="1" applyFont="1" applyBorder="1"/>
    <xf numFmtId="41" fontId="3" fillId="0" borderId="0" xfId="0" applyNumberFormat="1" applyFont="1" applyBorder="1"/>
    <xf numFmtId="166" fontId="109" fillId="0" borderId="15" xfId="4" applyNumberFormat="1" applyFont="1" applyBorder="1"/>
    <xf numFmtId="0" fontId="11" fillId="0" borderId="0" xfId="0" applyFont="1" applyBorder="1"/>
    <xf numFmtId="165" fontId="3" fillId="0" borderId="0" xfId="0" applyNumberFormat="1" applyFont="1" applyBorder="1"/>
    <xf numFmtId="166" fontId="109" fillId="0" borderId="16" xfId="4" applyNumberFormat="1" applyFont="1" applyBorder="1"/>
    <xf numFmtId="0" fontId="3" fillId="0" borderId="17" xfId="0" applyFont="1" applyBorder="1"/>
    <xf numFmtId="38" fontId="3" fillId="0" borderId="17" xfId="0" applyNumberFormat="1" applyFont="1" applyBorder="1"/>
    <xf numFmtId="9" fontId="22" fillId="0" borderId="10" xfId="24" applyFont="1" applyFill="1" applyBorder="1" applyAlignment="1">
      <alignment horizontal="left"/>
    </xf>
    <xf numFmtId="9" fontId="22" fillId="0" borderId="12" xfId="24" applyFont="1" applyFill="1" applyBorder="1" applyAlignment="1">
      <alignment horizontal="left"/>
    </xf>
    <xf numFmtId="0" fontId="3" fillId="0" borderId="12" xfId="0" applyFont="1" applyFill="1" applyBorder="1"/>
    <xf numFmtId="0" fontId="110" fillId="0" borderId="11" xfId="22" applyFont="1" applyFill="1" applyBorder="1"/>
    <xf numFmtId="0" fontId="110" fillId="0" borderId="0" xfId="22" applyFont="1" applyFill="1"/>
    <xf numFmtId="0" fontId="110" fillId="0" borderId="0" xfId="22" applyFont="1"/>
    <xf numFmtId="0" fontId="110" fillId="0" borderId="0" xfId="22" applyFont="1" applyAlignment="1">
      <alignment horizontal="center"/>
    </xf>
    <xf numFmtId="0" fontId="111" fillId="0" borderId="0" xfId="22" applyFont="1"/>
    <xf numFmtId="0" fontId="112" fillId="0" borderId="0" xfId="22" applyFont="1"/>
    <xf numFmtId="0" fontId="113" fillId="0" borderId="0" xfId="22" applyFont="1"/>
    <xf numFmtId="0" fontId="2" fillId="0" borderId="13" xfId="0" applyFont="1" applyFill="1" applyBorder="1"/>
    <xf numFmtId="0" fontId="2" fillId="0" borderId="4" xfId="0" applyFont="1" applyFill="1" applyBorder="1"/>
    <xf numFmtId="0" fontId="110" fillId="0" borderId="4" xfId="22" applyFont="1" applyFill="1" applyBorder="1"/>
    <xf numFmtId="0" fontId="110" fillId="0" borderId="14" xfId="22" applyFont="1" applyFill="1" applyBorder="1"/>
    <xf numFmtId="173" fontId="3" fillId="0" borderId="0" xfId="24" applyNumberFormat="1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14" fontId="16" fillId="8" borderId="0" xfId="0" applyNumberFormat="1" applyFont="1" applyFill="1"/>
    <xf numFmtId="0" fontId="17" fillId="0" borderId="0" xfId="0" applyFont="1" applyAlignment="1">
      <alignment horizontal="right"/>
    </xf>
    <xf numFmtId="14" fontId="16" fillId="8" borderId="0" xfId="0" applyNumberFormat="1" applyFont="1" applyFill="1" applyAlignment="1">
      <alignment horizontal="left"/>
    </xf>
    <xf numFmtId="9" fontId="16" fillId="0" borderId="0" xfId="24" applyFont="1" applyFill="1" applyAlignment="1">
      <alignment horizontal="left"/>
    </xf>
    <xf numFmtId="166" fontId="3" fillId="0" borderId="0" xfId="4" applyNumberFormat="1" applyFont="1" applyAlignment="1">
      <alignment horizontal="left"/>
    </xf>
    <xf numFmtId="41" fontId="3" fillId="0" borderId="0" xfId="0" applyNumberFormat="1" applyFont="1" applyAlignment="1">
      <alignment horizontal="right"/>
    </xf>
    <xf numFmtId="164" fontId="111" fillId="0" borderId="0" xfId="22" applyNumberFormat="1" applyFont="1" applyBorder="1"/>
    <xf numFmtId="0" fontId="114" fillId="0" borderId="0" xfId="22" applyFont="1" applyBorder="1"/>
    <xf numFmtId="9" fontId="114" fillId="0" borderId="0" xfId="22" applyNumberFormat="1" applyFont="1" applyBorder="1"/>
    <xf numFmtId="166" fontId="114" fillId="0" borderId="0" xfId="22" applyNumberFormat="1" applyFont="1" applyBorder="1"/>
    <xf numFmtId="164" fontId="115" fillId="0" borderId="0" xfId="22" applyNumberFormat="1" applyFont="1" applyBorder="1"/>
    <xf numFmtId="164" fontId="112" fillId="0" borderId="0" xfId="22" applyNumberFormat="1" applyFont="1" applyBorder="1"/>
    <xf numFmtId="164" fontId="116" fillId="0" borderId="0" xfId="22" applyNumberFormat="1" applyFont="1" applyBorder="1"/>
    <xf numFmtId="0" fontId="111" fillId="0" borderId="0" xfId="22" applyFont="1" applyBorder="1"/>
    <xf numFmtId="5" fontId="114" fillId="0" borderId="0" xfId="22" applyNumberFormat="1" applyFont="1" applyBorder="1"/>
    <xf numFmtId="0" fontId="112" fillId="0" borderId="0" xfId="22" applyFont="1" applyBorder="1"/>
    <xf numFmtId="5" fontId="111" fillId="0" borderId="0" xfId="22" applyNumberFormat="1" applyFont="1" applyBorder="1"/>
    <xf numFmtId="5" fontId="112" fillId="0" borderId="0" xfId="22" applyNumberFormat="1" applyFont="1" applyBorder="1"/>
    <xf numFmtId="5" fontId="111" fillId="0" borderId="0" xfId="22" applyNumberFormat="1" applyFont="1"/>
    <xf numFmtId="0" fontId="114" fillId="0" borderId="0" xfId="22" applyFont="1"/>
    <xf numFmtId="0" fontId="117" fillId="0" borderId="0" xfId="0" applyFont="1"/>
    <xf numFmtId="0" fontId="109" fillId="0" borderId="0" xfId="0" applyFont="1"/>
    <xf numFmtId="0" fontId="11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321" fontId="119" fillId="0" borderId="4" xfId="0" applyNumberFormat="1" applyFont="1" applyBorder="1" applyAlignment="1">
      <alignment horizontal="center"/>
    </xf>
    <xf numFmtId="2" fontId="11" fillId="0" borderId="0" xfId="0" applyNumberFormat="1" applyFont="1"/>
    <xf numFmtId="0" fontId="119" fillId="0" borderId="0" xfId="0" applyFont="1"/>
    <xf numFmtId="0" fontId="120" fillId="0" borderId="0" xfId="0" applyFont="1" applyAlignment="1">
      <alignment horizontal="center"/>
    </xf>
    <xf numFmtId="10" fontId="121" fillId="0" borderId="0" xfId="24" applyNumberFormat="1" applyFont="1" applyAlignment="1">
      <alignment horizontal="center"/>
    </xf>
    <xf numFmtId="0" fontId="119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122" fillId="0" borderId="0" xfId="0" applyFont="1" applyBorder="1" applyAlignment="1">
      <alignment horizontal="center"/>
    </xf>
    <xf numFmtId="5" fontId="11" fillId="0" borderId="31" xfId="0" applyNumberFormat="1" applyFont="1" applyBorder="1" applyAlignment="1">
      <alignment horizontal="center"/>
    </xf>
    <xf numFmtId="5" fontId="11" fillId="0" borderId="32" xfId="0" applyNumberFormat="1" applyFont="1" applyBorder="1" applyAlignment="1">
      <alignment horizontal="center"/>
    </xf>
    <xf numFmtId="0" fontId="122" fillId="0" borderId="0" xfId="0" applyFont="1" applyBorder="1"/>
    <xf numFmtId="5" fontId="11" fillId="0" borderId="33" xfId="0" applyNumberFormat="1" applyFont="1" applyBorder="1" applyAlignment="1">
      <alignment horizontal="center"/>
    </xf>
    <xf numFmtId="37" fontId="11" fillId="0" borderId="4" xfId="0" applyNumberFormat="1" applyFont="1" applyBorder="1"/>
    <xf numFmtId="5" fontId="11" fillId="0" borderId="34" xfId="0" applyNumberFormat="1" applyFont="1" applyBorder="1" applyAlignment="1">
      <alignment horizontal="center"/>
    </xf>
    <xf numFmtId="5" fontId="11" fillId="0" borderId="0" xfId="0" applyNumberFormat="1" applyFont="1" applyBorder="1" applyAlignment="1">
      <alignment horizontal="center"/>
    </xf>
    <xf numFmtId="5" fontId="11" fillId="0" borderId="0" xfId="0" applyNumberFormat="1" applyFont="1"/>
    <xf numFmtId="37" fontId="11" fillId="0" borderId="0" xfId="4" applyNumberFormat="1" applyFont="1"/>
    <xf numFmtId="3" fontId="109" fillId="0" borderId="0" xfId="4" applyNumberFormat="1" applyFont="1" applyBorder="1" applyAlignment="1">
      <alignment horizontal="center"/>
    </xf>
    <xf numFmtId="206" fontId="109" fillId="0" borderId="0" xfId="0" applyNumberFormat="1" applyFont="1" applyAlignment="1">
      <alignment horizontal="center"/>
    </xf>
    <xf numFmtId="37" fontId="109" fillId="0" borderId="0" xfId="4" applyNumberFormat="1" applyFont="1" applyAlignment="1">
      <alignment horizontal="center"/>
    </xf>
    <xf numFmtId="0" fontId="11" fillId="0" borderId="10" xfId="0" applyFont="1" applyBorder="1"/>
    <xf numFmtId="3" fontId="11" fillId="0" borderId="12" xfId="4" applyNumberFormat="1" applyFont="1" applyBorder="1" applyAlignment="1">
      <alignment horizontal="right"/>
    </xf>
    <xf numFmtId="164" fontId="11" fillId="0" borderId="12" xfId="24" applyNumberFormat="1" applyFont="1" applyBorder="1"/>
    <xf numFmtId="164" fontId="11" fillId="0" borderId="11" xfId="24" applyNumberFormat="1" applyFont="1" applyBorder="1"/>
    <xf numFmtId="220" fontId="11" fillId="0" borderId="0" xfId="0" applyNumberFormat="1" applyFont="1"/>
    <xf numFmtId="217" fontId="11" fillId="0" borderId="0" xfId="0" applyNumberFormat="1" applyFont="1"/>
    <xf numFmtId="0" fontId="11" fillId="0" borderId="15" xfId="0" applyFont="1" applyBorder="1"/>
    <xf numFmtId="37" fontId="11" fillId="0" borderId="0" xfId="0" applyNumberFormat="1" applyFont="1" applyBorder="1"/>
    <xf numFmtId="3" fontId="11" fillId="0" borderId="0" xfId="4" applyNumberFormat="1" applyFont="1" applyBorder="1" applyAlignment="1">
      <alignment horizontal="right"/>
    </xf>
    <xf numFmtId="164" fontId="11" fillId="0" borderId="0" xfId="24" applyNumberFormat="1" applyFont="1" applyBorder="1"/>
    <xf numFmtId="164" fontId="11" fillId="0" borderId="28" xfId="24" applyNumberFormat="1" applyFont="1" applyBorder="1"/>
    <xf numFmtId="219" fontId="11" fillId="0" borderId="0" xfId="0" applyNumberFormat="1" applyFont="1"/>
    <xf numFmtId="0" fontId="11" fillId="0" borderId="13" xfId="0" applyFont="1" applyBorder="1"/>
    <xf numFmtId="3" fontId="11" fillId="0" borderId="4" xfId="4" applyNumberFormat="1" applyFont="1" applyBorder="1" applyAlignment="1">
      <alignment horizontal="right"/>
    </xf>
    <xf numFmtId="37" fontId="11" fillId="0" borderId="4" xfId="5" applyNumberFormat="1" applyFont="1" applyBorder="1"/>
    <xf numFmtId="164" fontId="115" fillId="0" borderId="4" xfId="24" applyNumberFormat="1" applyFont="1" applyBorder="1"/>
    <xf numFmtId="164" fontId="11" fillId="0" borderId="14" xfId="24" applyNumberFormat="1" applyFont="1" applyBorder="1"/>
    <xf numFmtId="37" fontId="109" fillId="0" borderId="0" xfId="4" applyNumberFormat="1" applyFont="1"/>
    <xf numFmtId="5" fontId="109" fillId="0" borderId="0" xfId="0" applyNumberFormat="1" applyFont="1"/>
    <xf numFmtId="9" fontId="109" fillId="0" borderId="0" xfId="24" applyFont="1"/>
    <xf numFmtId="9" fontId="109" fillId="0" borderId="0" xfId="24" applyNumberFormat="1" applyFont="1"/>
    <xf numFmtId="189" fontId="11" fillId="0" borderId="0" xfId="0" applyNumberFormat="1" applyFont="1"/>
    <xf numFmtId="251" fontId="11" fillId="0" borderId="0" xfId="0" applyNumberFormat="1" applyFont="1"/>
    <xf numFmtId="17" fontId="109" fillId="0" borderId="4" xfId="0" applyNumberFormat="1" applyFont="1" applyBorder="1" applyAlignment="1">
      <alignment horizontal="center"/>
    </xf>
    <xf numFmtId="0" fontId="13" fillId="0" borderId="0" xfId="0" applyFont="1"/>
    <xf numFmtId="0" fontId="123" fillId="0" borderId="0" xfId="0" applyFont="1"/>
    <xf numFmtId="37" fontId="115" fillId="0" borderId="0" xfId="0" applyNumberFormat="1" applyFont="1"/>
    <xf numFmtId="37" fontId="11" fillId="0" borderId="0" xfId="24" applyNumberFormat="1" applyFont="1"/>
    <xf numFmtId="10" fontId="11" fillId="0" borderId="0" xfId="24" applyNumberFormat="1" applyFont="1"/>
    <xf numFmtId="0" fontId="124" fillId="0" borderId="0" xfId="0" applyFont="1"/>
    <xf numFmtId="0" fontId="12" fillId="0" borderId="10" xfId="0" applyFont="1" applyBorder="1"/>
    <xf numFmtId="0" fontId="11" fillId="0" borderId="12" xfId="0" applyFont="1" applyBorder="1"/>
    <xf numFmtId="0" fontId="11" fillId="0" borderId="11" xfId="0" applyFont="1" applyBorder="1"/>
    <xf numFmtId="0" fontId="67" fillId="0" borderId="0" xfId="0" applyFont="1"/>
    <xf numFmtId="0" fontId="11" fillId="0" borderId="28" xfId="0" applyFont="1" applyBorder="1"/>
    <xf numFmtId="38" fontId="11" fillId="0" borderId="0" xfId="0" applyNumberFormat="1" applyFont="1" applyBorder="1"/>
    <xf numFmtId="166" fontId="11" fillId="0" borderId="0" xfId="0" applyNumberFormat="1" applyFont="1" applyBorder="1"/>
    <xf numFmtId="38" fontId="11" fillId="0" borderId="28" xfId="0" applyNumberFormat="1" applyFont="1" applyBorder="1"/>
    <xf numFmtId="38" fontId="11" fillId="0" borderId="4" xfId="0" applyNumberFormat="1" applyFont="1" applyBorder="1"/>
    <xf numFmtId="0" fontId="47" fillId="0" borderId="0" xfId="0" applyFont="1" applyBorder="1"/>
    <xf numFmtId="0" fontId="37" fillId="0" borderId="0" xfId="0" applyFont="1" applyBorder="1"/>
    <xf numFmtId="0" fontId="8" fillId="8" borderId="0" xfId="0" applyFont="1" applyFill="1" applyBorder="1"/>
    <xf numFmtId="0" fontId="47" fillId="0" borderId="0" xfId="0" applyFont="1" applyFill="1" applyBorder="1"/>
    <xf numFmtId="0" fontId="37" fillId="0" borderId="0" xfId="0" applyFont="1" applyFill="1" applyBorder="1"/>
    <xf numFmtId="38" fontId="50" fillId="0" borderId="0" xfId="0" applyNumberFormat="1" applyFont="1" applyFill="1" applyBorder="1"/>
    <xf numFmtId="0" fontId="0" fillId="0" borderId="0" xfId="0" applyBorder="1" applyAlignment="1">
      <alignment horizontal="center"/>
    </xf>
    <xf numFmtId="9" fontId="0" fillId="0" borderId="0" xfId="24" applyFont="1" applyBorder="1"/>
    <xf numFmtId="166" fontId="111" fillId="0" borderId="0" xfId="22" applyNumberFormat="1" applyFont="1"/>
    <xf numFmtId="0" fontId="10" fillId="0" borderId="0" xfId="0" applyFont="1" applyFill="1" applyBorder="1"/>
    <xf numFmtId="38" fontId="10" fillId="0" borderId="0" xfId="0" applyNumberFormat="1" applyFont="1" applyFill="1" applyBorder="1" applyAlignment="1">
      <alignment horizontal="center"/>
    </xf>
    <xf numFmtId="38" fontId="10" fillId="0" borderId="4" xfId="0" applyNumberFormat="1" applyFont="1" applyFill="1" applyBorder="1" applyAlignment="1">
      <alignment horizontal="center"/>
    </xf>
    <xf numFmtId="0" fontId="10" fillId="0" borderId="12" xfId="0" applyFont="1" applyFill="1" applyBorder="1"/>
    <xf numFmtId="38" fontId="23" fillId="0" borderId="12" xfId="0" applyNumberFormat="1" applyFont="1" applyFill="1" applyBorder="1" applyAlignment="1">
      <alignment horizontal="center"/>
    </xf>
    <xf numFmtId="0" fontId="10" fillId="0" borderId="11" xfId="0" applyFont="1" applyFill="1" applyBorder="1"/>
    <xf numFmtId="0" fontId="10" fillId="0" borderId="28" xfId="0" applyFont="1" applyFill="1" applyBorder="1"/>
    <xf numFmtId="0" fontId="2" fillId="0" borderId="28" xfId="0" applyFont="1" applyFill="1" applyBorder="1"/>
    <xf numFmtId="0" fontId="2" fillId="0" borderId="14" xfId="0" applyFont="1" applyFill="1" applyBorder="1"/>
    <xf numFmtId="164" fontId="55" fillId="0" borderId="35" xfId="24" applyNumberFormat="1" applyFont="1" applyBorder="1"/>
    <xf numFmtId="166" fontId="40" fillId="0" borderId="0" xfId="4" applyNumberFormat="1" applyFont="1" applyFill="1" applyBorder="1"/>
    <xf numFmtId="1" fontId="0" fillId="0" borderId="0" xfId="0" applyNumberFormat="1" applyFill="1" applyBorder="1"/>
    <xf numFmtId="1" fontId="0" fillId="0" borderId="0" xfId="0" applyNumberFormat="1" applyBorder="1"/>
    <xf numFmtId="0" fontId="23" fillId="0" borderId="22" xfId="0" applyFont="1" applyFill="1" applyBorder="1"/>
    <xf numFmtId="0" fontId="27" fillId="0" borderId="7" xfId="0" applyFont="1" applyFill="1" applyBorder="1"/>
    <xf numFmtId="0" fontId="23" fillId="0" borderId="7" xfId="0" applyFont="1" applyFill="1" applyBorder="1" applyAlignment="1">
      <alignment horizontal="centerContinuous"/>
    </xf>
    <xf numFmtId="0" fontId="23" fillId="0" borderId="20" xfId="0" applyFont="1" applyBorder="1" applyAlignment="1">
      <alignment horizontal="centerContinuous"/>
    </xf>
    <xf numFmtId="0" fontId="27" fillId="0" borderId="9" xfId="0" applyFont="1" applyFill="1" applyBorder="1"/>
    <xf numFmtId="38" fontId="27" fillId="0" borderId="8" xfId="0" applyNumberFormat="1" applyFont="1" applyBorder="1"/>
    <xf numFmtId="0" fontId="41" fillId="0" borderId="19" xfId="0" applyFont="1" applyFill="1" applyBorder="1" applyAlignment="1" applyProtection="1">
      <alignment horizontal="left"/>
    </xf>
    <xf numFmtId="0" fontId="27" fillId="0" borderId="6" xfId="0" applyFont="1" applyFill="1" applyBorder="1"/>
    <xf numFmtId="38" fontId="40" fillId="8" borderId="6" xfId="0" applyNumberFormat="1" applyFont="1" applyFill="1" applyBorder="1"/>
    <xf numFmtId="38" fontId="27" fillId="0" borderId="18" xfId="0" applyNumberFormat="1" applyFont="1" applyBorder="1"/>
    <xf numFmtId="0" fontId="23" fillId="0" borderId="22" xfId="0" applyFont="1" applyFill="1" applyBorder="1" applyAlignment="1" applyProtection="1">
      <alignment horizontal="left"/>
    </xf>
    <xf numFmtId="0" fontId="5" fillId="0" borderId="20" xfId="0" applyFont="1" applyFill="1" applyBorder="1"/>
    <xf numFmtId="0" fontId="38" fillId="0" borderId="9" xfId="0" applyFont="1" applyBorder="1" applyAlignment="1" applyProtection="1">
      <alignment horizontal="left"/>
    </xf>
    <xf numFmtId="0" fontId="27" fillId="0" borderId="9" xfId="0" applyFont="1" applyBorder="1" applyAlignment="1" applyProtection="1">
      <alignment horizontal="left"/>
    </xf>
    <xf numFmtId="10" fontId="27" fillId="0" borderId="9" xfId="0" applyNumberFormat="1" applyFont="1" applyBorder="1" applyAlignment="1">
      <alignment horizontal="left"/>
    </xf>
    <xf numFmtId="0" fontId="23" fillId="0" borderId="9" xfId="0" applyFont="1" applyBorder="1" applyAlignment="1">
      <alignment horizontal="left"/>
    </xf>
    <xf numFmtId="0" fontId="50" fillId="0" borderId="9" xfId="0" applyFont="1" applyBorder="1" applyAlignment="1" applyProtection="1">
      <alignment horizontal="left"/>
    </xf>
    <xf numFmtId="0" fontId="3" fillId="0" borderId="9" xfId="0" applyFont="1" applyBorder="1" applyAlignment="1">
      <alignment horizontal="left" indent="2"/>
    </xf>
    <xf numFmtId="0" fontId="38" fillId="0" borderId="9" xfId="0" applyFont="1" applyBorder="1"/>
    <xf numFmtId="0" fontId="24" fillId="0" borderId="22" xfId="0" applyFont="1" applyFill="1" applyBorder="1" applyAlignment="1" applyProtection="1">
      <alignment horizontal="left"/>
    </xf>
    <xf numFmtId="0" fontId="23" fillId="0" borderId="36" xfId="0" applyFont="1" applyFill="1" applyBorder="1"/>
    <xf numFmtId="0" fontId="10" fillId="0" borderId="9" xfId="0" applyFont="1" applyFill="1" applyBorder="1"/>
    <xf numFmtId="0" fontId="2" fillId="0" borderId="8" xfId="0" applyFont="1" applyFill="1" applyBorder="1"/>
    <xf numFmtId="0" fontId="23" fillId="0" borderId="9" xfId="0" applyFont="1" applyFill="1" applyBorder="1"/>
    <xf numFmtId="0" fontId="10" fillId="0" borderId="37" xfId="0" applyFont="1" applyFill="1" applyBorder="1"/>
    <xf numFmtId="38" fontId="27" fillId="0" borderId="8" xfId="0" applyNumberFormat="1" applyFont="1" applyBorder="1" applyAlignment="1">
      <alignment horizontal="center"/>
    </xf>
    <xf numFmtId="38" fontId="27" fillId="0" borderId="6" xfId="0" applyNumberFormat="1" applyFont="1" applyBorder="1" applyAlignment="1">
      <alignment horizontal="center"/>
    </xf>
    <xf numFmtId="38" fontId="27" fillId="0" borderId="18" xfId="0" applyNumberFormat="1" applyFont="1" applyBorder="1" applyAlignment="1">
      <alignment horizontal="center"/>
    </xf>
    <xf numFmtId="38" fontId="27" fillId="0" borderId="20" xfId="0" applyNumberFormat="1" applyFont="1" applyBorder="1"/>
    <xf numFmtId="0" fontId="27" fillId="0" borderId="6" xfId="0" applyFont="1" applyBorder="1"/>
    <xf numFmtId="10" fontId="40" fillId="8" borderId="6" xfId="0" applyNumberFormat="1" applyFont="1" applyFill="1" applyBorder="1"/>
    <xf numFmtId="0" fontId="23" fillId="0" borderId="7" xfId="0" applyFont="1" applyBorder="1" applyAlignment="1">
      <alignment horizontal="centerContinuous"/>
    </xf>
    <xf numFmtId="204" fontId="40" fillId="8" borderId="8" xfId="0" applyNumberFormat="1" applyFont="1" applyFill="1" applyBorder="1"/>
    <xf numFmtId="38" fontId="40" fillId="8" borderId="8" xfId="0" applyNumberFormat="1" applyFont="1" applyFill="1" applyBorder="1"/>
    <xf numFmtId="204" fontId="10" fillId="0" borderId="8" xfId="0" applyNumberFormat="1" applyFont="1" applyBorder="1"/>
    <xf numFmtId="38" fontId="40" fillId="8" borderId="18" xfId="0" applyNumberFormat="1" applyFont="1" applyFill="1" applyBorder="1"/>
    <xf numFmtId="0" fontId="3" fillId="0" borderId="20" xfId="0" applyFont="1" applyBorder="1"/>
    <xf numFmtId="0" fontId="10" fillId="0" borderId="9" xfId="0" applyFont="1" applyBorder="1"/>
    <xf numFmtId="38" fontId="43" fillId="0" borderId="8" xfId="0" applyNumberFormat="1" applyFont="1" applyBorder="1" applyAlignment="1">
      <alignment horizontal="center"/>
    </xf>
    <xf numFmtId="0" fontId="0" fillId="0" borderId="8" xfId="0" applyBorder="1"/>
    <xf numFmtId="2" fontId="49" fillId="8" borderId="8" xfId="0" applyNumberFormat="1" applyFont="1" applyFill="1" applyBorder="1"/>
    <xf numFmtId="0" fontId="53" fillId="0" borderId="9" xfId="0" applyFont="1" applyBorder="1" applyAlignment="1" applyProtection="1">
      <alignment horizontal="left" indent="2"/>
    </xf>
    <xf numFmtId="0" fontId="5" fillId="0" borderId="9" xfId="0" applyFont="1" applyBorder="1" applyAlignment="1">
      <alignment horizontal="left" indent="2"/>
    </xf>
    <xf numFmtId="0" fontId="0" fillId="0" borderId="18" xfId="0" applyBorder="1"/>
    <xf numFmtId="0" fontId="38" fillId="0" borderId="9" xfId="0" applyFont="1" applyFill="1" applyBorder="1"/>
    <xf numFmtId="9" fontId="27" fillId="0" borderId="8" xfId="24" applyFont="1" applyBorder="1" applyAlignment="1">
      <alignment horizontal="center"/>
    </xf>
    <xf numFmtId="9" fontId="23" fillId="0" borderId="8" xfId="24" applyFont="1" applyFill="1" applyBorder="1" applyAlignment="1">
      <alignment horizontal="center"/>
    </xf>
    <xf numFmtId="9" fontId="27" fillId="0" borderId="8" xfId="24" applyFont="1" applyFill="1" applyBorder="1" applyAlignment="1">
      <alignment horizontal="center"/>
    </xf>
    <xf numFmtId="9" fontId="40" fillId="8" borderId="8" xfId="24" applyFont="1" applyFill="1" applyBorder="1" applyAlignment="1">
      <alignment horizontal="center"/>
    </xf>
    <xf numFmtId="0" fontId="27" fillId="0" borderId="19" xfId="0" applyFont="1" applyFill="1" applyBorder="1"/>
    <xf numFmtId="38" fontId="40" fillId="8" borderId="6" xfId="0" applyNumberFormat="1" applyFont="1" applyFill="1" applyBorder="1" applyAlignment="1">
      <alignment horizontal="center"/>
    </xf>
    <xf numFmtId="43" fontId="10" fillId="0" borderId="6" xfId="4" applyFont="1" applyFill="1" applyBorder="1" applyAlignment="1">
      <alignment horizontal="center"/>
    </xf>
    <xf numFmtId="9" fontId="27" fillId="0" borderId="18" xfId="24" applyFont="1" applyBorder="1" applyAlignment="1">
      <alignment horizontal="center"/>
    </xf>
    <xf numFmtId="0" fontId="2" fillId="0" borderId="7" xfId="0" applyFont="1" applyBorder="1"/>
    <xf numFmtId="0" fontId="23" fillId="4" borderId="9" xfId="0" applyFont="1" applyFill="1" applyBorder="1" applyAlignment="1">
      <alignment horizontal="left"/>
    </xf>
    <xf numFmtId="0" fontId="36" fillId="4" borderId="8" xfId="0" applyFont="1" applyFill="1" applyBorder="1" applyAlignment="1">
      <alignment horizontal="center"/>
    </xf>
    <xf numFmtId="0" fontId="46" fillId="0" borderId="9" xfId="0" applyFont="1" applyFill="1" applyBorder="1" applyAlignment="1" applyProtection="1">
      <alignment horizontal="left"/>
    </xf>
    <xf numFmtId="166" fontId="3" fillId="0" borderId="8" xfId="4" applyNumberFormat="1" applyFont="1" applyFill="1" applyBorder="1"/>
    <xf numFmtId="0" fontId="27" fillId="0" borderId="9" xfId="0" applyFont="1" applyBorder="1" applyAlignment="1">
      <alignment horizontal="left"/>
    </xf>
    <xf numFmtId="37" fontId="27" fillId="0" borderId="8" xfId="0" applyNumberFormat="1" applyFont="1" applyFill="1" applyBorder="1" applyAlignment="1">
      <alignment horizontal="center"/>
    </xf>
    <xf numFmtId="2" fontId="41" fillId="0" borderId="8" xfId="0" applyNumberFormat="1" applyFont="1" applyBorder="1" applyAlignment="1">
      <alignment horizontal="center"/>
    </xf>
    <xf numFmtId="15" fontId="27" fillId="0" borderId="8" xfId="0" applyNumberFormat="1" applyFont="1" applyFill="1" applyBorder="1" applyAlignment="1">
      <alignment horizontal="center"/>
    </xf>
    <xf numFmtId="39" fontId="27" fillId="0" borderId="8" xfId="0" applyNumberFormat="1" applyFont="1" applyFill="1" applyBorder="1" applyAlignment="1">
      <alignment horizontal="center"/>
    </xf>
    <xf numFmtId="0" fontId="41" fillId="0" borderId="9" xfId="0" applyFont="1" applyBorder="1"/>
    <xf numFmtId="173" fontId="27" fillId="0" borderId="8" xfId="24" applyNumberFormat="1" applyFont="1" applyFill="1" applyBorder="1" applyAlignment="1">
      <alignment horizontal="center"/>
    </xf>
    <xf numFmtId="173" fontId="38" fillId="0" borderId="8" xfId="24" applyNumberFormat="1" applyFont="1" applyFill="1" applyBorder="1" applyAlignment="1">
      <alignment horizontal="center"/>
    </xf>
    <xf numFmtId="173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0" fontId="40" fillId="8" borderId="8" xfId="0" applyNumberFormat="1" applyFont="1" applyFill="1" applyBorder="1"/>
    <xf numFmtId="10" fontId="40" fillId="8" borderId="8" xfId="24" applyNumberFormat="1" applyFont="1" applyFill="1" applyBorder="1"/>
    <xf numFmtId="9" fontId="27" fillId="0" borderId="9" xfId="24" applyFont="1" applyBorder="1"/>
    <xf numFmtId="0" fontId="7" fillId="0" borderId="0" xfId="0" applyFont="1"/>
    <xf numFmtId="169" fontId="108" fillId="0" borderId="12" xfId="0" applyNumberFormat="1" applyFont="1" applyBorder="1" applyProtection="1"/>
    <xf numFmtId="37" fontId="11" fillId="0" borderId="0" xfId="0" applyNumberFormat="1" applyFont="1" applyFill="1" applyBorder="1"/>
    <xf numFmtId="172" fontId="11" fillId="0" borderId="0" xfId="0" applyNumberFormat="1" applyFont="1" applyBorder="1"/>
    <xf numFmtId="41" fontId="11" fillId="0" borderId="0" xfId="0" applyNumberFormat="1" applyFont="1" applyBorder="1"/>
    <xf numFmtId="9" fontId="11" fillId="0" borderId="0" xfId="24" applyFont="1" applyBorder="1"/>
    <xf numFmtId="0" fontId="6" fillId="13" borderId="25" xfId="20" applyNumberFormat="1" applyFont="1" applyFill="1" applyBorder="1" applyAlignment="1">
      <alignment horizontal="centerContinuous"/>
    </xf>
    <xf numFmtId="0" fontId="0" fillId="13" borderId="26" xfId="0" applyFill="1" applyBorder="1" applyAlignment="1">
      <alignment horizontal="centerContinuous"/>
    </xf>
    <xf numFmtId="0" fontId="67" fillId="4" borderId="20" xfId="20" applyNumberFormat="1" applyFont="1" applyFill="1" applyBorder="1" applyAlignment="1">
      <alignment horizontal="center" vertical="center" wrapText="1"/>
    </xf>
    <xf numFmtId="0" fontId="67" fillId="8" borderId="8" xfId="20" applyNumberFormat="1" applyFont="1" applyFill="1" applyBorder="1" applyAlignment="1">
      <alignment horizontal="center" vertical="center" wrapText="1"/>
    </xf>
    <xf numFmtId="37" fontId="67" fillId="8" borderId="9" xfId="20" applyNumberFormat="1" applyFont="1" applyFill="1" applyBorder="1" applyAlignment="1"/>
    <xf numFmtId="37" fontId="67" fillId="8" borderId="0" xfId="20" applyNumberFormat="1" applyFont="1" applyFill="1" applyBorder="1" applyAlignment="1"/>
    <xf numFmtId="37" fontId="67" fillId="8" borderId="6" xfId="20" applyNumberFormat="1" applyFont="1" applyFill="1" applyBorder="1" applyAlignment="1"/>
    <xf numFmtId="37" fontId="67" fillId="8" borderId="22" xfId="20" applyNumberFormat="1" applyFont="1" applyFill="1" applyBorder="1" applyAlignment="1"/>
    <xf numFmtId="37" fontId="67" fillId="8" borderId="7" xfId="20" applyNumberFormat="1" applyFont="1" applyFill="1" applyBorder="1" applyAlignment="1"/>
    <xf numFmtId="37" fontId="67" fillId="8" borderId="20" xfId="20" applyNumberFormat="1" applyFont="1" applyFill="1" applyBorder="1" applyAlignment="1"/>
    <xf numFmtId="37" fontId="67" fillId="8" borderId="8" xfId="20" applyNumberFormat="1" applyFont="1" applyFill="1" applyBorder="1" applyAlignment="1"/>
    <xf numFmtId="37" fontId="67" fillId="8" borderId="19" xfId="20" applyNumberFormat="1" applyFont="1" applyFill="1" applyBorder="1" applyAlignment="1"/>
    <xf numFmtId="0" fontId="0" fillId="8" borderId="0" xfId="0" applyFill="1" applyBorder="1"/>
    <xf numFmtId="0" fontId="3" fillId="8" borderId="0" xfId="0" applyFont="1" applyFill="1" applyBorder="1"/>
    <xf numFmtId="0" fontId="3" fillId="8" borderId="8" xfId="0" applyFont="1" applyFill="1" applyBorder="1"/>
    <xf numFmtId="0" fontId="3" fillId="8" borderId="6" xfId="0" applyFont="1" applyFill="1" applyBorder="1"/>
    <xf numFmtId="0" fontId="3" fillId="8" borderId="18" xfId="0" applyFont="1" applyFill="1" applyBorder="1"/>
    <xf numFmtId="0" fontId="0" fillId="13" borderId="27" xfId="0" applyFill="1" applyBorder="1" applyAlignment="1">
      <alignment horizontal="centerContinuous"/>
    </xf>
    <xf numFmtId="0" fontId="10" fillId="0" borderId="25" xfId="4" applyNumberFormat="1" applyFont="1" applyBorder="1" applyAlignment="1">
      <alignment horizontal="center"/>
    </xf>
    <xf numFmtId="0" fontId="10" fillId="0" borderId="26" xfId="4" applyNumberFormat="1" applyFont="1" applyBorder="1" applyAlignment="1">
      <alignment horizontal="center"/>
    </xf>
    <xf numFmtId="0" fontId="10" fillId="0" borderId="27" xfId="4" applyNumberFormat="1" applyFont="1" applyBorder="1" applyAlignment="1">
      <alignment horizontal="center"/>
    </xf>
    <xf numFmtId="0" fontId="67" fillId="8" borderId="20" xfId="20" applyNumberFormat="1" applyFont="1" applyFill="1" applyBorder="1" applyAlignment="1">
      <alignment horizontal="center" vertical="center" wrapText="1"/>
    </xf>
    <xf numFmtId="0" fontId="67" fillId="8" borderId="18" xfId="20" applyNumberFormat="1" applyFont="1" applyFill="1" applyBorder="1" applyAlignment="1">
      <alignment horizontal="center" vertical="center" wrapText="1"/>
    </xf>
    <xf numFmtId="41" fontId="7" fillId="0" borderId="0" xfId="0" applyNumberFormat="1" applyFont="1"/>
    <xf numFmtId="0" fontId="108" fillId="0" borderId="15" xfId="0" applyFont="1" applyBorder="1"/>
    <xf numFmtId="166" fontId="27" fillId="0" borderId="6" xfId="4" applyNumberFormat="1" applyFont="1" applyFill="1" applyBorder="1"/>
    <xf numFmtId="38" fontId="0" fillId="0" borderId="4" xfId="0" applyNumberFormat="1" applyBorder="1"/>
    <xf numFmtId="0" fontId="0" fillId="4" borderId="0" xfId="0" applyFill="1"/>
    <xf numFmtId="38" fontId="27" fillId="0" borderId="0" xfId="4" applyNumberFormat="1" applyFont="1" applyFill="1" applyBorder="1" applyAlignment="1">
      <alignment horizontal="center"/>
    </xf>
    <xf numFmtId="0" fontId="67" fillId="4" borderId="38" xfId="0" applyFont="1" applyFill="1" applyBorder="1"/>
    <xf numFmtId="0" fontId="67" fillId="4" borderId="0" xfId="0" applyFont="1" applyFill="1"/>
    <xf numFmtId="37" fontId="67" fillId="4" borderId="0" xfId="0" applyNumberFormat="1" applyFont="1" applyFill="1"/>
    <xf numFmtId="37" fontId="67" fillId="0" borderId="0" xfId="0" applyNumberFormat="1" applyFont="1"/>
    <xf numFmtId="0" fontId="67" fillId="0" borderId="0" xfId="0" applyFont="1" applyAlignment="1">
      <alignment horizontal="left" indent="1"/>
    </xf>
    <xf numFmtId="9" fontId="10" fillId="0" borderId="6" xfId="0" applyNumberFormat="1" applyFont="1" applyFill="1" applyBorder="1" applyAlignment="1">
      <alignment horizontal="center"/>
    </xf>
    <xf numFmtId="38" fontId="27" fillId="0" borderId="6" xfId="4" applyNumberFormat="1" applyFont="1" applyFill="1" applyBorder="1" applyAlignment="1" applyProtection="1">
      <alignment horizontal="center"/>
    </xf>
    <xf numFmtId="166" fontId="0" fillId="0" borderId="0" xfId="0" applyNumberFormat="1"/>
    <xf numFmtId="166" fontId="0" fillId="0" borderId="15" xfId="0" applyNumberFormat="1" applyBorder="1"/>
    <xf numFmtId="166" fontId="0" fillId="0" borderId="0" xfId="0" applyNumberFormat="1" applyBorder="1"/>
    <xf numFmtId="38" fontId="2" fillId="0" borderId="4" xfId="0" applyNumberFormat="1" applyFont="1" applyBorder="1"/>
    <xf numFmtId="166" fontId="3" fillId="0" borderId="0" xfId="0" applyNumberFormat="1" applyFont="1" applyBorder="1"/>
    <xf numFmtId="0" fontId="6" fillId="0" borderId="0" xfId="0" applyFont="1"/>
    <xf numFmtId="166" fontId="6" fillId="0" borderId="0" xfId="4" applyNumberFormat="1" applyFont="1"/>
    <xf numFmtId="164" fontId="0" fillId="0" borderId="0" xfId="24" applyNumberFormat="1" applyFont="1"/>
    <xf numFmtId="311" fontId="127" fillId="0" borderId="0" xfId="4" applyNumberFormat="1" applyFont="1"/>
    <xf numFmtId="43" fontId="0" fillId="0" borderId="0" xfId="4" applyNumberFormat="1" applyFont="1"/>
    <xf numFmtId="201" fontId="0" fillId="0" borderId="0" xfId="5" applyNumberFormat="1" applyFont="1"/>
    <xf numFmtId="0" fontId="49" fillId="8" borderId="0" xfId="0" applyFont="1" applyFill="1" applyBorder="1"/>
    <xf numFmtId="14" fontId="25" fillId="0" borderId="0" xfId="0" applyNumberFormat="1" applyFont="1" applyAlignment="1">
      <alignment horizontal="center"/>
    </xf>
    <xf numFmtId="38" fontId="3" fillId="0" borderId="5" xfId="0" applyNumberFormat="1" applyFont="1" applyBorder="1"/>
    <xf numFmtId="10" fontId="3" fillId="0" borderId="0" xfId="24" applyNumberFormat="1" applyFont="1" applyFill="1"/>
    <xf numFmtId="165" fontId="11" fillId="0" borderId="0" xfId="5" applyNumberFormat="1" applyFont="1" applyBorder="1" applyProtection="1"/>
    <xf numFmtId="165" fontId="11" fillId="0" borderId="28" xfId="5" applyNumberFormat="1" applyFont="1" applyBorder="1" applyProtection="1"/>
    <xf numFmtId="1" fontId="67" fillId="0" borderId="0" xfId="0" applyNumberFormat="1" applyFont="1" applyBorder="1"/>
    <xf numFmtId="166" fontId="67" fillId="0" borderId="0" xfId="4" applyNumberFormat="1" applyFont="1" applyBorder="1"/>
    <xf numFmtId="10" fontId="14" fillId="0" borderId="0" xfId="24" applyNumberFormat="1" applyFont="1" applyBorder="1"/>
    <xf numFmtId="0" fontId="47" fillId="0" borderId="0" xfId="0" applyFont="1"/>
    <xf numFmtId="0" fontId="11" fillId="0" borderId="39" xfId="0" applyFont="1" applyBorder="1"/>
    <xf numFmtId="0" fontId="11" fillId="0" borderId="40" xfId="0" applyFont="1" applyBorder="1"/>
    <xf numFmtId="172" fontId="11" fillId="0" borderId="40" xfId="0" applyNumberFormat="1" applyFont="1" applyBorder="1"/>
    <xf numFmtId="166" fontId="11" fillId="0" borderId="40" xfId="0" applyNumberFormat="1" applyFont="1" applyBorder="1"/>
    <xf numFmtId="0" fontId="11" fillId="0" borderId="16" xfId="0" applyFont="1" applyBorder="1"/>
    <xf numFmtId="0" fontId="11" fillId="0" borderId="17" xfId="0" applyFont="1" applyBorder="1"/>
    <xf numFmtId="172" fontId="11" fillId="0" borderId="17" xfId="0" applyNumberFormat="1" applyFont="1" applyBorder="1"/>
    <xf numFmtId="41" fontId="11" fillId="0" borderId="17" xfId="0" applyNumberFormat="1" applyFont="1" applyBorder="1"/>
    <xf numFmtId="6" fontId="43" fillId="0" borderId="8" xfId="0" quotePrefix="1" applyNumberFormat="1" applyFont="1" applyBorder="1" applyAlignment="1">
      <alignment horizontal="center" wrapText="1"/>
    </xf>
    <xf numFmtId="6" fontId="43" fillId="0" borderId="0" xfId="0" quotePrefix="1" applyNumberFormat="1" applyFont="1" applyBorder="1" applyAlignment="1">
      <alignment horizontal="center"/>
    </xf>
    <xf numFmtId="38" fontId="50" fillId="0" borderId="0" xfId="4" applyNumberFormat="1" applyFont="1" applyFill="1" applyBorder="1" applyAlignment="1">
      <alignment horizontal="center"/>
    </xf>
    <xf numFmtId="38" fontId="43" fillId="0" borderId="0" xfId="4" applyNumberFormat="1" applyFont="1" applyFill="1" applyBorder="1" applyAlignment="1">
      <alignment horizontal="center"/>
    </xf>
    <xf numFmtId="0" fontId="29" fillId="0" borderId="0" xfId="0" applyFont="1" applyFill="1" applyBorder="1"/>
    <xf numFmtId="38" fontId="48" fillId="8" borderId="0" xfId="4" applyNumberFormat="1" applyFont="1" applyFill="1" applyBorder="1" applyAlignment="1">
      <alignment horizontal="center"/>
    </xf>
    <xf numFmtId="0" fontId="5" fillId="0" borderId="7" xfId="0" applyFont="1" applyFill="1" applyBorder="1"/>
    <xf numFmtId="38" fontId="40" fillId="8" borderId="8" xfId="4" applyNumberFormat="1" applyFont="1" applyFill="1" applyBorder="1" applyAlignment="1">
      <alignment horizontal="center"/>
    </xf>
    <xf numFmtId="38" fontId="40" fillId="0" borderId="8" xfId="4" applyNumberFormat="1" applyFont="1" applyFill="1" applyBorder="1" applyAlignment="1">
      <alignment horizontal="center"/>
    </xf>
    <xf numFmtId="0" fontId="42" fillId="0" borderId="9" xfId="0" applyFont="1" applyBorder="1" applyAlignment="1" applyProtection="1">
      <alignment horizontal="centerContinuous"/>
    </xf>
    <xf numFmtId="0" fontId="42" fillId="0" borderId="0" xfId="0" applyFont="1" applyBorder="1" applyAlignment="1">
      <alignment horizontal="centerContinuous"/>
    </xf>
    <xf numFmtId="0" fontId="42" fillId="0" borderId="0" xfId="0" quotePrefix="1" applyFont="1" applyBorder="1" applyAlignment="1">
      <alignment horizontal="centerContinuous"/>
    </xf>
    <xf numFmtId="38" fontId="131" fillId="0" borderId="0" xfId="4" applyNumberFormat="1" applyFont="1" applyFill="1" applyBorder="1" applyAlignment="1">
      <alignment horizontal="centerContinuous"/>
    </xf>
    <xf numFmtId="0" fontId="8" fillId="0" borderId="8" xfId="0" applyFont="1" applyBorder="1" applyAlignment="1">
      <alignment horizontal="centerContinuous"/>
    </xf>
    <xf numFmtId="0" fontId="128" fillId="0" borderId="9" xfId="0" applyFont="1" applyBorder="1" applyAlignment="1" applyProtection="1">
      <alignment horizontal="left"/>
    </xf>
    <xf numFmtId="0" fontId="42" fillId="0" borderId="19" xfId="0" applyFont="1" applyBorder="1" applyAlignment="1" applyProtection="1">
      <alignment horizontal="left"/>
    </xf>
    <xf numFmtId="164" fontId="42" fillId="0" borderId="6" xfId="24" applyNumberFormat="1" applyFont="1" applyBorder="1" applyAlignment="1">
      <alignment horizontal="center"/>
    </xf>
    <xf numFmtId="38" fontId="42" fillId="0" borderId="6" xfId="4" applyNumberFormat="1" applyFont="1" applyFill="1" applyBorder="1" applyAlignment="1">
      <alignment horizontal="center"/>
    </xf>
    <xf numFmtId="38" fontId="132" fillId="0" borderId="6" xfId="4" applyNumberFormat="1" applyFont="1" applyFill="1" applyBorder="1" applyAlignment="1">
      <alignment horizontal="center"/>
    </xf>
    <xf numFmtId="0" fontId="133" fillId="0" borderId="18" xfId="0" applyFont="1" applyBorder="1"/>
    <xf numFmtId="0" fontId="42" fillId="0" borderId="41" xfId="0" applyFont="1" applyBorder="1"/>
    <xf numFmtId="164" fontId="129" fillId="0" borderId="42" xfId="24" applyNumberFormat="1" applyFont="1" applyBorder="1" applyAlignment="1">
      <alignment horizontal="center"/>
    </xf>
    <xf numFmtId="38" fontId="42" fillId="0" borderId="42" xfId="0" applyNumberFormat="1" applyFont="1" applyBorder="1" applyAlignment="1">
      <alignment horizontal="center"/>
    </xf>
    <xf numFmtId="38" fontId="130" fillId="0" borderId="43" xfId="4" applyNumberFormat="1" applyFont="1" applyFill="1" applyBorder="1" applyAlignment="1">
      <alignment horizontal="center"/>
    </xf>
    <xf numFmtId="321" fontId="2" fillId="0" borderId="6" xfId="0" applyNumberFormat="1" applyFont="1" applyFill="1" applyBorder="1" applyAlignment="1">
      <alignment horizontal="left"/>
    </xf>
    <xf numFmtId="166" fontId="3" fillId="0" borderId="4" xfId="4" applyNumberFormat="1" applyFont="1" applyBorder="1"/>
    <xf numFmtId="166" fontId="3" fillId="0" borderId="0" xfId="4" applyNumberFormat="1" applyFont="1" applyFill="1"/>
    <xf numFmtId="166" fontId="3" fillId="0" borderId="4" xfId="4" applyNumberFormat="1" applyFont="1" applyFill="1" applyBorder="1"/>
    <xf numFmtId="0" fontId="2" fillId="4" borderId="0" xfId="0" applyFont="1" applyFill="1"/>
    <xf numFmtId="166" fontId="2" fillId="4" borderId="0" xfId="4" applyNumberFormat="1" applyFont="1" applyFill="1"/>
    <xf numFmtId="41" fontId="109" fillId="0" borderId="0" xfId="0" applyNumberFormat="1" applyFont="1" applyFill="1" applyBorder="1"/>
    <xf numFmtId="0" fontId="49" fillId="8" borderId="8" xfId="0" applyFont="1" applyFill="1" applyBorder="1" applyAlignment="1">
      <alignment horizontal="center"/>
    </xf>
    <xf numFmtId="166" fontId="10" fillId="0" borderId="18" xfId="4" applyNumberFormat="1" applyFont="1" applyFill="1" applyBorder="1"/>
    <xf numFmtId="0" fontId="3" fillId="10" borderId="0" xfId="0" applyFont="1" applyFill="1"/>
    <xf numFmtId="38" fontId="3" fillId="10" borderId="4" xfId="0" applyNumberFormat="1" applyFont="1" applyFill="1" applyBorder="1"/>
    <xf numFmtId="0" fontId="0" fillId="2" borderId="0" xfId="0" applyFill="1"/>
    <xf numFmtId="0" fontId="6" fillId="2" borderId="0" xfId="0" applyFont="1" applyFill="1" applyAlignment="1">
      <alignment horizontal="center"/>
    </xf>
    <xf numFmtId="14" fontId="0" fillId="2" borderId="0" xfId="0" applyNumberFormat="1" applyFill="1"/>
    <xf numFmtId="10" fontId="6" fillId="8" borderId="0" xfId="24" applyNumberFormat="1" applyFont="1" applyFill="1"/>
    <xf numFmtId="10" fontId="6" fillId="12" borderId="0" xfId="24" applyNumberFormat="1" applyFont="1" applyFill="1" applyBorder="1"/>
    <xf numFmtId="38" fontId="10" fillId="0" borderId="0" xfId="4" applyNumberFormat="1" applyFont="1" applyFill="1" applyBorder="1" applyAlignment="1">
      <alignment horizontal="center"/>
    </xf>
    <xf numFmtId="10" fontId="25" fillId="0" borderId="0" xfId="24" applyNumberFormat="1" applyFont="1" applyAlignment="1">
      <alignment horizontal="center"/>
    </xf>
    <xf numFmtId="2" fontId="0" fillId="0" borderId="0" xfId="0" applyNumberFormat="1"/>
    <xf numFmtId="10" fontId="40" fillId="0" borderId="0" xfId="24" applyNumberFormat="1" applyFont="1" applyFill="1" applyBorder="1"/>
    <xf numFmtId="0" fontId="13" fillId="0" borderId="0" xfId="0" applyFont="1" applyAlignment="1">
      <alignment horizontal="right"/>
    </xf>
    <xf numFmtId="0" fontId="135" fillId="0" borderId="9" xfId="0" applyFont="1" applyBorder="1" applyAlignment="1">
      <alignment horizontal="left" indent="2"/>
    </xf>
    <xf numFmtId="9" fontId="3" fillId="0" borderId="0" xfId="0" applyNumberFormat="1" applyFont="1"/>
    <xf numFmtId="38" fontId="55" fillId="8" borderId="0" xfId="4" applyNumberFormat="1" applyFont="1" applyFill="1" applyBorder="1" applyAlignment="1">
      <alignment horizontal="center"/>
    </xf>
    <xf numFmtId="166" fontId="3" fillId="8" borderId="0" xfId="4" applyNumberFormat="1" applyFont="1" applyFill="1" applyAlignment="1">
      <alignment horizontal="right"/>
    </xf>
    <xf numFmtId="43" fontId="3" fillId="0" borderId="0" xfId="4" applyFont="1" applyBorder="1"/>
    <xf numFmtId="0" fontId="136" fillId="8" borderId="0" xfId="0" applyFont="1" applyFill="1"/>
    <xf numFmtId="14" fontId="0" fillId="0" borderId="0" xfId="0" applyNumberFormat="1"/>
    <xf numFmtId="38" fontId="3" fillId="0" borderId="0" xfId="0" applyNumberFormat="1" applyFont="1" applyBorder="1" applyAlignment="1">
      <alignment horizontal="center"/>
    </xf>
    <xf numFmtId="9" fontId="3" fillId="0" borderId="0" xfId="24" applyFont="1"/>
    <xf numFmtId="0" fontId="3" fillId="0" borderId="0" xfId="0" applyFont="1" applyAlignment="1">
      <alignment horizontal="centerContinuous"/>
    </xf>
    <xf numFmtId="9" fontId="0" fillId="0" borderId="0" xfId="24" applyFont="1"/>
    <xf numFmtId="0" fontId="0" fillId="0" borderId="22" xfId="0" applyBorder="1"/>
    <xf numFmtId="0" fontId="49" fillId="0" borderId="7" xfId="0" applyFont="1" applyBorder="1"/>
    <xf numFmtId="0" fontId="0" fillId="0" borderId="9" xfId="0" applyBorder="1"/>
    <xf numFmtId="10" fontId="3" fillId="0" borderId="0" xfId="0" applyNumberFormat="1" applyFont="1" applyBorder="1"/>
    <xf numFmtId="9" fontId="3" fillId="0" borderId="0" xfId="0" applyNumberFormat="1" applyFont="1" applyBorder="1"/>
    <xf numFmtId="165" fontId="3" fillId="0" borderId="9" xfId="5" applyNumberFormat="1" applyFont="1" applyBorder="1" applyAlignment="1"/>
    <xf numFmtId="10" fontId="3" fillId="0" borderId="0" xfId="24" applyNumberFormat="1" applyFont="1" applyBorder="1"/>
    <xf numFmtId="165" fontId="3" fillId="0" borderId="9" xfId="0" applyNumberFormat="1" applyFont="1" applyBorder="1"/>
    <xf numFmtId="165" fontId="3" fillId="0" borderId="19" xfId="0" applyNumberFormat="1" applyFont="1" applyBorder="1"/>
    <xf numFmtId="10" fontId="3" fillId="0" borderId="6" xfId="24" applyNumberFormat="1" applyFont="1" applyBorder="1"/>
    <xf numFmtId="10" fontId="3" fillId="0" borderId="6" xfId="0" applyNumberFormat="1" applyFont="1" applyBorder="1"/>
    <xf numFmtId="0" fontId="4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37" xfId="0" applyFont="1" applyBorder="1" applyAlignment="1">
      <alignment horizontal="center"/>
    </xf>
    <xf numFmtId="0" fontId="3" fillId="0" borderId="44" xfId="0" applyFont="1" applyBorder="1"/>
    <xf numFmtId="0" fontId="6" fillId="0" borderId="0" xfId="0" applyFont="1" applyAlignment="1">
      <alignment horizontal="centerContinuous"/>
    </xf>
    <xf numFmtId="0" fontId="0" fillId="0" borderId="20" xfId="0" applyBorder="1"/>
    <xf numFmtId="217" fontId="0" fillId="0" borderId="0" xfId="0" applyNumberFormat="1" applyBorder="1"/>
    <xf numFmtId="0" fontId="137" fillId="0" borderId="9" xfId="0" applyFont="1" applyBorder="1"/>
    <xf numFmtId="0" fontId="6" fillId="0" borderId="9" xfId="0" applyFont="1" applyBorder="1"/>
    <xf numFmtId="217" fontId="6" fillId="0" borderId="0" xfId="0" applyNumberFormat="1" applyFont="1" applyBorder="1"/>
    <xf numFmtId="10" fontId="0" fillId="0" borderId="0" xfId="0" applyNumberFormat="1" applyBorder="1"/>
    <xf numFmtId="0" fontId="6" fillId="0" borderId="19" xfId="0" applyFont="1" applyBorder="1"/>
    <xf numFmtId="217" fontId="6" fillId="0" borderId="6" xfId="0" applyNumberFormat="1" applyFont="1" applyBorder="1"/>
    <xf numFmtId="0" fontId="6" fillId="0" borderId="18" xfId="0" quotePrefix="1" applyFont="1" applyBorder="1"/>
    <xf numFmtId="217" fontId="0" fillId="8" borderId="0" xfId="0" applyNumberFormat="1" applyFill="1" applyBorder="1"/>
    <xf numFmtId="217" fontId="137" fillId="8" borderId="0" xfId="0" applyNumberFormat="1" applyFont="1" applyFill="1" applyBorder="1"/>
    <xf numFmtId="217" fontId="0" fillId="8" borderId="7" xfId="0" applyNumberFormat="1" applyFill="1" applyBorder="1"/>
    <xf numFmtId="3" fontId="140" fillId="0" borderId="0" xfId="0" applyNumberFormat="1" applyFont="1" applyAlignment="1" applyProtection="1">
      <alignment horizontal="centerContinuous"/>
      <protection locked="0"/>
    </xf>
    <xf numFmtId="3" fontId="140" fillId="0" borderId="0" xfId="0" applyNumberFormat="1" applyFont="1" applyAlignment="1" applyProtection="1">
      <alignment horizontal="centerContinuous"/>
    </xf>
    <xf numFmtId="1" fontId="0" fillId="0" borderId="0" xfId="0" applyNumberFormat="1" applyAlignment="1">
      <alignment horizontal="center"/>
    </xf>
    <xf numFmtId="0" fontId="25" fillId="0" borderId="0" xfId="0" applyFont="1"/>
    <xf numFmtId="286" fontId="0" fillId="0" borderId="0" xfId="0" applyNumberFormat="1" applyAlignment="1">
      <alignment horizontal="left"/>
    </xf>
    <xf numFmtId="3" fontId="141" fillId="0" borderId="0" xfId="0" applyNumberFormat="1" applyFont="1" applyAlignment="1" applyProtection="1">
      <alignment horizontal="centerContinuous"/>
      <protection locked="0"/>
    </xf>
    <xf numFmtId="3" fontId="81" fillId="0" borderId="0" xfId="0" applyNumberFormat="1" applyFont="1" applyAlignment="1" applyProtection="1">
      <protection locked="0"/>
    </xf>
    <xf numFmtId="3" fontId="81" fillId="0" borderId="0" xfId="0" applyNumberFormat="1" applyFont="1" applyAlignment="1" applyProtection="1">
      <alignment horizontal="centerContinuous"/>
      <protection locked="0"/>
    </xf>
    <xf numFmtId="0" fontId="6" fillId="0" borderId="0" xfId="0" applyFont="1" applyProtection="1"/>
    <xf numFmtId="0" fontId="0" fillId="0" borderId="0" xfId="0" applyBorder="1" applyProtection="1"/>
    <xf numFmtId="0" fontId="81" fillId="0" borderId="0" xfId="0" applyFont="1" applyBorder="1" applyProtection="1">
      <protection locked="0"/>
    </xf>
    <xf numFmtId="0" fontId="81" fillId="0" borderId="0" xfId="0" applyFont="1" applyProtection="1">
      <protection locked="0"/>
    </xf>
    <xf numFmtId="3" fontId="81" fillId="0" borderId="0" xfId="0" applyNumberFormat="1" applyFont="1" applyProtection="1">
      <protection locked="0"/>
    </xf>
    <xf numFmtId="3" fontId="81" fillId="0" borderId="0" xfId="0" applyNumberFormat="1" applyFont="1" applyProtection="1"/>
    <xf numFmtId="0" fontId="25" fillId="0" borderId="0" xfId="0" applyFont="1" applyProtection="1"/>
    <xf numFmtId="0" fontId="25" fillId="0" borderId="0" xfId="0" applyFont="1" applyBorder="1" applyProtection="1"/>
    <xf numFmtId="9" fontId="81" fillId="0" borderId="0" xfId="0" applyNumberFormat="1" applyFont="1" applyProtection="1">
      <protection locked="0"/>
    </xf>
    <xf numFmtId="222" fontId="81" fillId="0" borderId="0" xfId="0" applyNumberFormat="1" applyFont="1" applyProtection="1">
      <protection locked="0"/>
    </xf>
    <xf numFmtId="9" fontId="81" fillId="0" borderId="0" xfId="24" applyFont="1" applyProtection="1">
      <protection locked="0"/>
    </xf>
    <xf numFmtId="0" fontId="25" fillId="0" borderId="0" xfId="0" applyFont="1" applyProtection="1">
      <protection locked="0"/>
    </xf>
    <xf numFmtId="0" fontId="81" fillId="0" borderId="0" xfId="0" applyFont="1"/>
    <xf numFmtId="0" fontId="6" fillId="0" borderId="0" xfId="0" applyFont="1" applyBorder="1" applyProtection="1"/>
    <xf numFmtId="0" fontId="142" fillId="0" borderId="0" xfId="0" applyFont="1" applyProtection="1">
      <protection locked="0"/>
    </xf>
    <xf numFmtId="0" fontId="0" fillId="0" borderId="0" xfId="0" applyProtection="1">
      <protection locked="0"/>
    </xf>
    <xf numFmtId="0" fontId="14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144" fillId="0" borderId="0" xfId="0" applyNumberFormat="1" applyFont="1" applyProtection="1"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0" applyNumberFormat="1" applyBorder="1" applyProtection="1">
      <protection locked="0"/>
    </xf>
    <xf numFmtId="3" fontId="137" fillId="0" borderId="0" xfId="0" applyNumberFormat="1" applyFont="1" applyBorder="1" applyAlignment="1" applyProtection="1">
      <alignment horizontal="center"/>
      <protection locked="0"/>
    </xf>
    <xf numFmtId="3" fontId="0" fillId="0" borderId="45" xfId="0" applyNumberFormat="1" applyBorder="1" applyAlignment="1" applyProtection="1">
      <alignment horizontal="centerContinuous"/>
      <protection locked="0"/>
    </xf>
    <xf numFmtId="0" fontId="54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1" xfId="0" applyBorder="1" applyProtection="1">
      <protection locked="0"/>
    </xf>
    <xf numFmtId="3" fontId="0" fillId="0" borderId="32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54" fillId="0" borderId="0" xfId="0" applyFont="1" applyBorder="1" applyProtection="1">
      <protection locked="0"/>
    </xf>
    <xf numFmtId="3" fontId="0" fillId="0" borderId="34" xfId="0" applyNumberFormat="1" applyBorder="1" applyAlignment="1" applyProtection="1">
      <alignment horizontal="center"/>
      <protection locked="0"/>
    </xf>
    <xf numFmtId="222" fontId="0" fillId="0" borderId="34" xfId="0" applyNumberFormat="1" applyBorder="1" applyAlignment="1" applyProtection="1">
      <alignment horizontal="center"/>
      <protection locked="0"/>
    </xf>
    <xf numFmtId="0" fontId="54" fillId="0" borderId="0" xfId="0" applyFont="1" applyBorder="1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166" fontId="1" fillId="0" borderId="31" xfId="4" applyNumberFormat="1" applyFont="1" applyBorder="1" applyAlignment="1" applyProtection="1">
      <alignment horizontal="center"/>
      <protection locked="0"/>
    </xf>
    <xf numFmtId="166" fontId="1" fillId="0" borderId="32" xfId="4" applyNumberFormat="1" applyBorder="1" applyAlignment="1" applyProtection="1">
      <alignment horizontal="center"/>
      <protection locked="0"/>
    </xf>
    <xf numFmtId="166" fontId="1" fillId="0" borderId="45" xfId="4" applyNumberFormat="1" applyFont="1" applyBorder="1" applyAlignment="1" applyProtection="1">
      <alignment horizontal="center"/>
      <protection locked="0"/>
    </xf>
    <xf numFmtId="166" fontId="1" fillId="0" borderId="0" xfId="4" applyNumberForma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3" fontId="0" fillId="0" borderId="45" xfId="0" applyNumberFormat="1" applyBorder="1" applyAlignment="1" applyProtection="1">
      <alignment horizontal="center"/>
      <protection locked="0"/>
    </xf>
    <xf numFmtId="222" fontId="0" fillId="0" borderId="45" xfId="0" applyNumberFormat="1" applyBorder="1" applyAlignment="1" applyProtection="1">
      <alignment horizontal="center"/>
      <protection locked="0"/>
    </xf>
    <xf numFmtId="166" fontId="1" fillId="0" borderId="45" xfId="4" applyNumberFormat="1" applyBorder="1" applyAlignment="1" applyProtection="1">
      <alignment horizontal="center"/>
      <protection locked="0"/>
    </xf>
    <xf numFmtId="193" fontId="1" fillId="0" borderId="45" xfId="4" applyNumberFormat="1" applyBorder="1" applyAlignment="1" applyProtection="1">
      <protection locked="0"/>
    </xf>
    <xf numFmtId="166" fontId="25" fillId="0" borderId="34" xfId="4" applyNumberFormat="1" applyFont="1" applyBorder="1" applyAlignment="1" applyProtection="1">
      <alignment horizontal="center"/>
      <protection locked="0"/>
    </xf>
    <xf numFmtId="166" fontId="25" fillId="0" borderId="0" xfId="4" applyNumberFormat="1" applyFont="1" applyBorder="1" applyAlignment="1" applyProtection="1">
      <alignment horizontal="center"/>
      <protection locked="0"/>
    </xf>
    <xf numFmtId="222" fontId="0" fillId="0" borderId="0" xfId="0" applyNumberFormat="1" applyBorder="1" applyProtection="1"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6" fillId="0" borderId="31" xfId="0" applyFont="1" applyBorder="1" applyAlignment="1">
      <alignment horizontal="center"/>
    </xf>
    <xf numFmtId="0" fontId="0" fillId="0" borderId="19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3" fontId="54" fillId="0" borderId="34" xfId="0" applyNumberFormat="1" applyFont="1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"/>
      <protection locked="0"/>
    </xf>
    <xf numFmtId="0" fontId="6" fillId="0" borderId="18" xfId="0" applyFont="1" applyBorder="1" applyAlignment="1" applyProtection="1">
      <alignment horizontal="center"/>
      <protection locked="0"/>
    </xf>
    <xf numFmtId="0" fontId="0" fillId="0" borderId="22" xfId="0" applyBorder="1" applyProtection="1">
      <protection locked="0"/>
    </xf>
    <xf numFmtId="0" fontId="0" fillId="0" borderId="20" xfId="0" applyBorder="1" applyProtection="1"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190" fontId="0" fillId="0" borderId="9" xfId="0" applyNumberFormat="1" applyBorder="1" applyProtection="1">
      <protection locked="0"/>
    </xf>
    <xf numFmtId="0" fontId="0" fillId="0" borderId="8" xfId="0" applyBorder="1" applyProtection="1">
      <protection locked="0"/>
    </xf>
    <xf numFmtId="190" fontId="0" fillId="0" borderId="8" xfId="0" applyNumberFormat="1" applyBorder="1" applyProtection="1">
      <protection locked="0"/>
    </xf>
    <xf numFmtId="3" fontId="0" fillId="0" borderId="9" xfId="0" applyNumberFormat="1" applyBorder="1" applyProtection="1">
      <protection locked="0"/>
    </xf>
    <xf numFmtId="0" fontId="0" fillId="0" borderId="9" xfId="0" applyBorder="1" applyProtection="1">
      <protection locked="0"/>
    </xf>
    <xf numFmtId="190" fontId="0" fillId="0" borderId="19" xfId="0" applyNumberFormat="1" applyBorder="1" applyProtection="1">
      <protection locked="0"/>
    </xf>
    <xf numFmtId="190" fontId="0" fillId="0" borderId="18" xfId="0" applyNumberFormat="1" applyBorder="1" applyProtection="1">
      <protection locked="0"/>
    </xf>
    <xf numFmtId="0" fontId="6" fillId="0" borderId="0" xfId="0" applyFont="1" applyProtection="1">
      <protection locked="0"/>
    </xf>
    <xf numFmtId="166" fontId="1" fillId="0" borderId="45" xfId="4" applyNumberFormat="1" applyBorder="1" applyProtection="1">
      <protection locked="0"/>
    </xf>
    <xf numFmtId="43" fontId="0" fillId="0" borderId="25" xfId="0" applyNumberFormat="1" applyBorder="1" applyProtection="1">
      <protection locked="0"/>
    </xf>
    <xf numFmtId="3" fontId="0" fillId="0" borderId="27" xfId="0" applyNumberFormat="1" applyBorder="1" applyProtection="1">
      <protection locked="0"/>
    </xf>
    <xf numFmtId="43" fontId="0" fillId="0" borderId="0" xfId="0" applyNumberFormat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4" fontId="0" fillId="0" borderId="45" xfId="0" applyNumberFormat="1" applyBorder="1" applyAlignment="1" applyProtection="1">
      <alignment horizontal="center"/>
      <protection locked="0"/>
    </xf>
    <xf numFmtId="4" fontId="0" fillId="0" borderId="0" xfId="0" applyNumberFormat="1" applyBorder="1" applyAlignment="1" applyProtection="1">
      <alignment horizontal="center"/>
      <protection locked="0"/>
    </xf>
    <xf numFmtId="0" fontId="54" fillId="0" borderId="0" xfId="0" applyFont="1" applyBorder="1" applyAlignment="1" applyProtection="1">
      <alignment horizontal="left"/>
      <protection locked="0"/>
    </xf>
    <xf numFmtId="166" fontId="1" fillId="0" borderId="45" xfId="4" applyNumberFormat="1" applyFont="1" applyBorder="1" applyProtection="1">
      <protection locked="0"/>
    </xf>
    <xf numFmtId="166" fontId="1" fillId="0" borderId="19" xfId="4" applyNumberFormat="1" applyBorder="1" applyProtection="1">
      <protection locked="0"/>
    </xf>
    <xf numFmtId="166" fontId="1" fillId="0" borderId="34" xfId="4" applyNumberFormat="1" applyBorder="1" applyProtection="1">
      <protection locked="0"/>
    </xf>
    <xf numFmtId="166" fontId="1" fillId="0" borderId="18" xfId="4" applyNumberFormat="1" applyBorder="1" applyProtection="1">
      <protection locked="0"/>
    </xf>
    <xf numFmtId="8" fontId="0" fillId="0" borderId="0" xfId="0" applyNumberFormat="1" applyProtection="1">
      <protection locked="0"/>
    </xf>
    <xf numFmtId="0" fontId="0" fillId="0" borderId="0" xfId="0" applyProtection="1"/>
    <xf numFmtId="3" fontId="0" fillId="0" borderId="0" xfId="0" applyNumberFormat="1" applyProtection="1"/>
    <xf numFmtId="3" fontId="0" fillId="0" borderId="0" xfId="0" applyNumberFormat="1" applyAlignment="1" applyProtection="1">
      <alignment horizontal="centerContinuous"/>
      <protection locked="0"/>
    </xf>
    <xf numFmtId="3" fontId="145" fillId="0" borderId="0" xfId="0" applyNumberFormat="1" applyFont="1" applyProtection="1">
      <protection locked="0"/>
    </xf>
    <xf numFmtId="3" fontId="139" fillId="0" borderId="0" xfId="0" applyNumberFormat="1" applyFont="1" applyProtection="1">
      <protection locked="0"/>
    </xf>
    <xf numFmtId="3" fontId="137" fillId="0" borderId="0" xfId="0" applyNumberFormat="1" applyFont="1" applyAlignment="1" applyProtection="1">
      <alignment horizontal="center"/>
      <protection locked="0"/>
    </xf>
    <xf numFmtId="3" fontId="54" fillId="0" borderId="45" xfId="0" applyNumberFormat="1" applyFont="1" applyBorder="1" applyAlignment="1" applyProtection="1">
      <alignment horizontal="center"/>
      <protection locked="0"/>
    </xf>
    <xf numFmtId="0" fontId="25" fillId="0" borderId="0" xfId="0" applyFont="1" applyBorder="1" applyAlignment="1" applyProtection="1">
      <alignment horizontal="center"/>
      <protection locked="0"/>
    </xf>
    <xf numFmtId="3" fontId="0" fillId="0" borderId="32" xfId="0" applyNumberFormat="1" applyBorder="1" applyProtection="1">
      <protection locked="0"/>
    </xf>
    <xf numFmtId="0" fontId="0" fillId="0" borderId="32" xfId="0" applyBorder="1" applyProtection="1">
      <protection locked="0"/>
    </xf>
    <xf numFmtId="0" fontId="25" fillId="0" borderId="8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3" fontId="0" fillId="0" borderId="34" xfId="0" applyNumberFormat="1" applyBorder="1" applyProtection="1">
      <protection locked="0"/>
    </xf>
    <xf numFmtId="3" fontId="0" fillId="0" borderId="31" xfId="0" applyNumberFormat="1" applyBorder="1" applyProtection="1">
      <protection locked="0"/>
    </xf>
    <xf numFmtId="3" fontId="0" fillId="0" borderId="31" xfId="0" applyNumberFormat="1" applyBorder="1" applyAlignment="1" applyProtection="1">
      <alignment horizontal="center"/>
      <protection locked="0"/>
    </xf>
    <xf numFmtId="3" fontId="0" fillId="0" borderId="45" xfId="0" applyNumberFormat="1" applyBorder="1" applyProtection="1">
      <protection locked="0"/>
    </xf>
    <xf numFmtId="0" fontId="0" fillId="0" borderId="0" xfId="0" applyAlignment="1" applyProtection="1">
      <alignment horizontal="centerContinuous"/>
      <protection locked="0"/>
    </xf>
    <xf numFmtId="0" fontId="140" fillId="0" borderId="0" xfId="0" applyFont="1" applyAlignment="1" applyProtection="1">
      <alignment horizontal="centerContinuous"/>
      <protection locked="0"/>
    </xf>
    <xf numFmtId="0" fontId="0" fillId="0" borderId="31" xfId="0" applyBorder="1" applyAlignment="1" applyProtection="1">
      <alignment horizontal="centerContinuous"/>
    </xf>
    <xf numFmtId="0" fontId="0" fillId="0" borderId="32" xfId="0" applyBorder="1" applyAlignment="1" applyProtection="1">
      <alignment horizontal="centerContinuous"/>
    </xf>
    <xf numFmtId="0" fontId="0" fillId="0" borderId="34" xfId="0" applyBorder="1" applyAlignment="1" applyProtection="1">
      <alignment horizontal="center"/>
    </xf>
    <xf numFmtId="0" fontId="0" fillId="0" borderId="34" xfId="0" applyBorder="1" applyAlignment="1" applyProtection="1">
      <alignment horizontal="centerContinuous"/>
    </xf>
    <xf numFmtId="0" fontId="0" fillId="0" borderId="31" xfId="0" applyBorder="1" applyAlignment="1" applyProtection="1">
      <alignment horizontal="center"/>
    </xf>
    <xf numFmtId="166" fontId="1" fillId="0" borderId="7" xfId="4" applyNumberFormat="1" applyBorder="1" applyProtection="1"/>
    <xf numFmtId="166" fontId="1" fillId="0" borderId="31" xfId="4" applyNumberFormat="1" applyBorder="1" applyProtection="1"/>
    <xf numFmtId="0" fontId="0" fillId="0" borderId="3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217" fontId="1" fillId="0" borderId="0" xfId="4" applyNumberFormat="1" applyFont="1" applyBorder="1" applyAlignment="1" applyProtection="1">
      <alignment horizontal="center"/>
    </xf>
    <xf numFmtId="5" fontId="1" fillId="0" borderId="32" xfId="4" applyNumberFormat="1" applyBorder="1" applyAlignment="1" applyProtection="1">
      <alignment horizontal="center"/>
    </xf>
    <xf numFmtId="0" fontId="0" fillId="0" borderId="6" xfId="0" applyBorder="1" applyAlignment="1" applyProtection="1">
      <alignment horizontal="centerContinuous"/>
    </xf>
    <xf numFmtId="5" fontId="1" fillId="0" borderId="6" xfId="4" applyNumberFormat="1" applyBorder="1" applyAlignment="1" applyProtection="1">
      <alignment horizontal="center"/>
    </xf>
    <xf numFmtId="5" fontId="1" fillId="0" borderId="34" xfId="4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Continuous"/>
    </xf>
    <xf numFmtId="5" fontId="1" fillId="0" borderId="0" xfId="4" applyNumberFormat="1" applyBorder="1" applyAlignment="1" applyProtection="1">
      <alignment horizontal="center"/>
    </xf>
    <xf numFmtId="5" fontId="0" fillId="0" borderId="0" xfId="0" applyNumberFormat="1" applyBorder="1" applyAlignment="1" applyProtection="1">
      <alignment horizontal="center"/>
    </xf>
    <xf numFmtId="0" fontId="0" fillId="0" borderId="45" xfId="0" applyBorder="1" applyAlignment="1" applyProtection="1">
      <alignment horizontal="centerContinuous"/>
    </xf>
    <xf numFmtId="0" fontId="0" fillId="0" borderId="25" xfId="0" applyBorder="1" applyAlignment="1" applyProtection="1"/>
    <xf numFmtId="0" fontId="0" fillId="0" borderId="26" xfId="0" applyBorder="1" applyAlignment="1" applyProtection="1"/>
    <xf numFmtId="5" fontId="0" fillId="0" borderId="27" xfId="0" applyNumberFormat="1" applyBorder="1" applyAlignment="1" applyProtection="1">
      <alignment horizontal="center"/>
    </xf>
    <xf numFmtId="5" fontId="146" fillId="0" borderId="45" xfId="4" applyNumberFormat="1" applyFont="1" applyBorder="1" applyAlignment="1" applyProtection="1">
      <alignment horizontal="center"/>
    </xf>
    <xf numFmtId="0" fontId="0" fillId="0" borderId="0" xfId="0" applyAlignment="1" applyProtection="1">
      <alignment horizontal="centerContinuous"/>
    </xf>
    <xf numFmtId="0" fontId="0" fillId="0" borderId="0" xfId="0" applyAlignment="1" applyProtection="1">
      <alignment horizontal="right"/>
      <protection locked="0"/>
    </xf>
    <xf numFmtId="0" fontId="25" fillId="0" borderId="4" xfId="0" applyFont="1" applyBorder="1" applyAlignment="1" applyProtection="1">
      <alignment horizontal="right"/>
      <protection locked="0"/>
    </xf>
    <xf numFmtId="187" fontId="0" fillId="0" borderId="0" xfId="0" applyNumberFormat="1" applyProtection="1">
      <protection locked="0"/>
    </xf>
    <xf numFmtId="166" fontId="1" fillId="0" borderId="0" xfId="4" applyNumberFormat="1" applyProtection="1">
      <protection locked="0"/>
    </xf>
    <xf numFmtId="187" fontId="0" fillId="0" borderId="4" xfId="0" applyNumberFormat="1" applyBorder="1" applyProtection="1">
      <protection locked="0"/>
    </xf>
    <xf numFmtId="166" fontId="1" fillId="0" borderId="4" xfId="4" applyNumberFormat="1" applyBorder="1" applyProtection="1">
      <protection locked="0"/>
    </xf>
    <xf numFmtId="187" fontId="1" fillId="0" borderId="0" xfId="4" applyNumberFormat="1" applyProtection="1">
      <protection locked="0"/>
    </xf>
    <xf numFmtId="1" fontId="1" fillId="0" borderId="4" xfId="4" applyNumberFormat="1" applyBorder="1" applyProtection="1">
      <protection locked="0"/>
    </xf>
    <xf numFmtId="0" fontId="0" fillId="0" borderId="0" xfId="0" quotePrefix="1" applyProtection="1">
      <protection locked="0"/>
    </xf>
    <xf numFmtId="187" fontId="25" fillId="0" borderId="4" xfId="0" applyNumberFormat="1" applyFont="1" applyBorder="1" applyProtection="1">
      <protection locked="0"/>
    </xf>
    <xf numFmtId="166" fontId="25" fillId="0" borderId="4" xfId="4" applyNumberFormat="1" applyFont="1" applyBorder="1" applyProtection="1">
      <protection locked="0"/>
    </xf>
    <xf numFmtId="1" fontId="1" fillId="0" borderId="0" xfId="4" applyNumberFormat="1" applyProtection="1">
      <protection locked="0"/>
    </xf>
    <xf numFmtId="6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" fontId="25" fillId="0" borderId="4" xfId="4" applyNumberFormat="1" applyFont="1" applyBorder="1" applyProtection="1">
      <protection locked="0"/>
    </xf>
    <xf numFmtId="166" fontId="25" fillId="0" borderId="0" xfId="4" applyNumberFormat="1" applyFont="1" applyProtection="1">
      <protection locked="0"/>
    </xf>
    <xf numFmtId="22" fontId="0" fillId="0" borderId="0" xfId="0" applyNumberFormat="1" applyProtection="1">
      <protection locked="0"/>
    </xf>
    <xf numFmtId="3" fontId="140" fillId="0" borderId="0" xfId="0" applyNumberFormat="1" applyFont="1" applyAlignment="1">
      <alignment horizontal="centerContinuous"/>
    </xf>
    <xf numFmtId="0" fontId="140" fillId="0" borderId="0" xfId="0" applyFont="1" applyAlignment="1">
      <alignment horizontal="centerContinuous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Continuous"/>
    </xf>
    <xf numFmtId="0" fontId="6" fillId="0" borderId="4" xfId="0" applyFont="1" applyBorder="1"/>
    <xf numFmtId="0" fontId="148" fillId="0" borderId="3" xfId="0" applyFont="1" applyBorder="1" applyAlignment="1">
      <alignment horizontal="center"/>
    </xf>
    <xf numFmtId="0" fontId="148" fillId="0" borderId="3" xfId="0" applyFont="1" applyBorder="1" applyAlignme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1" fillId="0" borderId="0" xfId="0" applyFont="1"/>
    <xf numFmtId="0" fontId="1" fillId="0" borderId="3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quotePrefix="1"/>
    <xf numFmtId="0" fontId="145" fillId="0" borderId="0" xfId="0" applyFont="1" applyProtection="1">
      <protection locked="0"/>
    </xf>
    <xf numFmtId="0" fontId="149" fillId="14" borderId="46" xfId="0" applyFont="1" applyFill="1" applyBorder="1" applyProtection="1">
      <protection locked="0"/>
    </xf>
    <xf numFmtId="0" fontId="149" fillId="14" borderId="47" xfId="0" applyFont="1" applyFill="1" applyBorder="1" applyProtection="1">
      <protection locked="0"/>
    </xf>
    <xf numFmtId="0" fontId="149" fillId="14" borderId="48" xfId="0" applyFont="1" applyFill="1" applyBorder="1" applyProtection="1">
      <protection locked="0"/>
    </xf>
    <xf numFmtId="0" fontId="6" fillId="14" borderId="45" xfId="0" applyFont="1" applyFill="1" applyBorder="1" applyAlignment="1" applyProtection="1">
      <alignment horizontal="centerContinuous" vertical="center"/>
      <protection locked="0"/>
    </xf>
    <xf numFmtId="0" fontId="150" fillId="0" borderId="0" xfId="0" applyFont="1" applyAlignment="1" applyProtection="1">
      <alignment horizontal="left"/>
      <protection locked="0"/>
    </xf>
    <xf numFmtId="3" fontId="140" fillId="4" borderId="7" xfId="0" applyNumberFormat="1" applyFont="1" applyFill="1" applyBorder="1" applyAlignment="1" applyProtection="1">
      <alignment horizontal="left"/>
      <protection locked="0"/>
    </xf>
    <xf numFmtId="0" fontId="149" fillId="4" borderId="7" xfId="0" applyFont="1" applyFill="1" applyBorder="1" applyAlignment="1" applyProtection="1">
      <alignment horizontal="centerContinuous"/>
      <protection locked="0"/>
    </xf>
    <xf numFmtId="0" fontId="151" fillId="4" borderId="20" xfId="0" applyFont="1" applyFill="1" applyBorder="1" applyAlignment="1" applyProtection="1">
      <alignment horizontal="centerContinuous" vertical="center"/>
      <protection locked="0"/>
    </xf>
    <xf numFmtId="0" fontId="152" fillId="4" borderId="19" xfId="0" applyFont="1" applyFill="1" applyBorder="1" applyProtection="1">
      <protection locked="0"/>
    </xf>
    <xf numFmtId="0" fontId="149" fillId="4" borderId="6" xfId="0" applyFont="1" applyFill="1" applyBorder="1" applyProtection="1">
      <protection locked="0"/>
    </xf>
    <xf numFmtId="0" fontId="151" fillId="4" borderId="18" xfId="0" applyFont="1" applyFill="1" applyBorder="1" applyAlignment="1" applyProtection="1">
      <alignment horizontal="centerContinuous" vertical="center"/>
      <protection locked="0"/>
    </xf>
    <xf numFmtId="0" fontId="151" fillId="4" borderId="49" xfId="1" applyFont="1" applyFill="1" applyBorder="1" applyAlignment="1" applyProtection="1">
      <alignment horizontal="left"/>
      <protection locked="0"/>
    </xf>
    <xf numFmtId="0" fontId="145" fillId="4" borderId="23" xfId="0" applyFont="1" applyFill="1" applyBorder="1" applyProtection="1">
      <protection locked="0"/>
    </xf>
    <xf numFmtId="0" fontId="139" fillId="4" borderId="50" xfId="0" applyFont="1" applyFill="1" applyBorder="1" applyProtection="1">
      <protection locked="0"/>
    </xf>
    <xf numFmtId="3" fontId="145" fillId="4" borderId="45" xfId="1" applyNumberFormat="1" applyFont="1" applyFill="1" applyBorder="1" applyProtection="1">
      <protection locked="0"/>
    </xf>
    <xf numFmtId="9" fontId="25" fillId="4" borderId="45" xfId="24" applyFont="1" applyFill="1" applyBorder="1" applyProtection="1">
      <protection locked="0"/>
    </xf>
    <xf numFmtId="0" fontId="139" fillId="0" borderId="0" xfId="1" applyProtection="1">
      <protection locked="0"/>
    </xf>
    <xf numFmtId="3" fontId="0" fillId="8" borderId="45" xfId="0" applyNumberFormat="1" applyFill="1" applyBorder="1" applyProtection="1">
      <protection locked="0"/>
    </xf>
    <xf numFmtId="0" fontId="145" fillId="14" borderId="51" xfId="1" applyFont="1" applyFill="1" applyBorder="1" applyAlignment="1" applyProtection="1">
      <alignment horizontal="right"/>
      <protection locked="0"/>
    </xf>
    <xf numFmtId="3" fontId="145" fillId="8" borderId="45" xfId="1" applyNumberFormat="1" applyFont="1" applyFill="1" applyBorder="1" applyProtection="1">
      <protection locked="0"/>
    </xf>
    <xf numFmtId="0" fontId="151" fillId="4" borderId="52" xfId="1" applyFont="1" applyFill="1" applyBorder="1" applyAlignment="1" applyProtection="1">
      <alignment horizontal="left"/>
      <protection locked="0"/>
    </xf>
    <xf numFmtId="0" fontId="145" fillId="4" borderId="17" xfId="0" applyFont="1" applyFill="1" applyBorder="1" applyProtection="1">
      <protection locked="0"/>
    </xf>
    <xf numFmtId="0" fontId="139" fillId="4" borderId="21" xfId="0" applyFont="1" applyFill="1" applyBorder="1" applyProtection="1">
      <protection locked="0"/>
    </xf>
    <xf numFmtId="0" fontId="139" fillId="4" borderId="8" xfId="0" applyFont="1" applyFill="1" applyBorder="1" applyProtection="1">
      <protection locked="0"/>
    </xf>
    <xf numFmtId="9" fontId="25" fillId="4" borderId="45" xfId="0" applyNumberFormat="1" applyFont="1" applyFill="1" applyBorder="1" applyProtection="1">
      <protection locked="0"/>
    </xf>
    <xf numFmtId="0" fontId="139" fillId="4" borderId="27" xfId="0" applyFont="1" applyFill="1" applyBorder="1" applyProtection="1">
      <protection locked="0"/>
    </xf>
    <xf numFmtId="0" fontId="139" fillId="0" borderId="0" xfId="1" applyNumberFormat="1" applyProtection="1">
      <protection locked="0"/>
    </xf>
    <xf numFmtId="0" fontId="0" fillId="0" borderId="9" xfId="0" applyFill="1" applyBorder="1" applyProtection="1"/>
    <xf numFmtId="0" fontId="0" fillId="0" borderId="0" xfId="0" applyFill="1" applyBorder="1" applyProtection="1"/>
    <xf numFmtId="0" fontId="145" fillId="4" borderId="52" xfId="1" applyFont="1" applyFill="1" applyBorder="1" applyAlignment="1" applyProtection="1">
      <alignment horizontal="left"/>
      <protection locked="0"/>
    </xf>
    <xf numFmtId="0" fontId="139" fillId="4" borderId="17" xfId="1" applyFill="1" applyBorder="1" applyProtection="1">
      <protection locked="0"/>
    </xf>
    <xf numFmtId="0" fontId="145" fillId="4" borderId="21" xfId="1" applyFont="1" applyFill="1" applyBorder="1" applyAlignment="1" applyProtection="1">
      <alignment horizontal="right"/>
      <protection locked="0"/>
    </xf>
    <xf numFmtId="0" fontId="81" fillId="0" borderId="9" xfId="0" applyFont="1" applyBorder="1" applyProtection="1">
      <protection locked="0"/>
    </xf>
    <xf numFmtId="0" fontId="81" fillId="0" borderId="8" xfId="0" applyFont="1" applyBorder="1" applyProtection="1">
      <protection locked="0"/>
    </xf>
    <xf numFmtId="3" fontId="81" fillId="8" borderId="45" xfId="0" applyNumberFormat="1" applyFont="1" applyFill="1" applyBorder="1" applyProtection="1">
      <protection locked="0"/>
    </xf>
    <xf numFmtId="3" fontId="25" fillId="8" borderId="45" xfId="1" applyNumberFormat="1" applyFont="1" applyFill="1" applyBorder="1" applyProtection="1">
      <protection locked="0"/>
    </xf>
    <xf numFmtId="0" fontId="153" fillId="14" borderId="51" xfId="1" applyFont="1" applyFill="1" applyBorder="1" applyAlignment="1" applyProtection="1">
      <alignment horizontal="right"/>
      <protection locked="0"/>
    </xf>
    <xf numFmtId="3" fontId="153" fillId="8" borderId="45" xfId="1" applyNumberFormat="1" applyFont="1" applyFill="1" applyBorder="1" applyProtection="1">
      <protection locked="0"/>
    </xf>
    <xf numFmtId="0" fontId="25" fillId="0" borderId="9" xfId="0" applyFont="1" applyBorder="1" applyProtection="1">
      <protection locked="0"/>
    </xf>
    <xf numFmtId="0" fontId="25" fillId="0" borderId="0" xfId="0" applyFont="1" applyBorder="1" applyProtection="1">
      <protection locked="0"/>
    </xf>
    <xf numFmtId="0" fontId="25" fillId="0" borderId="8" xfId="0" applyFont="1" applyBorder="1" applyProtection="1">
      <protection locked="0"/>
    </xf>
    <xf numFmtId="3" fontId="25" fillId="8" borderId="45" xfId="0" applyNumberFormat="1" applyFont="1" applyFill="1" applyBorder="1" applyProtection="1">
      <protection locked="0"/>
    </xf>
    <xf numFmtId="6" fontId="25" fillId="0" borderId="8" xfId="0" applyNumberFormat="1" applyFont="1" applyBorder="1" applyProtection="1">
      <protection locked="0"/>
    </xf>
    <xf numFmtId="6" fontId="25" fillId="0" borderId="8" xfId="0" applyNumberFormat="1" applyFont="1" applyBorder="1" applyAlignment="1" applyProtection="1">
      <alignment horizontal="left"/>
      <protection locked="0"/>
    </xf>
    <xf numFmtId="0" fontId="1" fillId="0" borderId="0" xfId="23" applyFont="1" applyBorder="1"/>
    <xf numFmtId="5" fontId="1" fillId="0" borderId="0" xfId="23" applyNumberFormat="1" applyFont="1" applyBorder="1"/>
    <xf numFmtId="0" fontId="25" fillId="0" borderId="9" xfId="23" applyFont="1" applyBorder="1"/>
    <xf numFmtId="0" fontId="25" fillId="0" borderId="0" xfId="23" applyFont="1" applyBorder="1"/>
    <xf numFmtId="5" fontId="25" fillId="0" borderId="0" xfId="23" applyNumberFormat="1" applyFont="1" applyBorder="1"/>
    <xf numFmtId="0" fontId="3" fillId="0" borderId="9" xfId="0" applyFont="1" applyBorder="1" applyProtection="1">
      <protection locked="0"/>
    </xf>
    <xf numFmtId="9" fontId="25" fillId="0" borderId="0" xfId="0" applyNumberFormat="1" applyFont="1" applyBorder="1" applyProtection="1">
      <protection locked="0"/>
    </xf>
    <xf numFmtId="0" fontId="25" fillId="0" borderId="37" xfId="0" applyFont="1" applyBorder="1" applyProtection="1">
      <protection locked="0"/>
    </xf>
    <xf numFmtId="0" fontId="25" fillId="0" borderId="4" xfId="0" applyFont="1" applyBorder="1" applyProtection="1">
      <protection locked="0"/>
    </xf>
    <xf numFmtId="0" fontId="151" fillId="14" borderId="51" xfId="1" applyFont="1" applyFill="1" applyBorder="1" applyAlignment="1" applyProtection="1">
      <alignment horizontal="right"/>
      <protection locked="0"/>
    </xf>
    <xf numFmtId="3" fontId="151" fillId="8" borderId="45" xfId="1" applyNumberFormat="1" applyFont="1" applyFill="1" applyBorder="1" applyProtection="1">
      <protection locked="0"/>
    </xf>
    <xf numFmtId="0" fontId="0" fillId="0" borderId="37" xfId="0" applyBorder="1" applyProtection="1">
      <protection locked="0"/>
    </xf>
    <xf numFmtId="0" fontId="0" fillId="0" borderId="4" xfId="0" applyBorder="1" applyProtection="1">
      <protection locked="0"/>
    </xf>
    <xf numFmtId="9" fontId="0" fillId="0" borderId="8" xfId="0" applyNumberFormat="1" applyBorder="1" applyProtection="1">
      <protection locked="0"/>
    </xf>
    <xf numFmtId="9" fontId="1" fillId="8" borderId="45" xfId="24" applyFill="1" applyBorder="1" applyProtection="1">
      <protection locked="0"/>
    </xf>
    <xf numFmtId="9" fontId="145" fillId="8" borderId="45" xfId="24" applyFont="1" applyFill="1" applyBorder="1" applyProtection="1">
      <protection locked="0"/>
    </xf>
    <xf numFmtId="10" fontId="0" fillId="0" borderId="0" xfId="0" applyNumberFormat="1" applyBorder="1" applyAlignment="1" applyProtection="1">
      <alignment horizontal="left"/>
      <protection locked="0"/>
    </xf>
    <xf numFmtId="0" fontId="0" fillId="0" borderId="19" xfId="0" applyBorder="1" applyProtection="1">
      <protection locked="0"/>
    </xf>
    <xf numFmtId="0" fontId="0" fillId="0" borderId="6" xfId="0" applyBorder="1" applyProtection="1">
      <protection locked="0"/>
    </xf>
    <xf numFmtId="0" fontId="145" fillId="14" borderId="53" xfId="1" applyFont="1" applyFill="1" applyBorder="1" applyAlignment="1" applyProtection="1">
      <alignment horizontal="right"/>
      <protection locked="0"/>
    </xf>
    <xf numFmtId="0" fontId="139" fillId="0" borderId="0" xfId="0" applyFont="1" applyProtection="1">
      <protection locked="0"/>
    </xf>
    <xf numFmtId="0" fontId="0" fillId="0" borderId="31" xfId="0" applyBorder="1"/>
    <xf numFmtId="0" fontId="137" fillId="0" borderId="0" xfId="0" applyFont="1" applyBorder="1" applyAlignment="1" applyProtection="1">
      <alignment horizontal="center"/>
      <protection locked="0"/>
    </xf>
    <xf numFmtId="3" fontId="54" fillId="0" borderId="19" xfId="0" applyNumberFormat="1" applyFont="1" applyBorder="1" applyAlignment="1" applyProtection="1">
      <alignment horizontal="centerContinuous"/>
      <protection locked="0"/>
    </xf>
    <xf numFmtId="3" fontId="0" fillId="0" borderId="8" xfId="0" applyNumberFormat="1" applyBorder="1" applyProtection="1">
      <protection locked="0"/>
    </xf>
    <xf numFmtId="0" fontId="54" fillId="0" borderId="0" xfId="0" quotePrefix="1" applyFont="1" applyBorder="1" applyProtection="1">
      <protection locked="0"/>
    </xf>
    <xf numFmtId="166" fontId="1" fillId="0" borderId="0" xfId="4" applyNumberFormat="1" applyBorder="1" applyProtection="1">
      <protection locked="0"/>
    </xf>
    <xf numFmtId="166" fontId="0" fillId="0" borderId="0" xfId="0" applyNumberFormat="1" applyBorder="1" applyAlignment="1" applyProtection="1">
      <alignment horizontal="left"/>
      <protection locked="0"/>
    </xf>
    <xf numFmtId="166" fontId="0" fillId="0" borderId="45" xfId="0" applyNumberFormat="1" applyBorder="1" applyAlignment="1" applyProtection="1">
      <alignment horizontal="center"/>
      <protection locked="0"/>
    </xf>
    <xf numFmtId="0" fontId="140" fillId="0" borderId="0" xfId="0" applyFont="1" applyAlignment="1">
      <alignment horizontal="center"/>
    </xf>
    <xf numFmtId="0" fontId="140" fillId="0" borderId="0" xfId="0" applyFont="1" applyBorder="1"/>
    <xf numFmtId="0" fontId="0" fillId="0" borderId="31" xfId="0" applyBorder="1" applyAlignment="1">
      <alignment horizontal="center"/>
    </xf>
    <xf numFmtId="0" fontId="0" fillId="0" borderId="31" xfId="0" applyBorder="1" applyAlignment="1" applyProtection="1">
      <alignment horizontal="centerContinuous"/>
      <protection locked="0"/>
    </xf>
    <xf numFmtId="0" fontId="0" fillId="0" borderId="34" xfId="0" applyBorder="1" applyAlignment="1">
      <alignment horizontal="center"/>
    </xf>
    <xf numFmtId="0" fontId="0" fillId="0" borderId="34" xfId="0" applyBorder="1" applyAlignment="1" applyProtection="1">
      <alignment horizontal="centerContinuous"/>
      <protection locked="0"/>
    </xf>
    <xf numFmtId="0" fontId="0" fillId="0" borderId="34" xfId="0" applyBorder="1" applyAlignment="1">
      <alignment horizontal="centerContinuous"/>
    </xf>
    <xf numFmtId="0" fontId="145" fillId="0" borderId="0" xfId="0" applyFont="1" applyBorder="1"/>
    <xf numFmtId="0" fontId="0" fillId="0" borderId="32" xfId="0" applyBorder="1" applyAlignment="1">
      <alignment horizontal="center"/>
    </xf>
    <xf numFmtId="0" fontId="0" fillId="0" borderId="32" xfId="0" applyBorder="1"/>
    <xf numFmtId="217" fontId="0" fillId="0" borderId="32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217" fontId="1" fillId="0" borderId="32" xfId="4" applyNumberFormat="1" applyBorder="1"/>
    <xf numFmtId="217" fontId="0" fillId="0" borderId="32" xfId="0" applyNumberFormat="1" applyBorder="1" applyAlignment="1">
      <alignment horizontal="centerContinuous"/>
    </xf>
    <xf numFmtId="219" fontId="0" fillId="0" borderId="32" xfId="0" applyNumberFormat="1" applyBorder="1" applyAlignment="1">
      <alignment horizontal="center"/>
    </xf>
    <xf numFmtId="0" fontId="1" fillId="0" borderId="32" xfId="0" applyFont="1" applyBorder="1" applyAlignment="1">
      <alignment horizontal="center"/>
    </xf>
    <xf numFmtId="3" fontId="0" fillId="0" borderId="32" xfId="0" applyNumberFormat="1" applyBorder="1" applyAlignment="1">
      <alignment horizontal="centerContinuous"/>
    </xf>
    <xf numFmtId="0" fontId="1" fillId="0" borderId="0" xfId="0" applyFont="1" applyBorder="1"/>
    <xf numFmtId="0" fontId="25" fillId="0" borderId="34" xfId="0" applyFont="1" applyBorder="1" applyAlignment="1">
      <alignment horizontal="center"/>
    </xf>
    <xf numFmtId="217" fontId="25" fillId="0" borderId="32" xfId="0" applyNumberFormat="1" applyFont="1" applyBorder="1" applyAlignment="1">
      <alignment horizontal="centerContinuous"/>
    </xf>
    <xf numFmtId="3" fontId="25" fillId="0" borderId="32" xfId="0" applyNumberFormat="1" applyFont="1" applyBorder="1" applyAlignment="1">
      <alignment horizontal="centerContinuous"/>
    </xf>
    <xf numFmtId="217" fontId="0" fillId="0" borderId="32" xfId="0" applyNumberFormat="1" applyBorder="1"/>
    <xf numFmtId="0" fontId="54" fillId="0" borderId="0" xfId="0" applyFont="1" applyBorder="1"/>
    <xf numFmtId="0" fontId="54" fillId="0" borderId="45" xfId="0" applyFont="1" applyBorder="1" applyAlignment="1">
      <alignment horizontal="center"/>
    </xf>
    <xf numFmtId="217" fontId="0" fillId="0" borderId="45" xfId="0" applyNumberFormat="1" applyBorder="1"/>
    <xf numFmtId="217" fontId="54" fillId="0" borderId="45" xfId="4" applyNumberFormat="1" applyFont="1" applyBorder="1"/>
    <xf numFmtId="166" fontId="1" fillId="0" borderId="0" xfId="4" applyNumberFormat="1" applyBorder="1"/>
    <xf numFmtId="43" fontId="1" fillId="0" borderId="0" xfId="4" applyNumberFormat="1" applyBorder="1"/>
    <xf numFmtId="0" fontId="26" fillId="0" borderId="0" xfId="0" applyFont="1" applyAlignment="1">
      <alignment horizontal="centerContinuous"/>
    </xf>
    <xf numFmtId="0" fontId="54" fillId="0" borderId="0" xfId="0" applyFont="1" applyAlignment="1">
      <alignment horizontal="centerContinuous"/>
    </xf>
    <xf numFmtId="0" fontId="0" fillId="8" borderId="0" xfId="0" applyFill="1" applyAlignment="1" applyProtection="1">
      <alignment horizontal="center"/>
    </xf>
    <xf numFmtId="5" fontId="0" fillId="0" borderId="0" xfId="0" applyNumberFormat="1" applyAlignment="1" applyProtection="1">
      <alignment horizontal="center"/>
    </xf>
    <xf numFmtId="0" fontId="26" fillId="0" borderId="0" xfId="0" applyFont="1" applyProtection="1"/>
    <xf numFmtId="0" fontId="25" fillId="0" borderId="54" xfId="0" applyFont="1" applyBorder="1" applyProtection="1"/>
    <xf numFmtId="172" fontId="25" fillId="0" borderId="54" xfId="0" applyNumberFormat="1" applyFont="1" applyBorder="1" applyProtection="1"/>
    <xf numFmtId="0" fontId="6" fillId="0" borderId="55" xfId="0" applyFont="1" applyBorder="1" applyAlignment="1" applyProtection="1">
      <alignment horizontal="center"/>
    </xf>
    <xf numFmtId="172" fontId="6" fillId="0" borderId="56" xfId="0" applyNumberFormat="1" applyFont="1" applyBorder="1" applyAlignment="1" applyProtection="1">
      <alignment horizontal="center"/>
    </xf>
    <xf numFmtId="0" fontId="6" fillId="0" borderId="56" xfId="0" applyFont="1" applyBorder="1" applyAlignment="1" applyProtection="1">
      <alignment horizontal="center"/>
    </xf>
    <xf numFmtId="0" fontId="6" fillId="0" borderId="57" xfId="0" applyFont="1" applyBorder="1" applyAlignment="1" applyProtection="1">
      <alignment horizontal="center"/>
    </xf>
    <xf numFmtId="0" fontId="0" fillId="0" borderId="35" xfId="0" applyBorder="1" applyProtection="1"/>
    <xf numFmtId="0" fontId="6" fillId="0" borderId="37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58" xfId="0" applyFont="1" applyBorder="1" applyAlignment="1" applyProtection="1">
      <alignment horizontal="center"/>
    </xf>
    <xf numFmtId="0" fontId="6" fillId="0" borderId="59" xfId="0" applyFont="1" applyBorder="1" applyAlignment="1" applyProtection="1">
      <alignment horizontal="center"/>
    </xf>
    <xf numFmtId="9" fontId="6" fillId="0" borderId="59" xfId="0" applyNumberFormat="1" applyFont="1" applyBorder="1" applyAlignment="1" applyProtection="1">
      <alignment horizontal="center"/>
    </xf>
    <xf numFmtId="9" fontId="6" fillId="0" borderId="0" xfId="0" applyNumberFormat="1" applyFont="1" applyBorder="1" applyAlignment="1" applyProtection="1">
      <alignment horizontal="center"/>
    </xf>
    <xf numFmtId="0" fontId="6" fillId="0" borderId="29" xfId="0" applyFont="1" applyBorder="1" applyAlignment="1" applyProtection="1">
      <alignment horizontal="center"/>
    </xf>
    <xf numFmtId="0" fontId="0" fillId="0" borderId="29" xfId="0" applyBorder="1" applyProtection="1"/>
    <xf numFmtId="0" fontId="6" fillId="0" borderId="0" xfId="0" applyFont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72" fontId="6" fillId="0" borderId="59" xfId="0" applyNumberFormat="1" applyFont="1" applyBorder="1" applyAlignment="1" applyProtection="1">
      <alignment horizontal="center"/>
    </xf>
    <xf numFmtId="0" fontId="154" fillId="0" borderId="29" xfId="0" applyFont="1" applyBorder="1" applyAlignment="1" applyProtection="1">
      <alignment horizontal="center"/>
    </xf>
    <xf numFmtId="0" fontId="6" fillId="0" borderId="60" xfId="0" applyFont="1" applyBorder="1" applyAlignment="1" applyProtection="1">
      <alignment horizontal="center"/>
    </xf>
    <xf numFmtId="10" fontId="155" fillId="8" borderId="61" xfId="24" applyNumberFormat="1" applyFont="1" applyFill="1" applyBorder="1" applyAlignment="1" applyProtection="1">
      <alignment horizontal="center"/>
    </xf>
    <xf numFmtId="44" fontId="155" fillId="8" borderId="61" xfId="5" applyFont="1" applyFill="1" applyBorder="1" applyAlignment="1" applyProtection="1">
      <alignment horizontal="center"/>
    </xf>
    <xf numFmtId="10" fontId="155" fillId="8" borderId="14" xfId="24" applyNumberFormat="1" applyFont="1" applyFill="1" applyBorder="1" applyAlignment="1" applyProtection="1">
      <alignment horizontal="center"/>
    </xf>
    <xf numFmtId="10" fontId="156" fillId="8" borderId="30" xfId="24" applyNumberFormat="1" applyFont="1" applyFill="1" applyBorder="1" applyAlignment="1" applyProtection="1">
      <alignment horizontal="center"/>
    </xf>
    <xf numFmtId="10" fontId="155" fillId="8" borderId="0" xfId="24" applyNumberFormat="1" applyFont="1" applyFill="1" applyBorder="1" applyAlignment="1" applyProtection="1">
      <alignment horizontal="center"/>
    </xf>
    <xf numFmtId="172" fontId="6" fillId="0" borderId="0" xfId="0" applyNumberFormat="1" applyFont="1" applyBorder="1" applyAlignment="1" applyProtection="1">
      <alignment horizontal="center"/>
    </xf>
    <xf numFmtId="0" fontId="0" fillId="0" borderId="30" xfId="0" applyBorder="1" applyProtection="1"/>
    <xf numFmtId="0" fontId="157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172" fontId="6" fillId="0" borderId="3" xfId="0" applyNumberFormat="1" applyFont="1" applyBorder="1" applyAlignment="1" applyProtection="1">
      <alignment horizontal="center"/>
    </xf>
    <xf numFmtId="0" fontId="0" fillId="0" borderId="3" xfId="0" applyBorder="1" applyProtection="1"/>
    <xf numFmtId="0" fontId="0" fillId="0" borderId="3" xfId="0" applyBorder="1" applyAlignment="1" applyProtection="1">
      <alignment horizontal="left"/>
    </xf>
    <xf numFmtId="39" fontId="158" fillId="8" borderId="3" xfId="0" applyNumberFormat="1" applyFont="1" applyFill="1" applyBorder="1" applyProtection="1"/>
    <xf numFmtId="172" fontId="25" fillId="0" borderId="3" xfId="0" applyNumberFormat="1" applyFont="1" applyBorder="1" applyProtection="1"/>
    <xf numFmtId="166" fontId="25" fillId="0" borderId="3" xfId="4" applyNumberFormat="1" applyFont="1" applyBorder="1" applyProtection="1"/>
    <xf numFmtId="3" fontId="0" fillId="0" borderId="0" xfId="0" applyNumberFormat="1" applyBorder="1" applyAlignment="1">
      <alignment horizontal="center"/>
    </xf>
    <xf numFmtId="44" fontId="1" fillId="0" borderId="8" xfId="5" applyBorder="1" applyAlignment="1">
      <alignment horizontal="center"/>
    </xf>
    <xf numFmtId="0" fontId="159" fillId="0" borderId="3" xfId="0" applyFont="1" applyBorder="1" applyAlignment="1" applyProtection="1">
      <alignment horizontal="left"/>
    </xf>
    <xf numFmtId="39" fontId="158" fillId="8" borderId="0" xfId="0" applyNumberFormat="1" applyFont="1" applyFill="1" applyProtection="1"/>
    <xf numFmtId="39" fontId="25" fillId="0" borderId="0" xfId="0" applyNumberFormat="1" applyFont="1" applyProtection="1"/>
    <xf numFmtId="39" fontId="0" fillId="0" borderId="0" xfId="0" applyNumberFormat="1" applyProtection="1"/>
    <xf numFmtId="0" fontId="0" fillId="0" borderId="0" xfId="0" applyNumberFormat="1" applyProtection="1"/>
    <xf numFmtId="3" fontId="0" fillId="0" borderId="0" xfId="0" applyNumberFormat="1" applyBorder="1"/>
    <xf numFmtId="44" fontId="1" fillId="0" borderId="8" xfId="5" applyBorder="1"/>
    <xf numFmtId="10" fontId="25" fillId="0" borderId="0" xfId="24" applyNumberFormat="1" applyFont="1" applyProtection="1"/>
    <xf numFmtId="0" fontId="6" fillId="0" borderId="35" xfId="0" applyFont="1" applyBorder="1" applyAlignment="1" applyProtection="1">
      <alignment horizontal="center"/>
    </xf>
    <xf numFmtId="10" fontId="6" fillId="0" borderId="59" xfId="24" applyNumberFormat="1" applyFont="1" applyBorder="1" applyAlignment="1" applyProtection="1">
      <alignment horizontal="center"/>
    </xf>
    <xf numFmtId="44" fontId="6" fillId="0" borderId="59" xfId="24" applyNumberFormat="1" applyFont="1" applyBorder="1" applyAlignment="1" applyProtection="1">
      <alignment horizontal="center"/>
    </xf>
    <xf numFmtId="172" fontId="6" fillId="0" borderId="30" xfId="0" applyNumberFormat="1" applyFont="1" applyBorder="1" applyAlignment="1" applyProtection="1">
      <alignment horizontal="center"/>
    </xf>
    <xf numFmtId="39" fontId="25" fillId="0" borderId="3" xfId="0" applyNumberFormat="1" applyFont="1" applyBorder="1" applyProtection="1"/>
    <xf numFmtId="0" fontId="0" fillId="0" borderId="19" xfId="0" applyBorder="1"/>
    <xf numFmtId="0" fontId="0" fillId="0" borderId="6" xfId="0" applyBorder="1"/>
    <xf numFmtId="44" fontId="0" fillId="0" borderId="45" xfId="0" applyNumberFormat="1" applyBorder="1"/>
    <xf numFmtId="10" fontId="0" fillId="0" borderId="0" xfId="0" applyNumberFormat="1"/>
    <xf numFmtId="14" fontId="81" fillId="0" borderId="0" xfId="0" applyNumberFormat="1" applyFont="1" applyProtection="1">
      <protection locked="0"/>
    </xf>
    <xf numFmtId="0" fontId="160" fillId="14" borderId="46" xfId="0" applyFont="1" applyFill="1" applyBorder="1" applyProtection="1">
      <protection locked="0"/>
    </xf>
    <xf numFmtId="0" fontId="160" fillId="14" borderId="47" xfId="0" applyFont="1" applyFill="1" applyBorder="1" applyProtection="1">
      <protection locked="0"/>
    </xf>
    <xf numFmtId="0" fontId="160" fillId="14" borderId="48" xfId="0" applyFont="1" applyFill="1" applyBorder="1" applyProtection="1">
      <protection locked="0"/>
    </xf>
    <xf numFmtId="0" fontId="161" fillId="0" borderId="0" xfId="0" applyFont="1" applyAlignment="1" applyProtection="1">
      <alignment horizontal="left"/>
      <protection locked="0"/>
    </xf>
    <xf numFmtId="0" fontId="81" fillId="0" borderId="0" xfId="0" applyFont="1" applyAlignment="1" applyProtection="1">
      <alignment horizontal="center"/>
      <protection locked="0"/>
    </xf>
    <xf numFmtId="3" fontId="162" fillId="4" borderId="7" xfId="0" applyNumberFormat="1" applyFont="1" applyFill="1" applyBorder="1" applyAlignment="1" applyProtection="1">
      <alignment horizontal="left"/>
      <protection locked="0"/>
    </xf>
    <xf numFmtId="0" fontId="81" fillId="4" borderId="7" xfId="0" applyFont="1" applyFill="1" applyBorder="1" applyAlignment="1" applyProtection="1">
      <alignment horizontal="centerContinuous"/>
      <protection locked="0"/>
    </xf>
    <xf numFmtId="0" fontId="153" fillId="4" borderId="7" xfId="1" applyFont="1" applyFill="1" applyBorder="1" applyAlignment="1" applyProtection="1">
      <alignment horizontal="centerContinuous"/>
      <protection locked="0"/>
    </xf>
    <xf numFmtId="0" fontId="163" fillId="0" borderId="0" xfId="1" applyFont="1" applyProtection="1">
      <protection locked="0"/>
    </xf>
    <xf numFmtId="0" fontId="162" fillId="4" borderId="19" xfId="0" applyFont="1" applyFill="1" applyBorder="1" applyProtection="1">
      <protection locked="0"/>
    </xf>
    <xf numFmtId="0" fontId="81" fillId="4" borderId="6" xfId="0" applyFont="1" applyFill="1" applyBorder="1" applyProtection="1">
      <protection locked="0"/>
    </xf>
    <xf numFmtId="0" fontId="153" fillId="4" borderId="6" xfId="1" applyFont="1" applyFill="1" applyBorder="1" applyAlignment="1" applyProtection="1">
      <alignment horizontal="right"/>
      <protection locked="0"/>
    </xf>
    <xf numFmtId="0" fontId="153" fillId="4" borderId="49" xfId="1" applyFont="1" applyFill="1" applyBorder="1" applyAlignment="1" applyProtection="1">
      <alignment horizontal="left"/>
      <protection locked="0"/>
    </xf>
    <xf numFmtId="0" fontId="163" fillId="4" borderId="23" xfId="1" applyFont="1" applyFill="1" applyBorder="1" applyProtection="1">
      <protection locked="0"/>
    </xf>
    <xf numFmtId="0" fontId="153" fillId="4" borderId="50" xfId="1" applyFont="1" applyFill="1" applyBorder="1" applyAlignment="1" applyProtection="1">
      <alignment horizontal="right"/>
      <protection locked="0"/>
    </xf>
    <xf numFmtId="3" fontId="153" fillId="4" borderId="45" xfId="1" applyNumberFormat="1" applyFont="1" applyFill="1" applyBorder="1" applyProtection="1">
      <protection locked="0"/>
    </xf>
    <xf numFmtId="166" fontId="81" fillId="0" borderId="8" xfId="4" applyNumberFormat="1" applyFont="1" applyBorder="1" applyProtection="1">
      <protection locked="0"/>
    </xf>
    <xf numFmtId="166" fontId="81" fillId="0" borderId="0" xfId="4" applyNumberFormat="1" applyFont="1" applyProtection="1">
      <protection locked="0"/>
    </xf>
    <xf numFmtId="0" fontId="153" fillId="4" borderId="52" xfId="1" applyFont="1" applyFill="1" applyBorder="1" applyAlignment="1" applyProtection="1">
      <alignment horizontal="left"/>
      <protection locked="0"/>
    </xf>
    <xf numFmtId="0" fontId="163" fillId="4" borderId="17" xfId="1" applyFont="1" applyFill="1" applyBorder="1" applyProtection="1">
      <protection locked="0"/>
    </xf>
    <xf numFmtId="0" fontId="153" fillId="4" borderId="21" xfId="1" applyFont="1" applyFill="1" applyBorder="1" applyAlignment="1" applyProtection="1">
      <alignment horizontal="right"/>
      <protection locked="0"/>
    </xf>
    <xf numFmtId="9" fontId="81" fillId="0" borderId="8" xfId="24" applyFont="1" applyBorder="1" applyProtection="1">
      <protection locked="0"/>
    </xf>
    <xf numFmtId="9" fontId="81" fillId="0" borderId="8" xfId="0" applyNumberFormat="1" applyFont="1" applyBorder="1" applyProtection="1">
      <protection locked="0"/>
    </xf>
    <xf numFmtId="38" fontId="81" fillId="8" borderId="45" xfId="0" applyNumberFormat="1" applyFont="1" applyFill="1" applyBorder="1" applyProtection="1">
      <protection locked="0"/>
    </xf>
    <xf numFmtId="6" fontId="81" fillId="0" borderId="0" xfId="0" applyNumberFormat="1" applyFont="1" applyAlignment="1" applyProtection="1">
      <alignment horizontal="left"/>
      <protection locked="0"/>
    </xf>
    <xf numFmtId="0" fontId="142" fillId="0" borderId="0" xfId="0" applyFont="1" applyBorder="1" applyProtection="1">
      <protection locked="0"/>
    </xf>
    <xf numFmtId="3" fontId="163" fillId="0" borderId="0" xfId="1" applyNumberFormat="1" applyFont="1" applyProtection="1">
      <protection locked="0"/>
    </xf>
    <xf numFmtId="0" fontId="153" fillId="4" borderId="62" xfId="1" applyFont="1" applyFill="1" applyBorder="1" applyAlignment="1" applyProtection="1">
      <alignment horizontal="left"/>
      <protection locked="0"/>
    </xf>
    <xf numFmtId="0" fontId="163" fillId="4" borderId="3" xfId="1" applyFont="1" applyFill="1" applyBorder="1" applyProtection="1">
      <protection locked="0"/>
    </xf>
    <xf numFmtId="0" fontId="153" fillId="4" borderId="51" xfId="1" applyFont="1" applyFill="1" applyBorder="1" applyAlignment="1" applyProtection="1">
      <alignment horizontal="right"/>
      <protection locked="0"/>
    </xf>
    <xf numFmtId="44" fontId="81" fillId="0" borderId="8" xfId="5" applyFont="1" applyBorder="1" applyProtection="1">
      <protection locked="0"/>
    </xf>
    <xf numFmtId="6" fontId="81" fillId="0" borderId="8" xfId="0" applyNumberFormat="1" applyFont="1" applyBorder="1" applyProtection="1">
      <protection locked="0"/>
    </xf>
    <xf numFmtId="0" fontId="153" fillId="14" borderId="53" xfId="1" applyFont="1" applyFill="1" applyBorder="1" applyAlignment="1" applyProtection="1">
      <alignment horizontal="right"/>
      <protection locked="0"/>
    </xf>
    <xf numFmtId="0" fontId="142" fillId="0" borderId="9" xfId="0" applyFont="1" applyBorder="1" applyProtection="1">
      <protection locked="0"/>
    </xf>
    <xf numFmtId="0" fontId="81" fillId="0" borderId="19" xfId="0" applyFont="1" applyBorder="1" applyProtection="1">
      <protection locked="0"/>
    </xf>
    <xf numFmtId="0" fontId="81" fillId="0" borderId="6" xfId="0" applyFont="1" applyBorder="1" applyProtection="1">
      <protection locked="0"/>
    </xf>
    <xf numFmtId="41" fontId="81" fillId="0" borderId="0" xfId="0" applyNumberFormat="1" applyFont="1" applyAlignment="1" applyProtection="1">
      <alignment horizontal="right"/>
      <protection locked="0"/>
    </xf>
    <xf numFmtId="0" fontId="163" fillId="0" borderId="0" xfId="0" applyFont="1" applyProtection="1">
      <protection locked="0"/>
    </xf>
    <xf numFmtId="3" fontId="164" fillId="0" borderId="0" xfId="0" applyNumberFormat="1" applyFont="1" applyAlignment="1">
      <alignment horizontal="center"/>
    </xf>
    <xf numFmtId="0" fontId="165" fillId="0" borderId="0" xfId="0" applyFont="1" applyAlignment="1">
      <alignment horizontal="center"/>
    </xf>
    <xf numFmtId="0" fontId="165" fillId="0" borderId="22" xfId="0" applyFont="1" applyBorder="1"/>
    <xf numFmtId="0" fontId="0" fillId="0" borderId="7" xfId="0" applyBorder="1"/>
    <xf numFmtId="0" fontId="165" fillId="0" borderId="45" xfId="0" applyFont="1" applyBorder="1" applyAlignment="1">
      <alignment horizontal="center"/>
    </xf>
    <xf numFmtId="0" fontId="165" fillId="0" borderId="7" xfId="0" applyFont="1" applyBorder="1"/>
    <xf numFmtId="0" fontId="165" fillId="0" borderId="9" xfId="0" applyFont="1" applyBorder="1"/>
    <xf numFmtId="217" fontId="166" fillId="0" borderId="0" xfId="0" applyNumberFormat="1" applyFont="1" applyBorder="1" applyAlignment="1">
      <alignment horizontal="right"/>
    </xf>
    <xf numFmtId="0" fontId="152" fillId="0" borderId="0" xfId="0" applyFont="1" applyBorder="1"/>
    <xf numFmtId="0" fontId="150" fillId="0" borderId="0" xfId="0" applyFont="1" applyBorder="1"/>
    <xf numFmtId="217" fontId="166" fillId="0" borderId="0" xfId="0" applyNumberFormat="1" applyFont="1" applyBorder="1" applyAlignment="1"/>
    <xf numFmtId="219" fontId="166" fillId="0" borderId="63" xfId="0" applyNumberFormat="1" applyFont="1" applyBorder="1" applyAlignment="1">
      <alignment horizontal="center"/>
    </xf>
    <xf numFmtId="0" fontId="26" fillId="0" borderId="9" xfId="0" applyFont="1" applyBorder="1"/>
    <xf numFmtId="217" fontId="0" fillId="0" borderId="0" xfId="0" applyNumberFormat="1" applyBorder="1" applyAlignment="1">
      <alignment horizontal="center"/>
    </xf>
    <xf numFmtId="217" fontId="26" fillId="0" borderId="30" xfId="0" applyNumberFormat="1" applyFont="1" applyBorder="1" applyAlignment="1">
      <alignment horizontal="center"/>
    </xf>
    <xf numFmtId="217" fontId="0" fillId="0" borderId="7" xfId="0" applyNumberFormat="1" applyBorder="1" applyAlignment="1">
      <alignment horizontal="center"/>
    </xf>
    <xf numFmtId="0" fontId="54" fillId="0" borderId="9" xfId="18" applyNumberFormat="1" applyFont="1" applyBorder="1"/>
    <xf numFmtId="0" fontId="1" fillId="0" borderId="0" xfId="18" applyNumberFormat="1" applyBorder="1" applyAlignment="1">
      <alignment horizontal="center"/>
    </xf>
    <xf numFmtId="0" fontId="1" fillId="0" borderId="0" xfId="18" applyNumberFormat="1" applyBorder="1"/>
    <xf numFmtId="6" fontId="6" fillId="11" borderId="3" xfId="18" applyNumberFormat="1" applyFont="1" applyFill="1" applyBorder="1" applyAlignment="1">
      <alignment horizontal="right"/>
    </xf>
    <xf numFmtId="0" fontId="6" fillId="0" borderId="0" xfId="18" applyNumberFormat="1" applyFont="1" applyBorder="1" applyAlignment="1">
      <alignment horizontal="center"/>
    </xf>
    <xf numFmtId="217" fontId="0" fillId="0" borderId="0" xfId="0" applyNumberFormat="1" applyBorder="1" applyAlignment="1">
      <alignment horizontal="left"/>
    </xf>
    <xf numFmtId="0" fontId="6" fillId="0" borderId="0" xfId="18" applyNumberFormat="1" applyFont="1" applyBorder="1" applyAlignment="1">
      <alignment horizontal="left"/>
    </xf>
    <xf numFmtId="6" fontId="167" fillId="11" borderId="3" xfId="18" applyNumberFormat="1" applyFont="1" applyFill="1" applyBorder="1" applyAlignment="1">
      <alignment horizontal="right"/>
    </xf>
    <xf numFmtId="0" fontId="25" fillId="0" borderId="0" xfId="18" applyNumberFormat="1" applyFont="1" applyBorder="1" applyAlignment="1">
      <alignment horizontal="left"/>
    </xf>
    <xf numFmtId="0" fontId="0" fillId="0" borderId="9" xfId="0" applyBorder="1" applyAlignment="1">
      <alignment horizontal="right"/>
    </xf>
    <xf numFmtId="9" fontId="6" fillId="0" borderId="0" xfId="0" applyNumberFormat="1" applyFont="1" applyBorder="1"/>
    <xf numFmtId="0" fontId="6" fillId="0" borderId="16" xfId="0" applyFont="1" applyBorder="1" applyAlignment="1">
      <alignment horizontal="center"/>
    </xf>
    <xf numFmtId="0" fontId="6" fillId="0" borderId="21" xfId="0" applyFont="1" applyBorder="1"/>
    <xf numFmtId="3" fontId="0" fillId="0" borderId="3" xfId="0" applyNumberFormat="1" applyBorder="1" applyAlignment="1">
      <alignment horizontal="center"/>
    </xf>
    <xf numFmtId="217" fontId="0" fillId="0" borderId="3" xfId="0" applyNumberFormat="1" applyBorder="1" applyAlignment="1">
      <alignment horizontal="center"/>
    </xf>
    <xf numFmtId="0" fontId="168" fillId="0" borderId="9" xfId="0" applyFont="1" applyBorder="1" applyAlignment="1">
      <alignment horizontal="right"/>
    </xf>
    <xf numFmtId="217" fontId="168" fillId="0" borderId="0" xfId="0" applyNumberFormat="1" applyFont="1" applyBorder="1" applyAlignment="1">
      <alignment horizontal="center"/>
    </xf>
    <xf numFmtId="217" fontId="6" fillId="0" borderId="45" xfId="0" applyNumberFormat="1" applyFont="1" applyBorder="1"/>
    <xf numFmtId="0" fontId="169" fillId="0" borderId="9" xfId="0" applyFont="1" applyBorder="1"/>
    <xf numFmtId="217" fontId="0" fillId="0" borderId="8" xfId="0" applyNumberFormat="1" applyBorder="1"/>
    <xf numFmtId="0" fontId="165" fillId="0" borderId="34" xfId="0" applyFont="1" applyBorder="1" applyAlignment="1">
      <alignment horizontal="center"/>
    </xf>
    <xf numFmtId="0" fontId="165" fillId="0" borderId="0" xfId="0" applyFont="1" applyBorder="1"/>
    <xf numFmtId="217" fontId="166" fillId="0" borderId="63" xfId="0" applyNumberFormat="1" applyFont="1" applyBorder="1" applyAlignment="1">
      <alignment horizontal="center"/>
    </xf>
    <xf numFmtId="0" fontId="26" fillId="0" borderId="22" xfId="0" applyFont="1" applyBorder="1"/>
    <xf numFmtId="217" fontId="26" fillId="0" borderId="7" xfId="0" applyNumberFormat="1" applyFont="1" applyBorder="1" applyAlignment="1">
      <alignment horizontal="center"/>
    </xf>
    <xf numFmtId="193" fontId="40" fillId="8" borderId="0" xfId="4" applyNumberFormat="1" applyFont="1" applyFill="1" applyBorder="1"/>
    <xf numFmtId="37" fontId="3" fillId="0" borderId="0" xfId="0" applyNumberFormat="1" applyFont="1"/>
    <xf numFmtId="172" fontId="11" fillId="0" borderId="0" xfId="0" applyNumberFormat="1" applyFont="1"/>
    <xf numFmtId="0" fontId="0" fillId="0" borderId="12" xfId="0" applyBorder="1"/>
    <xf numFmtId="166" fontId="11" fillId="0" borderId="13" xfId="4" applyNumberFormat="1" applyFont="1" applyBorder="1"/>
    <xf numFmtId="43" fontId="3" fillId="0" borderId="0" xfId="0" applyNumberFormat="1" applyFont="1" applyBorder="1"/>
    <xf numFmtId="0" fontId="10" fillId="10" borderId="9" xfId="0" applyFont="1" applyFill="1" applyBorder="1"/>
    <xf numFmtId="0" fontId="2" fillId="10" borderId="0" xfId="0" applyFont="1" applyFill="1" applyBorder="1"/>
    <xf numFmtId="10" fontId="10" fillId="10" borderId="0" xfId="24" applyNumberFormat="1" applyFont="1" applyFill="1" applyBorder="1" applyAlignment="1">
      <alignment horizontal="center"/>
    </xf>
    <xf numFmtId="9" fontId="3" fillId="0" borderId="0" xfId="24" applyFont="1" applyBorder="1"/>
    <xf numFmtId="9" fontId="3" fillId="0" borderId="6" xfId="24" applyFont="1" applyBorder="1"/>
    <xf numFmtId="9" fontId="3" fillId="0" borderId="6" xfId="0" applyNumberFormat="1" applyFont="1" applyBorder="1"/>
    <xf numFmtId="9" fontId="2" fillId="0" borderId="7" xfId="0" applyNumberFormat="1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0" fillId="0" borderId="15" xfId="0" applyBorder="1"/>
    <xf numFmtId="10" fontId="3" fillId="0" borderId="15" xfId="0" applyNumberFormat="1" applyFont="1" applyBorder="1"/>
    <xf numFmtId="0" fontId="3" fillId="0" borderId="13" xfId="0" applyFont="1" applyBorder="1"/>
    <xf numFmtId="9" fontId="2" fillId="0" borderId="20" xfId="0" applyNumberFormat="1" applyFont="1" applyBorder="1" applyAlignment="1">
      <alignment horizontal="centerContinuous"/>
    </xf>
    <xf numFmtId="10" fontId="3" fillId="0" borderId="8" xfId="0" applyNumberFormat="1" applyFont="1" applyBorder="1"/>
    <xf numFmtId="10" fontId="3" fillId="0" borderId="64" xfId="0" applyNumberFormat="1" applyFont="1" applyBorder="1"/>
    <xf numFmtId="10" fontId="3" fillId="0" borderId="18" xfId="0" applyNumberFormat="1" applyFont="1" applyBorder="1"/>
    <xf numFmtId="9" fontId="2" fillId="0" borderId="65" xfId="0" applyNumberFormat="1" applyFont="1" applyBorder="1" applyAlignment="1">
      <alignment horizontal="centerContinuous"/>
    </xf>
    <xf numFmtId="40" fontId="10" fillId="0" borderId="0" xfId="0" applyNumberFormat="1" applyFont="1" applyFill="1" applyBorder="1"/>
    <xf numFmtId="0" fontId="7" fillId="0" borderId="9" xfId="20" applyNumberFormat="1" applyFont="1" applyBorder="1" applyAlignment="1"/>
    <xf numFmtId="0" fontId="0" fillId="0" borderId="0" xfId="0" applyBorder="1" applyAlignment="1"/>
    <xf numFmtId="0" fontId="7" fillId="0" borderId="19" xfId="20" applyNumberFormat="1" applyFont="1" applyBorder="1" applyAlignment="1"/>
    <xf numFmtId="0" fontId="0" fillId="0" borderId="6" xfId="0" applyBorder="1" applyAlignment="1"/>
    <xf numFmtId="0" fontId="67" fillId="4" borderId="22" xfId="20" applyNumberFormat="1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22" xfId="20" applyNumberFormat="1" applyFont="1" applyBorder="1" applyAlignment="1"/>
    <xf numFmtId="0" fontId="0" fillId="0" borderId="7" xfId="0" applyBorder="1" applyAlignment="1"/>
    <xf numFmtId="0" fontId="134" fillId="0" borderId="0" xfId="0" applyFont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3" fontId="140" fillId="0" borderId="0" xfId="0" applyNumberFormat="1" applyFont="1" applyAlignment="1" applyProtection="1">
      <alignment horizontal="center"/>
      <protection locked="0"/>
    </xf>
    <xf numFmtId="0" fontId="81" fillId="0" borderId="0" xfId="0" applyFont="1" applyAlignment="1" applyProtection="1">
      <alignment wrapText="1"/>
      <protection locked="0"/>
    </xf>
    <xf numFmtId="0" fontId="25" fillId="0" borderId="0" xfId="0" applyFont="1" applyAlignment="1" applyProtection="1">
      <alignment wrapText="1"/>
    </xf>
    <xf numFmtId="0" fontId="0" fillId="0" borderId="0" xfId="0" applyAlignment="1">
      <alignment wrapText="1"/>
    </xf>
    <xf numFmtId="3" fontId="54" fillId="0" borderId="25" xfId="0" applyNumberFormat="1" applyFont="1" applyBorder="1" applyAlignment="1" applyProtection="1">
      <alignment horizontal="center"/>
      <protection locked="0"/>
    </xf>
    <xf numFmtId="3" fontId="54" fillId="0" borderId="26" xfId="0" applyNumberFormat="1" applyFont="1" applyBorder="1" applyAlignment="1" applyProtection="1">
      <alignment horizontal="center"/>
      <protection locked="0"/>
    </xf>
    <xf numFmtId="3" fontId="54" fillId="0" borderId="27" xfId="0" applyNumberFormat="1" applyFont="1" applyBorder="1" applyAlignment="1" applyProtection="1">
      <alignment horizontal="center"/>
      <protection locked="0"/>
    </xf>
    <xf numFmtId="3" fontId="140" fillId="0" borderId="0" xfId="0" applyNumberFormat="1" applyFont="1" applyAlignment="1" applyProtection="1">
      <alignment horizontal="center"/>
    </xf>
    <xf numFmtId="0" fontId="6" fillId="0" borderId="7" xfId="0" applyFont="1" applyBorder="1" applyAlignment="1">
      <alignment horizontal="center"/>
    </xf>
    <xf numFmtId="3" fontId="164" fillId="0" borderId="0" xfId="0" applyNumberFormat="1" applyFont="1" applyAlignment="1">
      <alignment horizontal="center"/>
    </xf>
    <xf numFmtId="0" fontId="165" fillId="0" borderId="0" xfId="0" applyFont="1" applyBorder="1" applyAlignment="1">
      <alignment horizontal="right"/>
    </xf>
    <xf numFmtId="0" fontId="165" fillId="0" borderId="0" xfId="0" applyFont="1" applyAlignment="1">
      <alignment horizontal="center"/>
    </xf>
    <xf numFmtId="0" fontId="165" fillId="0" borderId="7" xfId="0" applyFont="1" applyBorder="1" applyAlignment="1">
      <alignment horizontal="right"/>
    </xf>
    <xf numFmtId="0" fontId="165" fillId="0" borderId="25" xfId="0" applyFont="1" applyBorder="1" applyAlignment="1">
      <alignment horizontal="center"/>
    </xf>
    <xf numFmtId="0" fontId="165" fillId="0" borderId="26" xfId="0" applyFont="1" applyBorder="1" applyAlignment="1">
      <alignment horizontal="center"/>
    </xf>
    <xf numFmtId="0" fontId="165" fillId="0" borderId="27" xfId="0" applyFont="1" applyBorder="1" applyAlignment="1">
      <alignment horizontal="center"/>
    </xf>
  </cellXfs>
  <cellStyles count="36">
    <cellStyle name="??_?.????" xfId="2"/>
    <cellStyle name="Actual Date" xfId="3"/>
    <cellStyle name="Comma" xfId="4" builtinId="3"/>
    <cellStyle name="Currency" xfId="5" builtinId="4"/>
    <cellStyle name="Date" xfId="6"/>
    <cellStyle name="Dezimal [0]_Compiling Utility Macros" xfId="7"/>
    <cellStyle name="Dezimal_Compiling Utility Macros" xfId="8"/>
    <cellStyle name="Fixed" xfId="9"/>
    <cellStyle name="Grey" xfId="10"/>
    <cellStyle name="HEADER" xfId="11"/>
    <cellStyle name="Heading1" xfId="12"/>
    <cellStyle name="Heading2" xfId="13"/>
    <cellStyle name="HIGHLIGHT" xfId="14"/>
    <cellStyle name="Input [yellow]" xfId="15"/>
    <cellStyle name="no dec" xfId="16"/>
    <cellStyle name="Normal" xfId="0" builtinId="0"/>
    <cellStyle name="Normal - Style1" xfId="17"/>
    <cellStyle name="Normal_9FA MR x 2" xfId="18"/>
    <cellStyle name="Normal_cf0402_ndf" xfId="19"/>
    <cellStyle name="Normal_CFTEST49" xfId="20"/>
    <cellStyle name="Normal_Curve_Economics" xfId="21"/>
    <cellStyle name="Normal_H" xfId="22"/>
    <cellStyle name="Normal_YUCATAN5" xfId="23"/>
    <cellStyle name="Percent" xfId="24" builtinId="5"/>
    <cellStyle name="Percent [2]" xfId="25"/>
    <cellStyle name="RowLevel_2" xfId="1" builtinId="1" iLevel="1"/>
    <cellStyle name="Standard_Anpassen der Amortisation" xfId="26"/>
    <cellStyle name="Total" xfId="27" builtinId="25" customBuiltin="1"/>
    <cellStyle name="uk" xfId="28"/>
    <cellStyle name="Un" xfId="29"/>
    <cellStyle name="Unprot" xfId="30"/>
    <cellStyle name="Unprot$" xfId="31"/>
    <cellStyle name="Unprot_CurrencySKorea" xfId="32"/>
    <cellStyle name="Unprotect" xfId="33"/>
    <cellStyle name="Währung [0]_Compiling Utility Macros" xfId="34"/>
    <cellStyle name="Währung_Compiling Utility Macros" xfId="3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Drop" dropLines="4" dropStyle="combo" dx="22" fmlaLink="$B$17" fmlaRange="$B$19:$B$22" noThreeD="1" sel="3" val="0"/>
</file>

<file path=xl/ctrlProps/ctrlProp2.xml><?xml version="1.0" encoding="utf-8"?>
<formControlPr xmlns="http://schemas.microsoft.com/office/spreadsheetml/2009/9/main" objectType="Drop" dropStyle="combo" dx="22" fmlaLink="$C$17" fmlaRange="$C$19:$C$20" noThreeD="1" sel="1" val="0"/>
</file>

<file path=xl/ctrlProps/ctrlProp3.xml><?xml version="1.0" encoding="utf-8"?>
<formControlPr xmlns="http://schemas.microsoft.com/office/spreadsheetml/2009/9/main" objectType="Drop" dropLines="2" dropStyle="combo" dx="22" fmlaLink="$D$17" fmlaRange="$D$19:$D$20" noThreeD="1" sel="2" val="0"/>
</file>

<file path=xl/ctrlProps/ctrlProp4.xml><?xml version="1.0" encoding="utf-8"?>
<formControlPr xmlns="http://schemas.microsoft.com/office/spreadsheetml/2009/9/main" objectType="Drop" dropLines="3" dropStyle="combo" dx="22" fmlaLink="$E$17" fmlaRange="$E$19:$E$21" noThreeD="1" sel="1" val="0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47625</xdr:rowOff>
        </xdr:from>
        <xdr:to>
          <xdr:col>1</xdr:col>
          <xdr:colOff>1552575</xdr:colOff>
          <xdr:row>6</xdr:row>
          <xdr:rowOff>47625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98D17B-08C9-DFB2-070E-F81363E8DE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9525</xdr:rowOff>
        </xdr:from>
        <xdr:to>
          <xdr:col>1</xdr:col>
          <xdr:colOff>1543050</xdr:colOff>
          <xdr:row>9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5678539-0FD4-B6E3-945C-254AF9E7B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190500</xdr:rowOff>
        </xdr:from>
        <xdr:to>
          <xdr:col>1</xdr:col>
          <xdr:colOff>1543050</xdr:colOff>
          <xdr:row>11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BED2AFF-3C63-BDE8-6C66-3B63BC3F63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180975</xdr:rowOff>
        </xdr:from>
        <xdr:to>
          <xdr:col>1</xdr:col>
          <xdr:colOff>1543050</xdr:colOff>
          <xdr:row>12</xdr:row>
          <xdr:rowOff>190500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508551D-C400-55E0-1AAB-388EE9656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533400</xdr:colOff>
          <xdr:row>1</xdr:row>
          <xdr:rowOff>57150</xdr:rowOff>
        </xdr:from>
        <xdr:to>
          <xdr:col>9</xdr:col>
          <xdr:colOff>552450</xdr:colOff>
          <xdr:row>4</xdr:row>
          <xdr:rowOff>76200</xdr:rowOff>
        </xdr:to>
        <xdr:sp macro="" textlink="">
          <xdr:nvSpPr>
            <xdr:cNvPr id="28674" name="Button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D262492E-AEB6-C63E-9E18-7B9BBB612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Calculate Return Matrix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lano_O&amp;M%20estimate_6xLM6000_Rev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Scope"/>
      <sheetName val="Assumptions"/>
      <sheetName val="Map"/>
      <sheetName val="Summary"/>
      <sheetName val="Mob_Estimate"/>
      <sheetName val="Mob_Schedule"/>
      <sheetName val="Mob_Staffing"/>
      <sheetName val="Training"/>
      <sheetName val="ScopeSplit"/>
      <sheetName val="Mob_Backup"/>
      <sheetName val="O&amp;M_Estimate"/>
      <sheetName val="Plt_Staff"/>
      <sheetName val="Pay &amp; Benefits Calculations"/>
      <sheetName val="O&amp;M_Backup"/>
      <sheetName val="LM6000PC_MMR_Gas"/>
    </sheetNames>
    <sheetDataSet>
      <sheetData sheetId="0">
        <row r="1">
          <cell r="A1" t="str">
            <v>Plano, Illinois 6 x LM6000 Power Project, Rev 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2:X38"/>
  <sheetViews>
    <sheetView topLeftCell="A12" zoomScale="75" workbookViewId="0">
      <selection activeCell="F30" sqref="F30"/>
    </sheetView>
  </sheetViews>
  <sheetFormatPr defaultRowHeight="12.75"/>
  <cols>
    <col min="1" max="1" width="38" style="14" customWidth="1"/>
    <col min="2" max="2" width="25" style="14" customWidth="1"/>
    <col min="3" max="6" width="25.28515625" style="14" customWidth="1"/>
    <col min="7" max="7" width="11.5703125" style="14" bestFit="1" customWidth="1"/>
    <col min="8" max="8" width="17.85546875" style="14" bestFit="1" customWidth="1"/>
    <col min="9" max="15" width="9.140625" style="14"/>
    <col min="16" max="16" width="23.140625" style="14" customWidth="1"/>
    <col min="17" max="17" width="38.5703125" style="14" customWidth="1"/>
    <col min="18" max="18" width="11.5703125" style="14" customWidth="1"/>
    <col min="19" max="19" width="22.7109375" style="14" customWidth="1"/>
    <col min="20" max="16384" width="9.140625" style="14"/>
  </cols>
  <sheetData>
    <row r="2" spans="1:24" ht="18.75">
      <c r="A2" s="246" t="s">
        <v>945</v>
      </c>
      <c r="B2" s="167"/>
      <c r="C2" s="218"/>
      <c r="D2" s="218"/>
      <c r="E2" s="167"/>
      <c r="F2" s="167"/>
      <c r="G2" s="30"/>
      <c r="H2" s="30"/>
      <c r="I2" s="30"/>
      <c r="J2" s="52"/>
      <c r="K2" s="52"/>
      <c r="L2" s="52"/>
    </row>
    <row r="3" spans="1:24" ht="18.75">
      <c r="A3" s="126"/>
      <c r="B3" s="126"/>
      <c r="C3" s="126"/>
      <c r="D3" s="126"/>
      <c r="E3" s="126"/>
      <c r="F3" s="126"/>
      <c r="G3" s="126"/>
      <c r="H3" s="126"/>
      <c r="I3" s="126"/>
    </row>
    <row r="4" spans="1:24" ht="20.25">
      <c r="B4" s="210"/>
      <c r="C4" s="210"/>
      <c r="D4" s="210"/>
      <c r="E4" s="210"/>
    </row>
    <row r="5" spans="1:24" ht="15.75">
      <c r="A5" s="219"/>
      <c r="B5" s="219"/>
      <c r="C5" s="219"/>
      <c r="D5" s="219"/>
      <c r="T5" s="52"/>
      <c r="U5" s="52"/>
    </row>
    <row r="6" spans="1:24" ht="15.75">
      <c r="A6" s="220" t="s">
        <v>946</v>
      </c>
      <c r="B6" s="220"/>
      <c r="C6" s="220"/>
      <c r="D6" s="220"/>
      <c r="E6" s="30"/>
      <c r="F6" s="52"/>
      <c r="G6" s="52"/>
      <c r="H6" s="52"/>
      <c r="I6" s="52"/>
      <c r="J6" s="52"/>
      <c r="K6" s="52"/>
      <c r="L6" s="52"/>
      <c r="M6" s="52"/>
      <c r="N6" s="52"/>
      <c r="T6" s="52"/>
      <c r="U6" s="52"/>
      <c r="V6" s="52"/>
      <c r="W6" s="52"/>
      <c r="X6" s="52"/>
    </row>
    <row r="7" spans="1:24" ht="15.75">
      <c r="A7" s="219" t="s">
        <v>947</v>
      </c>
      <c r="B7" s="220"/>
      <c r="C7" s="220"/>
      <c r="D7" s="220"/>
      <c r="E7" s="30"/>
      <c r="F7" s="52"/>
      <c r="G7" s="52"/>
      <c r="H7" s="52"/>
      <c r="I7" s="52"/>
      <c r="J7" s="52"/>
      <c r="K7" s="52"/>
      <c r="L7" s="52"/>
      <c r="M7" s="52"/>
      <c r="N7" s="52"/>
      <c r="T7" s="52"/>
      <c r="U7" s="52"/>
      <c r="V7" s="52"/>
      <c r="W7" s="52"/>
      <c r="X7" s="52"/>
    </row>
    <row r="8" spans="1:24" ht="15.75">
      <c r="A8" s="220"/>
      <c r="B8" s="220"/>
      <c r="C8" s="220"/>
      <c r="D8" s="220"/>
      <c r="E8" s="30"/>
      <c r="F8" s="52"/>
      <c r="G8" s="52"/>
      <c r="H8" s="52"/>
      <c r="I8" s="52"/>
      <c r="J8" s="52"/>
      <c r="K8" s="52"/>
      <c r="L8" s="52"/>
      <c r="M8" s="52"/>
      <c r="N8" s="52"/>
      <c r="T8" s="52"/>
      <c r="U8" s="52"/>
      <c r="V8" s="52"/>
      <c r="W8" s="52"/>
      <c r="X8" s="52"/>
    </row>
    <row r="9" spans="1:24" ht="15.75">
      <c r="A9" s="220" t="s">
        <v>948</v>
      </c>
      <c r="B9" s="220"/>
      <c r="C9" s="220"/>
      <c r="D9" s="220"/>
      <c r="E9" s="30"/>
      <c r="F9" s="52"/>
      <c r="G9" s="52"/>
      <c r="H9" s="52"/>
      <c r="I9" s="52"/>
      <c r="J9" s="52"/>
      <c r="K9" s="52"/>
      <c r="L9" s="52"/>
      <c r="M9" s="52"/>
      <c r="N9" s="52"/>
      <c r="T9" s="52"/>
      <c r="U9" s="52"/>
      <c r="V9" s="52"/>
      <c r="W9" s="52"/>
      <c r="X9" s="52"/>
    </row>
    <row r="10" spans="1:24" ht="15.75">
      <c r="A10" s="220"/>
      <c r="B10" s="220"/>
      <c r="C10" s="220"/>
      <c r="D10" s="220"/>
      <c r="E10" s="30"/>
      <c r="F10" s="52"/>
      <c r="G10" s="52"/>
      <c r="H10" s="52"/>
      <c r="I10" s="52"/>
      <c r="J10" s="52"/>
      <c r="K10" s="52"/>
      <c r="L10" s="52"/>
      <c r="M10" s="52"/>
      <c r="N10" s="52"/>
      <c r="T10" s="52"/>
      <c r="U10" s="52"/>
      <c r="V10" s="52"/>
      <c r="W10" s="52"/>
      <c r="X10" s="52"/>
    </row>
    <row r="11" spans="1:24" ht="15.75">
      <c r="A11" s="220" t="s">
        <v>949</v>
      </c>
      <c r="B11" s="220"/>
      <c r="C11" s="220"/>
      <c r="D11" s="220"/>
      <c r="E11" s="30"/>
      <c r="F11" s="52"/>
      <c r="G11" s="52"/>
      <c r="H11" s="52"/>
      <c r="I11" s="52"/>
      <c r="J11" s="52"/>
      <c r="K11" s="52"/>
      <c r="L11" s="52"/>
      <c r="M11" s="52"/>
      <c r="N11" s="52"/>
      <c r="T11" s="52"/>
      <c r="U11" s="52"/>
      <c r="V11" s="52"/>
      <c r="W11" s="52"/>
      <c r="X11" s="52"/>
    </row>
    <row r="12" spans="1:24" ht="15.75">
      <c r="A12" s="220"/>
      <c r="B12" s="220"/>
      <c r="C12" s="220"/>
      <c r="D12" s="220"/>
      <c r="E12" s="30"/>
      <c r="F12" s="52"/>
      <c r="G12" s="52"/>
      <c r="H12" s="52"/>
      <c r="I12" s="52"/>
      <c r="J12" s="52"/>
      <c r="K12" s="52"/>
      <c r="L12" s="52"/>
      <c r="M12" s="52"/>
      <c r="N12" s="52"/>
      <c r="T12" s="52"/>
      <c r="U12" s="52"/>
      <c r="V12" s="52"/>
      <c r="W12" s="52"/>
      <c r="X12" s="52"/>
    </row>
    <row r="13" spans="1:24" ht="16.5" thickBot="1">
      <c r="A13" s="220" t="s">
        <v>950</v>
      </c>
      <c r="B13" s="220"/>
      <c r="C13" s="220"/>
      <c r="D13" s="220"/>
      <c r="E13" s="30"/>
      <c r="F13" s="52"/>
      <c r="G13" s="52"/>
      <c r="H13" s="52"/>
      <c r="I13" s="52"/>
      <c r="J13" s="52"/>
      <c r="K13" s="52"/>
      <c r="L13" s="52"/>
      <c r="M13" s="52"/>
      <c r="N13" s="52"/>
      <c r="T13" s="52"/>
      <c r="U13" s="52"/>
      <c r="V13" s="52"/>
      <c r="W13" s="52"/>
      <c r="X13" s="52"/>
    </row>
    <row r="14" spans="1:24" ht="15.75">
      <c r="A14" s="223" t="s">
        <v>955</v>
      </c>
      <c r="B14" s="44"/>
      <c r="C14" s="147"/>
      <c r="D14" s="147"/>
      <c r="E14" s="148"/>
      <c r="G14" s="52"/>
      <c r="H14"/>
      <c r="I14"/>
      <c r="J14"/>
      <c r="K14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 ht="15.75">
      <c r="A15" s="136"/>
      <c r="B15" s="134"/>
      <c r="C15" s="134"/>
      <c r="D15" s="134"/>
      <c r="E15" s="137"/>
      <c r="G15" s="52"/>
      <c r="H15"/>
      <c r="I15"/>
      <c r="J15"/>
      <c r="K15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spans="1:24" ht="15.75">
      <c r="A16" s="224" t="s">
        <v>956</v>
      </c>
      <c r="B16" s="133" t="s">
        <v>957</v>
      </c>
      <c r="C16" s="133" t="s">
        <v>1085</v>
      </c>
      <c r="D16" s="133" t="s">
        <v>949</v>
      </c>
      <c r="E16" s="247" t="s">
        <v>958</v>
      </c>
      <c r="G16" s="52"/>
      <c r="H16"/>
      <c r="I16"/>
      <c r="J16"/>
      <c r="K16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  <row r="17" spans="1:24" ht="15.75">
      <c r="A17" s="136"/>
      <c r="B17" s="134">
        <v>3</v>
      </c>
      <c r="C17" s="225">
        <v>1</v>
      </c>
      <c r="D17" s="134">
        <v>2</v>
      </c>
      <c r="E17" s="137">
        <v>1</v>
      </c>
      <c r="G17" s="52"/>
      <c r="H17"/>
      <c r="I17"/>
      <c r="J17"/>
      <c r="K17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spans="1:24" ht="15.75">
      <c r="A18" s="136"/>
      <c r="B18" s="134"/>
      <c r="C18" s="225"/>
      <c r="D18" s="134"/>
      <c r="E18" s="137"/>
      <c r="G18" s="52"/>
      <c r="H18"/>
      <c r="I18"/>
      <c r="J18"/>
      <c r="K18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  <row r="19" spans="1:24" ht="15.75">
      <c r="A19" s="136">
        <v>1</v>
      </c>
      <c r="B19" s="226">
        <v>0</v>
      </c>
      <c r="C19" s="227">
        <v>1</v>
      </c>
      <c r="D19" s="134">
        <v>0</v>
      </c>
      <c r="E19" s="228" t="s">
        <v>959</v>
      </c>
      <c r="G19" s="52"/>
      <c r="H19"/>
      <c r="I19"/>
      <c r="J19"/>
      <c r="K19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</row>
    <row r="20" spans="1:24" ht="15.75">
      <c r="A20" s="136">
        <v>2</v>
      </c>
      <c r="B20" s="226">
        <v>1.4999999999999999E-2</v>
      </c>
      <c r="C20" s="227">
        <v>1.1000000000000001</v>
      </c>
      <c r="D20" s="134">
        <v>120</v>
      </c>
      <c r="E20" s="228" t="s">
        <v>960</v>
      </c>
      <c r="G20" s="52"/>
      <c r="H20"/>
      <c r="I20"/>
      <c r="J20"/>
      <c r="K20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</row>
    <row r="21" spans="1:24" ht="15.75">
      <c r="A21" s="136">
        <v>3</v>
      </c>
      <c r="B21" s="226">
        <v>0.03</v>
      </c>
      <c r="C21" s="134"/>
      <c r="D21" s="134"/>
      <c r="E21" s="228" t="s">
        <v>961</v>
      </c>
      <c r="G21" s="52"/>
      <c r="H21"/>
      <c r="I21"/>
      <c r="J21"/>
      <c r="K21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 ht="15.75">
      <c r="A22" s="136">
        <v>4</v>
      </c>
      <c r="B22" s="226">
        <v>4.4999999999999998E-2</v>
      </c>
      <c r="C22" s="134"/>
      <c r="D22" s="134"/>
      <c r="E22" s="228"/>
      <c r="G22" s="52"/>
      <c r="H22"/>
      <c r="I22"/>
      <c r="J22"/>
      <c r="K2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</row>
    <row r="23" spans="1:24" ht="16.5" thickBot="1">
      <c r="A23" s="229" t="s">
        <v>962</v>
      </c>
      <c r="B23" s="230">
        <f>INDEX(B19:B22,B17)</f>
        <v>0.03</v>
      </c>
      <c r="C23" s="231">
        <f>INDEX(C19:C22,C17)</f>
        <v>1</v>
      </c>
      <c r="D23" s="232">
        <f>INDEX(D19:D22,D17)</f>
        <v>120</v>
      </c>
      <c r="E23" s="233" t="str">
        <f>INDEX(E19:E22,E17)</f>
        <v>Base</v>
      </c>
      <c r="G23" s="52"/>
      <c r="H23"/>
      <c r="I23"/>
      <c r="J23"/>
      <c r="K23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</row>
    <row r="24" spans="1:24" ht="15.75">
      <c r="A24" s="102"/>
      <c r="B24" s="102"/>
      <c r="C24" s="102"/>
      <c r="D24" s="102"/>
      <c r="E24" s="52"/>
      <c r="F24" s="52"/>
      <c r="G24" s="52"/>
      <c r="H24" s="52"/>
      <c r="I24" s="52"/>
      <c r="J24" s="52"/>
      <c r="K24" s="52"/>
      <c r="L24" s="52"/>
      <c r="M24" s="52"/>
      <c r="N24" s="52"/>
      <c r="T24" s="52"/>
      <c r="U24" s="52"/>
      <c r="V24" s="52"/>
      <c r="W24" s="52"/>
      <c r="X24" s="52"/>
    </row>
    <row r="25" spans="1:24" ht="16.5" thickBot="1">
      <c r="A25" s="102"/>
      <c r="B25" s="102"/>
      <c r="C25" s="102"/>
      <c r="D25" s="102"/>
      <c r="E25" s="52"/>
      <c r="F25" s="52"/>
      <c r="G25" s="52"/>
      <c r="H25" s="52"/>
      <c r="I25" s="52"/>
      <c r="J25" s="52"/>
      <c r="K25" s="52"/>
      <c r="L25" s="52"/>
      <c r="M25" s="52"/>
      <c r="N25" s="52"/>
      <c r="T25" s="52"/>
      <c r="U25" s="52"/>
      <c r="V25" s="52"/>
      <c r="W25" s="52"/>
      <c r="X25" s="52"/>
    </row>
    <row r="26" spans="1:24" ht="20.25">
      <c r="A26" s="253"/>
      <c r="B26" s="44"/>
      <c r="C26" s="254" t="s">
        <v>1086</v>
      </c>
      <c r="D26" s="248" t="s">
        <v>951</v>
      </c>
      <c r="E26" s="249"/>
      <c r="F26" s="222"/>
      <c r="G26" s="222"/>
      <c r="H26" s="52"/>
      <c r="I26" s="52"/>
      <c r="J26" s="52"/>
      <c r="K26" s="52"/>
      <c r="L26" s="52"/>
      <c r="M26" s="52"/>
      <c r="N26" s="52"/>
      <c r="T26" s="52"/>
      <c r="U26" s="52"/>
      <c r="V26" s="52"/>
      <c r="W26" s="52"/>
      <c r="X26" s="52"/>
    </row>
    <row r="27" spans="1:24" ht="16.5" thickBot="1">
      <c r="A27" s="138"/>
      <c r="B27" s="48"/>
      <c r="C27" s="250" t="s">
        <v>952</v>
      </c>
      <c r="D27" s="250" t="s">
        <v>953</v>
      </c>
      <c r="E27" s="251" t="s">
        <v>954</v>
      </c>
      <c r="F27" s="15"/>
      <c r="G27" s="15"/>
      <c r="H27"/>
      <c r="I27"/>
      <c r="J27"/>
      <c r="K27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</row>
    <row r="28" spans="1:24" ht="16.5" thickBot="1">
      <c r="A28" s="255" t="s">
        <v>1079</v>
      </c>
      <c r="B28" s="256"/>
      <c r="C28" s="257" t="e">
        <f>CF!#REF!</f>
        <v>#REF!</v>
      </c>
      <c r="D28" s="258">
        <f>Debt!J94</f>
        <v>0</v>
      </c>
      <c r="E28" s="259">
        <f>Debt!J93</f>
        <v>0</v>
      </c>
      <c r="F28" s="15"/>
      <c r="G28" s="15"/>
      <c r="H28"/>
      <c r="I28"/>
      <c r="J28"/>
      <c r="K28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 spans="1:24" ht="15.75">
      <c r="H29"/>
      <c r="I29"/>
      <c r="J29"/>
      <c r="K29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 spans="1:24" ht="15.75">
      <c r="A30"/>
      <c r="B30"/>
      <c r="C30"/>
      <c r="D30"/>
      <c r="E30"/>
      <c r="H30"/>
      <c r="I30"/>
      <c r="J30"/>
      <c r="K30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 spans="1:24" ht="13.5" thickBot="1">
      <c r="A31"/>
      <c r="B31"/>
      <c r="C31"/>
      <c r="D31"/>
      <c r="E31"/>
    </row>
    <row r="32" spans="1:24" ht="15.75">
      <c r="A32" s="279" t="s">
        <v>1103</v>
      </c>
      <c r="B32" s="44"/>
      <c r="C32" s="254" t="s">
        <v>1086</v>
      </c>
      <c r="D32" s="248" t="s">
        <v>951</v>
      </c>
      <c r="E32" s="249"/>
    </row>
    <row r="33" spans="1:5" ht="16.5" thickBot="1">
      <c r="A33" s="172" t="s">
        <v>1087</v>
      </c>
      <c r="B33" s="221" t="s">
        <v>1088</v>
      </c>
      <c r="C33" s="221" t="s">
        <v>952</v>
      </c>
      <c r="D33" s="221" t="s">
        <v>953</v>
      </c>
      <c r="E33" s="252" t="s">
        <v>954</v>
      </c>
    </row>
    <row r="34" spans="1:5" ht="15.75">
      <c r="A34" s="260"/>
      <c r="B34" s="44"/>
      <c r="C34" s="261"/>
      <c r="D34" s="262"/>
      <c r="E34" s="263"/>
    </row>
    <row r="35" spans="1:5">
      <c r="A35" s="46"/>
      <c r="B35" s="15"/>
      <c r="C35" s="15"/>
      <c r="D35" s="15"/>
      <c r="E35" s="45"/>
    </row>
    <row r="36" spans="1:5">
      <c r="A36" s="46"/>
      <c r="B36" s="15"/>
      <c r="C36" s="15"/>
      <c r="D36" s="15"/>
      <c r="E36" s="45"/>
    </row>
    <row r="37" spans="1:5">
      <c r="A37" s="46"/>
      <c r="B37" s="15"/>
      <c r="C37" s="15"/>
      <c r="D37" s="15"/>
      <c r="E37" s="45"/>
    </row>
    <row r="38" spans="1:5" ht="13.5" thickBot="1">
      <c r="A38" s="264"/>
      <c r="B38" s="48"/>
      <c r="C38" s="48"/>
      <c r="D38" s="48"/>
      <c r="E38" s="120"/>
    </row>
  </sheetData>
  <pageMargins left="0.75" right="0.75" top="1" bottom="1" header="0.5" footer="0.5"/>
  <pageSetup scale="51" orientation="landscape" r:id="rId1"/>
  <headerFooter alignWithMargins="0">
    <oddHeader>&amp;A</oddHeader>
    <oddFooter>&amp;L&amp;T, &amp;D&amp;C&amp;F&amp;RPage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47625</xdr:rowOff>
                  </from>
                  <to>
                    <xdr:col>1</xdr:col>
                    <xdr:colOff>1552575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9525</xdr:rowOff>
                  </from>
                  <to>
                    <xdr:col>1</xdr:col>
                    <xdr:colOff>1543050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190500</xdr:rowOff>
                  </from>
                  <to>
                    <xdr:col>1</xdr:col>
                    <xdr:colOff>1543050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180975</xdr:rowOff>
                  </from>
                  <to>
                    <xdr:col>1</xdr:col>
                    <xdr:colOff>1543050</xdr:colOff>
                    <xdr:row>12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L165"/>
  <sheetViews>
    <sheetView showGridLines="0" tabSelected="1" zoomScale="75" zoomScaleNormal="75" workbookViewId="0">
      <selection activeCell="A25" sqref="A25"/>
    </sheetView>
  </sheetViews>
  <sheetFormatPr defaultRowHeight="12.75"/>
  <cols>
    <col min="1" max="1" width="52.7109375" style="15" customWidth="1"/>
    <col min="2" max="2" width="20.140625" style="15" customWidth="1"/>
    <col min="3" max="3" width="20.7109375" style="15" bestFit="1" customWidth="1"/>
    <col min="4" max="4" width="17.85546875" style="15" customWidth="1"/>
    <col min="5" max="5" width="20.5703125" style="15" customWidth="1"/>
    <col min="6" max="6" width="6.7109375" style="15" customWidth="1"/>
    <col min="7" max="7" width="35" style="15" customWidth="1"/>
    <col min="8" max="9" width="14.42578125" style="15" customWidth="1"/>
    <col min="10" max="10" width="12" style="15" customWidth="1"/>
    <col min="11" max="11" width="11.42578125" style="15" customWidth="1"/>
    <col min="12" max="12" width="7.42578125" style="15" customWidth="1"/>
    <col min="13" max="13" width="32" style="15" customWidth="1"/>
    <col min="14" max="25" width="12.85546875" style="15" customWidth="1"/>
    <col min="26" max="33" width="12" style="15" customWidth="1"/>
    <col min="34" max="34" width="9.140625" style="15"/>
    <col min="35" max="37" width="10" style="15" customWidth="1"/>
    <col min="38" max="38" width="12" style="15" customWidth="1"/>
    <col min="39" max="39" width="17.5703125" style="15" customWidth="1"/>
    <col min="40" max="40" width="22.42578125" style="15" customWidth="1"/>
    <col min="41" max="41" width="19" style="15" customWidth="1"/>
    <col min="42" max="42" width="10.28515625" style="15" customWidth="1"/>
    <col min="43" max="62" width="13.140625" style="15" customWidth="1"/>
    <col min="63" max="63" width="9.140625" style="15"/>
    <col min="64" max="73" width="10" style="15" customWidth="1"/>
    <col min="74" max="74" width="9.140625" style="15"/>
    <col min="75" max="80" width="10" style="15" customWidth="1"/>
    <col min="81" max="81" width="9.140625" style="15"/>
    <col min="82" max="87" width="10" style="15" customWidth="1"/>
    <col min="88" max="16384" width="9.140625" style="15"/>
  </cols>
  <sheetData>
    <row r="1" spans="1:38" ht="13.5" customHeight="1">
      <c r="A1" s="482"/>
      <c r="J1" s="483"/>
      <c r="AL1" s="483"/>
    </row>
    <row r="2" spans="1:38" ht="19.5" customHeight="1">
      <c r="A2" s="484" t="s">
        <v>624</v>
      </c>
      <c r="J2" s="483"/>
      <c r="AL2" s="483"/>
    </row>
    <row r="3" spans="1:38" s="6" customFormat="1" ht="19.5" customHeight="1">
      <c r="A3" s="485"/>
      <c r="J3" s="486"/>
      <c r="AL3" s="486"/>
    </row>
    <row r="4" spans="1:38" ht="19.5" customHeight="1">
      <c r="A4" s="246" t="s">
        <v>963</v>
      </c>
      <c r="B4" s="6"/>
      <c r="C4" s="6"/>
      <c r="D4" s="6"/>
    </row>
    <row r="6" spans="1:38" ht="13.5" thickBot="1"/>
    <row r="7" spans="1:38" ht="15.75">
      <c r="A7" s="514" t="s">
        <v>964</v>
      </c>
      <c r="B7" s="44"/>
      <c r="C7" s="44"/>
      <c r="D7" s="652"/>
      <c r="E7" s="515"/>
      <c r="G7" s="504" t="s">
        <v>1106</v>
      </c>
      <c r="H7" s="505"/>
      <c r="I7" s="506"/>
      <c r="J7" s="507"/>
      <c r="M7" s="504" t="s">
        <v>965</v>
      </c>
      <c r="N7" s="535"/>
      <c r="O7" s="532"/>
    </row>
    <row r="8" spans="1:38" ht="15.75">
      <c r="A8" s="46"/>
      <c r="B8" s="695"/>
      <c r="E8" s="45"/>
      <c r="G8" s="508"/>
      <c r="H8" s="280"/>
      <c r="I8" s="280"/>
      <c r="J8" s="45"/>
      <c r="M8" s="527"/>
      <c r="N8" s="211"/>
      <c r="O8" s="509"/>
    </row>
    <row r="9" spans="1:38" ht="31.5">
      <c r="A9" s="516" t="s">
        <v>966</v>
      </c>
      <c r="B9" s="133" t="s">
        <v>967</v>
      </c>
      <c r="C9" s="298" t="s">
        <v>968</v>
      </c>
      <c r="D9" s="647" t="s">
        <v>1155</v>
      </c>
      <c r="E9" s="646" t="s">
        <v>1480</v>
      </c>
      <c r="G9" s="508" t="s">
        <v>1131</v>
      </c>
      <c r="I9" s="302" t="s">
        <v>1512</v>
      </c>
      <c r="J9" s="45"/>
      <c r="M9" s="136" t="s">
        <v>1166</v>
      </c>
      <c r="O9" s="536">
        <f>I10*I11</f>
        <v>277</v>
      </c>
    </row>
    <row r="10" spans="1:38" ht="15.75">
      <c r="A10" s="517" t="s">
        <v>969</v>
      </c>
      <c r="B10" s="333">
        <f ca="1">C10/C13</f>
        <v>1</v>
      </c>
      <c r="C10" s="300">
        <f ca="1">C91-C11</f>
        <v>140281.46155350332</v>
      </c>
      <c r="D10" s="648">
        <f ca="1">C10/$O$11</f>
        <v>506.43126914622138</v>
      </c>
      <c r="E10" s="45"/>
      <c r="G10" s="508" t="s">
        <v>971</v>
      </c>
      <c r="H10" s="280"/>
      <c r="I10" s="303">
        <v>6</v>
      </c>
      <c r="J10" s="509"/>
      <c r="M10" s="136" t="s">
        <v>1095</v>
      </c>
      <c r="O10" s="537">
        <v>0</v>
      </c>
    </row>
    <row r="11" spans="1:38" ht="15.75">
      <c r="A11" s="517" t="s">
        <v>1084</v>
      </c>
      <c r="B11" s="333">
        <f ca="1">C11/C13</f>
        <v>0</v>
      </c>
      <c r="C11" s="300">
        <f>Assum!B110+Assum!C110+Assum!D110</f>
        <v>0</v>
      </c>
      <c r="D11" s="648">
        <f>C11/$O$11</f>
        <v>0</v>
      </c>
      <c r="E11" s="45"/>
      <c r="G11" s="508" t="s">
        <v>1107</v>
      </c>
      <c r="H11" s="280"/>
      <c r="I11" s="304">
        <f>277/6</f>
        <v>46.166666666666664</v>
      </c>
      <c r="J11" s="509"/>
      <c r="M11" s="136" t="s">
        <v>1167</v>
      </c>
      <c r="O11" s="538">
        <f>SUM(O9:O10)</f>
        <v>277</v>
      </c>
    </row>
    <row r="12" spans="1:38" ht="16.5" thickBot="1">
      <c r="A12" s="518"/>
      <c r="B12" s="135"/>
      <c r="C12" s="300"/>
      <c r="D12" s="648"/>
      <c r="E12" s="45"/>
      <c r="G12" s="508" t="s">
        <v>1108</v>
      </c>
      <c r="H12" s="280"/>
      <c r="I12" s="303">
        <v>10573</v>
      </c>
      <c r="J12" s="509"/>
      <c r="M12" s="138" t="s">
        <v>979</v>
      </c>
      <c r="N12" s="48"/>
      <c r="O12" s="539">
        <v>180</v>
      </c>
    </row>
    <row r="13" spans="1:38" ht="15.75">
      <c r="A13" s="519" t="s">
        <v>970</v>
      </c>
      <c r="B13" s="206">
        <f ca="1">C13/$C$13</f>
        <v>1</v>
      </c>
      <c r="C13" s="301">
        <f ca="1">SUM(C10:C11)</f>
        <v>140281.46155350332</v>
      </c>
      <c r="D13" s="649">
        <f ca="1">C13/$O$11</f>
        <v>506.43126914622138</v>
      </c>
      <c r="E13" s="45"/>
      <c r="G13" s="508" t="s">
        <v>974</v>
      </c>
      <c r="H13" s="280"/>
      <c r="I13" s="303">
        <v>1800</v>
      </c>
      <c r="J13" s="509"/>
      <c r="M13"/>
      <c r="N13"/>
      <c r="O13"/>
    </row>
    <row r="14" spans="1:38" ht="15.75">
      <c r="A14" s="46"/>
      <c r="B14" s="15" t="s">
        <v>1485</v>
      </c>
      <c r="C14" s="698">
        <f ca="1">C13-C91</f>
        <v>0</v>
      </c>
      <c r="D14" s="650"/>
      <c r="E14" s="45"/>
      <c r="G14" s="508" t="s">
        <v>1240</v>
      </c>
      <c r="H14" s="280"/>
      <c r="I14" s="305">
        <v>0.97</v>
      </c>
      <c r="J14" s="509"/>
    </row>
    <row r="15" spans="1:38" ht="15.75">
      <c r="A15" s="46"/>
      <c r="D15" s="650"/>
      <c r="E15" s="45"/>
      <c r="G15" s="508" t="s">
        <v>1172</v>
      </c>
      <c r="H15" s="280"/>
      <c r="I15" s="306">
        <v>36647</v>
      </c>
      <c r="J15" s="509"/>
    </row>
    <row r="16" spans="1:38" ht="19.5">
      <c r="A16" s="655" t="s">
        <v>1129</v>
      </c>
      <c r="B16" s="656"/>
      <c r="C16" s="657"/>
      <c r="D16" s="658"/>
      <c r="E16" s="659"/>
      <c r="G16" s="508" t="s">
        <v>1178</v>
      </c>
      <c r="I16" s="306">
        <v>36770</v>
      </c>
      <c r="J16" s="45"/>
    </row>
    <row r="17" spans="1:28" ht="16.5" thickBot="1">
      <c r="A17" s="520"/>
      <c r="B17" s="241"/>
      <c r="D17" s="650"/>
      <c r="E17" s="45"/>
      <c r="G17" s="508" t="s">
        <v>1133</v>
      </c>
      <c r="H17" s="280"/>
      <c r="I17" s="306">
        <v>37043</v>
      </c>
      <c r="J17" s="45"/>
    </row>
    <row r="18" spans="1:28" ht="15.75">
      <c r="A18" s="660" t="s">
        <v>1322</v>
      </c>
      <c r="D18" s="650"/>
      <c r="E18" s="45"/>
      <c r="G18" s="136" t="s">
        <v>1179</v>
      </c>
      <c r="H18" s="134"/>
      <c r="I18" s="336">
        <f>MONTH(DATE(YEAR(cod), 12,31)-(cod))</f>
        <v>7</v>
      </c>
      <c r="J18" s="509"/>
      <c r="M18" s="523" t="s">
        <v>1003</v>
      </c>
      <c r="N18" s="147"/>
      <c r="O18" s="44"/>
      <c r="P18" s="44"/>
      <c r="Q18" s="44"/>
      <c r="R18" s="540"/>
    </row>
    <row r="19" spans="1:28" ht="15.75">
      <c r="A19" s="521" t="s">
        <v>1351</v>
      </c>
      <c r="B19" s="242">
        <f t="shared" ref="B19:B24" ca="1" si="0">C19*$I$10/$C$91</f>
        <v>0.66759355771526185</v>
      </c>
      <c r="C19" s="299">
        <f>CapCost!B12/6000</f>
        <v>15608.5</v>
      </c>
      <c r="D19" s="648">
        <f t="shared" ref="D19:D25" si="1">C19*$I$10/$O$11</f>
        <v>338.09025270758121</v>
      </c>
      <c r="E19" s="653">
        <v>0</v>
      </c>
      <c r="G19" s="508" t="s">
        <v>1132</v>
      </c>
      <c r="H19" s="285"/>
      <c r="I19" s="213">
        <f>(I20-cod)/365.25</f>
        <v>25.582477754962355</v>
      </c>
      <c r="J19" s="509"/>
      <c r="M19" s="46"/>
      <c r="R19" s="45"/>
    </row>
    <row r="20" spans="1:28" ht="15.75">
      <c r="A20" s="521" t="s">
        <v>1495</v>
      </c>
      <c r="B20" s="242">
        <f t="shared" ca="1" si="0"/>
        <v>0.10927321279835339</v>
      </c>
      <c r="C20" s="299">
        <f>CapCost!B13/6000</f>
        <v>2554.8343333333332</v>
      </c>
      <c r="D20" s="648">
        <f t="shared" si="1"/>
        <v>55.339371841155234</v>
      </c>
      <c r="E20" s="653">
        <v>1</v>
      </c>
      <c r="G20" s="508" t="s">
        <v>1134</v>
      </c>
      <c r="I20" s="306">
        <v>46387</v>
      </c>
      <c r="J20" s="509"/>
      <c r="M20" s="525"/>
      <c r="N20" s="6"/>
      <c r="O20" s="689"/>
      <c r="P20" s="334"/>
      <c r="R20" s="45"/>
    </row>
    <row r="21" spans="1:28" ht="15.75">
      <c r="A21" s="521" t="s">
        <v>1496</v>
      </c>
      <c r="B21" s="242">
        <f t="shared" ca="1" si="0"/>
        <v>2.2829994530521192E-2</v>
      </c>
      <c r="C21" s="299">
        <f>CapCost!B14/6000</f>
        <v>533.77083333333337</v>
      </c>
      <c r="D21" s="648">
        <f t="shared" si="1"/>
        <v>11.561823104693142</v>
      </c>
      <c r="E21" s="653">
        <v>1</v>
      </c>
      <c r="G21" s="508" t="s">
        <v>1443</v>
      </c>
      <c r="I21" s="305">
        <v>0</v>
      </c>
      <c r="J21" s="45"/>
      <c r="M21" s="136"/>
      <c r="P21" s="334"/>
      <c r="R21" s="45"/>
    </row>
    <row r="22" spans="1:28" ht="16.5" thickBot="1">
      <c r="A22" s="521" t="s">
        <v>1447</v>
      </c>
      <c r="B22" s="242">
        <f t="shared" ca="1" si="0"/>
        <v>0</v>
      </c>
      <c r="C22" s="299"/>
      <c r="D22" s="648">
        <f t="shared" si="1"/>
        <v>0</v>
      </c>
      <c r="E22" s="653">
        <v>1</v>
      </c>
      <c r="G22" s="510" t="s">
        <v>1237</v>
      </c>
      <c r="H22" s="511"/>
      <c r="I22" s="512">
        <f ca="1">(D91-D79-D65)*Sensitivity!D28</f>
        <v>177.25094420117748</v>
      </c>
      <c r="J22" s="513"/>
      <c r="M22" s="541" t="s">
        <v>1092</v>
      </c>
      <c r="O22" s="134"/>
      <c r="P22" s="334"/>
      <c r="R22" s="45"/>
    </row>
    <row r="23" spans="1:28" ht="16.5" thickBot="1">
      <c r="A23" s="521" t="s">
        <v>1319</v>
      </c>
      <c r="B23" s="242">
        <f t="shared" ca="1" si="0"/>
        <v>0</v>
      </c>
      <c r="C23" s="299"/>
      <c r="D23" s="648">
        <f t="shared" si="1"/>
        <v>0</v>
      </c>
      <c r="E23" s="653">
        <v>1</v>
      </c>
      <c r="M23" s="46"/>
      <c r="O23" s="312" t="s">
        <v>1168</v>
      </c>
      <c r="P23" s="312" t="s">
        <v>1213</v>
      </c>
      <c r="Q23" s="312" t="s">
        <v>1156</v>
      </c>
      <c r="R23" s="542" t="s">
        <v>1481</v>
      </c>
      <c r="AB23" s="285"/>
    </row>
    <row r="24" spans="1:28" ht="15.75">
      <c r="A24" s="521" t="s">
        <v>1320</v>
      </c>
      <c r="B24" s="242">
        <f t="shared" ca="1" si="0"/>
        <v>0</v>
      </c>
      <c r="C24" s="299"/>
      <c r="D24" s="648">
        <f t="shared" si="1"/>
        <v>0</v>
      </c>
      <c r="E24" s="653">
        <v>1</v>
      </c>
      <c r="G24" s="523" t="s">
        <v>1002</v>
      </c>
      <c r="H24" s="147"/>
      <c r="I24" s="147"/>
      <c r="J24" s="147"/>
      <c r="K24" s="148"/>
      <c r="M24" s="46"/>
      <c r="R24" s="543"/>
      <c r="AB24" s="285"/>
    </row>
    <row r="25" spans="1:28" ht="15.75">
      <c r="A25" s="521" t="s">
        <v>1199</v>
      </c>
      <c r="B25" s="242"/>
      <c r="C25" s="609">
        <f>SUM(C19:C24)</f>
        <v>18697.105166666664</v>
      </c>
      <c r="D25" s="648">
        <f t="shared" si="1"/>
        <v>404.99144765342959</v>
      </c>
      <c r="E25" s="45"/>
      <c r="G25" s="136"/>
      <c r="H25" s="134"/>
      <c r="I25" s="134"/>
      <c r="J25" s="134"/>
      <c r="K25" s="137"/>
      <c r="M25" s="136" t="s">
        <v>1007</v>
      </c>
      <c r="R25" s="543"/>
      <c r="AB25" s="285"/>
    </row>
    <row r="26" spans="1:28" ht="15.75">
      <c r="A26" s="136" t="s">
        <v>1200</v>
      </c>
      <c r="B26" s="242">
        <f ca="1">C26/$C$91</f>
        <v>0.79969676504413634</v>
      </c>
      <c r="C26" s="143">
        <f>C25*$I$10</f>
        <v>112182.63099999999</v>
      </c>
      <c r="D26" s="648">
        <f>C26/$O$11</f>
        <v>404.99144765342959</v>
      </c>
      <c r="E26" s="45"/>
      <c r="G26" s="522" t="s">
        <v>951</v>
      </c>
      <c r="H26" s="140"/>
      <c r="I26" s="133" t="s">
        <v>1005</v>
      </c>
      <c r="J26" s="133" t="s">
        <v>1004</v>
      </c>
      <c r="K26" s="45"/>
      <c r="M26" s="521" t="s">
        <v>1211</v>
      </c>
      <c r="O26" s="501"/>
      <c r="P26" s="335"/>
      <c r="Q26" s="487"/>
      <c r="R26" s="544"/>
      <c r="AB26" s="285"/>
    </row>
    <row r="27" spans="1:28" ht="15.75">
      <c r="A27" s="46"/>
      <c r="C27" s="143"/>
      <c r="E27" s="45"/>
      <c r="G27" s="46"/>
      <c r="H27" s="134"/>
      <c r="I27" s="141" t="e">
        <f ca="1">Debt!B93</f>
        <v>#DIV/0!</v>
      </c>
      <c r="J27" s="141">
        <f ca="1">Debt!B94</f>
        <v>0</v>
      </c>
      <c r="K27" s="45"/>
      <c r="M27" s="545" t="s">
        <v>1212</v>
      </c>
      <c r="O27" s="336"/>
      <c r="P27" s="348"/>
      <c r="R27" s="543"/>
      <c r="AB27" s="285"/>
    </row>
    <row r="28" spans="1:28" ht="15.75">
      <c r="A28" s="660" t="s">
        <v>1201</v>
      </c>
      <c r="B28" s="242"/>
      <c r="E28" s="45"/>
      <c r="G28" s="46"/>
      <c r="K28" s="45"/>
      <c r="M28" s="545" t="s">
        <v>941</v>
      </c>
      <c r="O28" s="307">
        <f>Summary!H35/1000</f>
        <v>108.2799</v>
      </c>
      <c r="P28" s="335">
        <f>O28/($I$60*$I$13)*1000</f>
        <v>0.22159986738377663</v>
      </c>
      <c r="Q28" s="487">
        <f>O28/$O$11</f>
        <v>0.39090216606498196</v>
      </c>
      <c r="R28" s="543"/>
      <c r="AB28" s="285"/>
    </row>
    <row r="29" spans="1:28" ht="15.75">
      <c r="A29" s="521" t="s">
        <v>1321</v>
      </c>
      <c r="B29" s="242">
        <f ca="1">C29/$C$91</f>
        <v>4.4819036887507992E-3</v>
      </c>
      <c r="C29" s="299">
        <f>CapCost!B10/1000</f>
        <v>628.72799999999995</v>
      </c>
      <c r="D29" s="648">
        <f>C29/$O$11</f>
        <v>2.2697761732851984</v>
      </c>
      <c r="E29" s="653">
        <v>0</v>
      </c>
      <c r="G29" s="524" t="s">
        <v>1161</v>
      </c>
      <c r="H29" s="494"/>
      <c r="I29" s="495" t="s">
        <v>1162</v>
      </c>
      <c r="J29" s="496"/>
      <c r="K29" s="526"/>
      <c r="M29" s="136" t="s">
        <v>1214</v>
      </c>
      <c r="O29" s="336">
        <f>SUM(O26:O28)</f>
        <v>108.2799</v>
      </c>
      <c r="R29" s="543"/>
      <c r="AB29" s="285"/>
    </row>
    <row r="30" spans="1:28" ht="15.75">
      <c r="A30" s="46"/>
      <c r="E30" s="45"/>
      <c r="G30" s="525" t="s">
        <v>1159</v>
      </c>
      <c r="H30" s="491"/>
      <c r="I30" s="492">
        <f ca="1">D67</f>
        <v>481.72095768850784</v>
      </c>
      <c r="J30" s="497"/>
      <c r="K30" s="526"/>
      <c r="M30" s="46"/>
      <c r="R30" s="543"/>
      <c r="AB30" s="285"/>
    </row>
    <row r="31" spans="1:28" ht="15.75">
      <c r="A31" s="660" t="s">
        <v>1323</v>
      </c>
      <c r="E31" s="654"/>
      <c r="G31" s="525" t="s">
        <v>1160</v>
      </c>
      <c r="H31" s="96"/>
      <c r="I31" s="492">
        <f ca="1">D89+D81+D84+D75</f>
        <v>24.710311457713534</v>
      </c>
      <c r="J31" s="498"/>
      <c r="K31" s="526"/>
      <c r="M31" s="136" t="s">
        <v>1227</v>
      </c>
      <c r="R31" s="543"/>
      <c r="AB31" s="285"/>
    </row>
    <row r="32" spans="1:28" ht="15.75">
      <c r="A32" s="136" t="s">
        <v>1336</v>
      </c>
      <c r="E32" s="654"/>
      <c r="G32" s="527"/>
      <c r="H32" s="96"/>
      <c r="I32" s="493"/>
      <c r="J32" s="498"/>
      <c r="K32" s="526"/>
      <c r="M32" s="521" t="s">
        <v>1228</v>
      </c>
      <c r="O32" s="1132">
        <f>LM6000PC_MMR_Gas!W29/17/Assum!O12/1000</f>
        <v>2.770588235294118</v>
      </c>
      <c r="R32" s="543"/>
      <c r="S32" s="285"/>
      <c r="T32" s="285"/>
      <c r="AB32" s="285"/>
    </row>
    <row r="33" spans="1:28" ht="15.75">
      <c r="A33" s="521" t="s">
        <v>1323</v>
      </c>
      <c r="B33" s="242">
        <f t="shared" ref="B33:B47" ca="1" si="2">C33/$C$91</f>
        <v>7.1285256720725013E-2</v>
      </c>
      <c r="C33" s="299">
        <f>CapCost!B17/1000</f>
        <v>10000</v>
      </c>
      <c r="D33" s="648">
        <f t="shared" ref="D33:D45" si="3">C33/$O$11</f>
        <v>36.101083032490976</v>
      </c>
      <c r="E33" s="653">
        <v>1</v>
      </c>
      <c r="G33" s="528" t="s">
        <v>978</v>
      </c>
      <c r="H33" s="393"/>
      <c r="I33" s="493">
        <f ca="1">SUM(I30:I32)</f>
        <v>506.43126914622138</v>
      </c>
      <c r="J33" s="499"/>
      <c r="K33" s="526"/>
      <c r="M33" s="521" t="s">
        <v>1204</v>
      </c>
      <c r="O33" s="307">
        <v>0</v>
      </c>
      <c r="R33" s="543"/>
      <c r="S33" s="285"/>
      <c r="T33" s="285"/>
      <c r="AB33" s="285"/>
    </row>
    <row r="34" spans="1:28" ht="15.75">
      <c r="A34" s="521" t="s">
        <v>1324</v>
      </c>
      <c r="B34" s="242">
        <f t="shared" ca="1" si="2"/>
        <v>0</v>
      </c>
      <c r="C34" s="299"/>
      <c r="D34" s="648">
        <f t="shared" si="3"/>
        <v>0</v>
      </c>
      <c r="E34" s="653">
        <v>0</v>
      </c>
      <c r="G34" s="46"/>
      <c r="K34" s="45"/>
      <c r="M34" s="46" t="s">
        <v>1229</v>
      </c>
      <c r="O34" s="341">
        <f>SUM(O32:O33)</f>
        <v>2.770588235294118</v>
      </c>
      <c r="R34" s="543"/>
      <c r="S34" s="285"/>
      <c r="T34" s="285"/>
      <c r="AB34" s="285"/>
    </row>
    <row r="35" spans="1:28" ht="15.75">
      <c r="A35" s="521" t="s">
        <v>1325</v>
      </c>
      <c r="B35" s="242">
        <f t="shared" ca="1" si="2"/>
        <v>0</v>
      </c>
      <c r="C35" s="299"/>
      <c r="D35" s="648">
        <f t="shared" si="3"/>
        <v>0</v>
      </c>
      <c r="E35" s="653">
        <v>0</v>
      </c>
      <c r="G35" s="522" t="s">
        <v>1206</v>
      </c>
      <c r="K35" s="45"/>
      <c r="M35" s="46"/>
      <c r="R35" s="45"/>
      <c r="S35" s="285"/>
      <c r="T35" s="285"/>
      <c r="AB35" s="285"/>
    </row>
    <row r="36" spans="1:28" ht="15.75">
      <c r="A36" s="521" t="s">
        <v>1326</v>
      </c>
      <c r="B36" s="242">
        <f t="shared" ca="1" si="2"/>
        <v>0</v>
      </c>
      <c r="C36" s="299"/>
      <c r="D36" s="648">
        <f t="shared" si="3"/>
        <v>0</v>
      </c>
      <c r="E36" s="653">
        <v>0</v>
      </c>
      <c r="G36" s="136" t="s">
        <v>1121</v>
      </c>
      <c r="H36" s="134"/>
      <c r="I36" s="349" t="str">
        <f>IF($B$131=0, "No Equity Partner", CF!B43)</f>
        <v>No Equity Partner</v>
      </c>
      <c r="K36" s="45"/>
      <c r="M36" s="136" t="s">
        <v>1006</v>
      </c>
      <c r="R36" s="45"/>
      <c r="S36" s="285"/>
      <c r="T36" s="285"/>
      <c r="AB36" s="285"/>
    </row>
    <row r="37" spans="1:28" ht="15.75">
      <c r="A37" s="521" t="s">
        <v>1327</v>
      </c>
      <c r="B37" s="242">
        <f t="shared" ca="1" si="2"/>
        <v>0</v>
      </c>
      <c r="C37" s="299"/>
      <c r="D37" s="648">
        <f t="shared" si="3"/>
        <v>0</v>
      </c>
      <c r="E37" s="653">
        <v>0</v>
      </c>
      <c r="G37" s="136" t="s">
        <v>1137</v>
      </c>
      <c r="I37" s="349" t="str">
        <f>IF($B$131=0, "No Equity Partner", CF!B37)</f>
        <v>No Equity Partner</v>
      </c>
      <c r="J37" s="134"/>
      <c r="K37" s="45"/>
      <c r="M37" s="545" t="s">
        <v>1207</v>
      </c>
      <c r="O37" s="307">
        <f>Summary!E32/1000</f>
        <v>723.9894498000001</v>
      </c>
      <c r="Q37" s="487">
        <f>O37/$O$11</f>
        <v>2.613680324187726</v>
      </c>
      <c r="R37" s="45"/>
      <c r="S37" s="285"/>
      <c r="T37" s="285"/>
      <c r="AB37" s="285"/>
    </row>
    <row r="38" spans="1:28" ht="15.75">
      <c r="A38" s="521" t="s">
        <v>1328</v>
      </c>
      <c r="B38" s="242">
        <f t="shared" ca="1" si="2"/>
        <v>0</v>
      </c>
      <c r="C38" s="299"/>
      <c r="D38" s="648">
        <f t="shared" si="3"/>
        <v>0</v>
      </c>
      <c r="E38" s="653">
        <v>0</v>
      </c>
      <c r="G38" s="136"/>
      <c r="H38" s="134"/>
      <c r="I38" s="204"/>
      <c r="J38" s="134"/>
      <c r="K38" s="45"/>
      <c r="M38" s="545" t="s">
        <v>1652</v>
      </c>
      <c r="O38" s="307">
        <f>Summary!H38/1000</f>
        <v>22.479025</v>
      </c>
      <c r="Q38" s="487">
        <f>O38/$O$11</f>
        <v>8.115171480144405E-2</v>
      </c>
      <c r="R38" s="45"/>
      <c r="S38" s="285"/>
      <c r="T38" s="285"/>
      <c r="AB38" s="285"/>
    </row>
    <row r="39" spans="1:28" ht="15.75">
      <c r="A39" s="521" t="s">
        <v>1329</v>
      </c>
      <c r="B39" s="242">
        <f t="shared" ca="1" si="2"/>
        <v>0</v>
      </c>
      <c r="C39" s="299"/>
      <c r="D39" s="648">
        <f t="shared" si="3"/>
        <v>0</v>
      </c>
      <c r="E39" s="653">
        <v>0</v>
      </c>
      <c r="G39" s="522" t="s">
        <v>1089</v>
      </c>
      <c r="H39" s="133">
        <f>IS!C7</f>
        <v>2001</v>
      </c>
      <c r="I39" s="133">
        <f>IS!D7</f>
        <v>2002</v>
      </c>
      <c r="J39" s="133">
        <f>IS!E7</f>
        <v>2003</v>
      </c>
      <c r="K39" s="247">
        <f>IS!F7</f>
        <v>2004</v>
      </c>
      <c r="M39" s="545" t="s">
        <v>1208</v>
      </c>
      <c r="O39" s="307">
        <f ca="1">Summary!H33/1000</f>
        <v>236.19927600983263</v>
      </c>
      <c r="Q39" s="487">
        <f ca="1">O39/$O$11</f>
        <v>0.85270496754452219</v>
      </c>
      <c r="R39" s="45"/>
      <c r="S39" s="285"/>
      <c r="T39" s="285"/>
      <c r="Z39" s="285"/>
      <c r="AA39" s="285"/>
      <c r="AB39" s="285"/>
    </row>
    <row r="40" spans="1:28" ht="15.75">
      <c r="A40" s="521" t="s">
        <v>1330</v>
      </c>
      <c r="B40" s="242">
        <f t="shared" ca="1" si="2"/>
        <v>0</v>
      </c>
      <c r="C40" s="299"/>
      <c r="D40" s="648">
        <f t="shared" si="3"/>
        <v>0</v>
      </c>
      <c r="E40" s="653">
        <v>1</v>
      </c>
      <c r="G40" s="136" t="s">
        <v>1122</v>
      </c>
      <c r="H40" s="143">
        <f ca="1">IS!C66</f>
        <v>9045.6077646456088</v>
      </c>
      <c r="I40" s="143">
        <f ca="1">IS!D66</f>
        <v>15475.282424412293</v>
      </c>
      <c r="J40" s="143">
        <f ca="1">IS!E66</f>
        <v>15445.261579780281</v>
      </c>
      <c r="K40" s="529">
        <f ca="1">IS!F66</f>
        <v>15413.587646116757</v>
      </c>
      <c r="M40" s="546" t="s">
        <v>1209</v>
      </c>
      <c r="O40" s="307">
        <f>Summary!H43/1000</f>
        <v>300</v>
      </c>
      <c r="Q40" s="487">
        <f>O40/$O$11</f>
        <v>1.0830324909747293</v>
      </c>
      <c r="R40" s="45"/>
      <c r="S40" s="285"/>
      <c r="T40" s="285"/>
      <c r="AB40" s="285"/>
    </row>
    <row r="41" spans="1:28" ht="15.75">
      <c r="A41" s="521" t="s">
        <v>1331</v>
      </c>
      <c r="B41" s="242">
        <f t="shared" ca="1" si="2"/>
        <v>0</v>
      </c>
      <c r="C41" s="299"/>
      <c r="D41" s="648">
        <f t="shared" si="3"/>
        <v>0</v>
      </c>
      <c r="E41" s="653">
        <v>0</v>
      </c>
      <c r="G41" s="136" t="s">
        <v>1123</v>
      </c>
      <c r="H41" s="143">
        <f ca="1">IS!C81</f>
        <v>3976.35628415982</v>
      </c>
      <c r="I41" s="143">
        <f ca="1">IS!D81</f>
        <v>6797.6217191484147</v>
      </c>
      <c r="J41" s="143">
        <f ca="1">IS!E81</f>
        <v>6779.509242956583</v>
      </c>
      <c r="K41" s="529">
        <f ca="1">IS!F81</f>
        <v>6760.3994085593695</v>
      </c>
      <c r="M41" s="546" t="s">
        <v>1352</v>
      </c>
      <c r="O41" s="307">
        <f>Summary!H37/1000</f>
        <v>733.84663186476632</v>
      </c>
      <c r="Q41" s="487"/>
      <c r="R41" s="45"/>
      <c r="S41" s="285"/>
      <c r="T41" s="285"/>
      <c r="AB41" s="285"/>
    </row>
    <row r="42" spans="1:28" ht="16.5" thickBot="1">
      <c r="A42" s="521" t="s">
        <v>1332</v>
      </c>
      <c r="B42" s="242">
        <f t="shared" ca="1" si="2"/>
        <v>0</v>
      </c>
      <c r="C42" s="299"/>
      <c r="D42" s="648">
        <f t="shared" si="3"/>
        <v>0</v>
      </c>
      <c r="E42" s="653">
        <v>0</v>
      </c>
      <c r="G42" s="138" t="s">
        <v>1124</v>
      </c>
      <c r="H42" s="530">
        <f ca="1">CF!C99</f>
        <v>8738.4647827046592</v>
      </c>
      <c r="I42" s="530">
        <f ca="1">CF!D99</f>
        <v>15136.686702596011</v>
      </c>
      <c r="J42" s="530">
        <f ca="1">CF!E99</f>
        <v>14604.838821228859</v>
      </c>
      <c r="K42" s="531">
        <f ca="1">CF!F99</f>
        <v>14127.806741301225</v>
      </c>
      <c r="M42" s="136" t="s">
        <v>1210</v>
      </c>
      <c r="O42" s="336">
        <f ca="1">SUM(O37:O41)</f>
        <v>2016.5143826745991</v>
      </c>
      <c r="Q42" s="487">
        <f ca="1">O42/$O$11</f>
        <v>7.2798353165147986</v>
      </c>
      <c r="R42" s="45"/>
      <c r="S42" s="285"/>
      <c r="T42" s="285"/>
      <c r="AB42" s="285"/>
    </row>
    <row r="43" spans="1:28" ht="15.75">
      <c r="A43" s="521" t="s">
        <v>1333</v>
      </c>
      <c r="B43" s="242">
        <f t="shared" ca="1" si="2"/>
        <v>0</v>
      </c>
      <c r="C43" s="299"/>
      <c r="D43" s="648">
        <f t="shared" si="3"/>
        <v>0</v>
      </c>
      <c r="E43" s="653">
        <v>0</v>
      </c>
      <c r="M43" s="46"/>
      <c r="R43" s="543"/>
      <c r="S43" s="285"/>
      <c r="T43" s="285"/>
      <c r="AB43" s="285"/>
    </row>
    <row r="44" spans="1:28" ht="16.5" thickBot="1">
      <c r="A44" s="521" t="s">
        <v>1334</v>
      </c>
      <c r="B44" s="242">
        <f t="shared" ca="1" si="2"/>
        <v>0</v>
      </c>
      <c r="C44" s="299"/>
      <c r="D44" s="648">
        <f t="shared" si="3"/>
        <v>0</v>
      </c>
      <c r="E44" s="653">
        <v>0</v>
      </c>
      <c r="K44" s="285"/>
      <c r="M44" s="136" t="s">
        <v>1225</v>
      </c>
      <c r="R44" s="543"/>
      <c r="S44" s="285"/>
      <c r="T44" s="285"/>
      <c r="AB44" s="285"/>
    </row>
    <row r="45" spans="1:28" ht="15.75">
      <c r="A45" s="521" t="s">
        <v>1319</v>
      </c>
      <c r="B45" s="242">
        <f t="shared" ca="1" si="2"/>
        <v>0</v>
      </c>
      <c r="C45" s="299"/>
      <c r="D45" s="648">
        <f t="shared" si="3"/>
        <v>0</v>
      </c>
      <c r="E45" s="653">
        <v>0</v>
      </c>
      <c r="G45" s="504" t="s">
        <v>1110</v>
      </c>
      <c r="H45" s="505"/>
      <c r="I45" s="147"/>
      <c r="J45" s="532"/>
      <c r="M45" s="136" t="s">
        <v>1215</v>
      </c>
      <c r="O45" s="307"/>
      <c r="Q45" s="487">
        <f>O45/$O$11</f>
        <v>0</v>
      </c>
      <c r="R45" s="543"/>
      <c r="S45" s="285"/>
      <c r="T45" s="285"/>
      <c r="AB45" s="285"/>
    </row>
    <row r="46" spans="1:28" ht="15.75">
      <c r="A46" s="521" t="s">
        <v>1335</v>
      </c>
      <c r="B46" s="242">
        <f t="shared" ca="1" si="2"/>
        <v>0</v>
      </c>
      <c r="C46" s="299"/>
      <c r="D46" s="648">
        <f>C46/$O$11</f>
        <v>0</v>
      </c>
      <c r="E46" s="653">
        <v>0</v>
      </c>
      <c r="G46" s="46"/>
      <c r="J46" s="509"/>
      <c r="K46" s="285"/>
      <c r="M46" s="136" t="s">
        <v>1008</v>
      </c>
      <c r="O46" s="307"/>
      <c r="Q46" s="487">
        <f>O46/$O$11</f>
        <v>0</v>
      </c>
      <c r="R46" s="543"/>
      <c r="S46" s="285"/>
      <c r="T46" s="285"/>
      <c r="AB46" s="285"/>
    </row>
    <row r="47" spans="1:28" ht="15.75">
      <c r="A47" s="136" t="s">
        <v>1337</v>
      </c>
      <c r="B47" s="242">
        <f t="shared" ca="1" si="2"/>
        <v>7.1285256720725013E-2</v>
      </c>
      <c r="C47" s="143">
        <f>SUM(C33:C46)</f>
        <v>10000</v>
      </c>
      <c r="D47" s="648">
        <f>C47/$O$11</f>
        <v>36.101083032490976</v>
      </c>
      <c r="E47" s="45"/>
      <c r="G47" s="136" t="s">
        <v>1111</v>
      </c>
      <c r="I47" s="306">
        <f>I17</f>
        <v>37043</v>
      </c>
      <c r="J47" s="509"/>
      <c r="M47" s="136" t="s">
        <v>1216</v>
      </c>
      <c r="O47" s="307"/>
      <c r="Q47" s="487">
        <f>O47/$O$11</f>
        <v>0</v>
      </c>
      <c r="R47" s="543"/>
      <c r="S47" s="285"/>
      <c r="T47" s="285"/>
      <c r="AB47" s="285"/>
    </row>
    <row r="48" spans="1:28" ht="15.75">
      <c r="A48" s="46"/>
      <c r="E48" s="45"/>
      <c r="F48" s="97"/>
      <c r="G48" s="136" t="s">
        <v>1448</v>
      </c>
      <c r="I48" s="306">
        <f>I20</f>
        <v>46387</v>
      </c>
      <c r="J48" s="509"/>
      <c r="M48" s="136" t="s">
        <v>1009</v>
      </c>
      <c r="O48" s="307"/>
      <c r="Q48" s="487">
        <f>O48/$O$11</f>
        <v>0</v>
      </c>
      <c r="R48" s="543"/>
      <c r="S48" s="285"/>
      <c r="T48" s="285"/>
      <c r="AB48" s="285"/>
    </row>
    <row r="49" spans="1:28" ht="15.75">
      <c r="A49" s="136" t="s">
        <v>1338</v>
      </c>
      <c r="E49" s="45"/>
      <c r="G49" s="46"/>
      <c r="J49" s="509"/>
      <c r="M49" s="136" t="s">
        <v>1449</v>
      </c>
      <c r="O49" s="307"/>
      <c r="Q49" s="487">
        <f>O49/$O$11</f>
        <v>0</v>
      </c>
      <c r="R49" s="543"/>
      <c r="S49" s="285"/>
      <c r="T49" s="285"/>
      <c r="AB49" s="285"/>
    </row>
    <row r="50" spans="1:28" ht="15.75">
      <c r="A50" s="521" t="s">
        <v>1338</v>
      </c>
      <c r="B50" s="242">
        <f ca="1">C50/$C$91</f>
        <v>1.7249699092114774E-2</v>
      </c>
      <c r="C50" s="299">
        <f>CapCost!B8/1000</f>
        <v>2419.8130000000001</v>
      </c>
      <c r="D50" s="648">
        <f t="shared" ref="D50:D56" si="4">C50/$O$11</f>
        <v>8.735787003610108</v>
      </c>
      <c r="E50" s="653">
        <v>0</v>
      </c>
      <c r="G50" s="522" t="s">
        <v>1139</v>
      </c>
      <c r="J50" s="509"/>
      <c r="M50" s="136" t="s">
        <v>1226</v>
      </c>
      <c r="O50" s="336">
        <f>SUM(O45:O49)</f>
        <v>0</v>
      </c>
      <c r="R50" s="543"/>
      <c r="S50" s="285"/>
      <c r="T50" s="285"/>
      <c r="Z50" s="285"/>
      <c r="AA50" s="285"/>
      <c r="AB50" s="285"/>
    </row>
    <row r="51" spans="1:28" ht="15.75">
      <c r="A51" s="521" t="s">
        <v>1339</v>
      </c>
      <c r="B51" s="242">
        <f ca="1">C51/$C$91</f>
        <v>0</v>
      </c>
      <c r="C51" s="299"/>
      <c r="D51" s="648">
        <f t="shared" si="4"/>
        <v>0</v>
      </c>
      <c r="E51" s="653">
        <v>1</v>
      </c>
      <c r="G51" s="136" t="s">
        <v>1140</v>
      </c>
      <c r="I51" s="1155">
        <f>I19</f>
        <v>25.582477754962355</v>
      </c>
      <c r="J51" s="509"/>
      <c r="M51" s="46"/>
      <c r="R51" s="543"/>
      <c r="S51" s="285"/>
      <c r="T51" s="285"/>
      <c r="Z51" s="285"/>
      <c r="AA51" s="285"/>
      <c r="AB51" s="285"/>
    </row>
    <row r="52" spans="1:28" ht="15.75">
      <c r="A52" s="521" t="s">
        <v>1340</v>
      </c>
      <c r="B52" s="242">
        <f ca="1">C52/$C$91</f>
        <v>0</v>
      </c>
      <c r="C52" s="299"/>
      <c r="D52" s="648">
        <f t="shared" si="4"/>
        <v>0</v>
      </c>
      <c r="E52" s="653">
        <v>1</v>
      </c>
      <c r="G52" s="136" t="s">
        <v>1109</v>
      </c>
      <c r="H52" s="134"/>
      <c r="I52" s="304">
        <v>5</v>
      </c>
      <c r="J52" s="509"/>
      <c r="M52" s="541" t="s">
        <v>1093</v>
      </c>
      <c r="O52" s="225"/>
      <c r="Q52" s="334"/>
      <c r="R52" s="543"/>
      <c r="S52" s="285"/>
      <c r="T52" s="285"/>
      <c r="Z52" s="285"/>
      <c r="AA52" s="285"/>
      <c r="AB52" s="285"/>
    </row>
    <row r="53" spans="1:28" ht="15.75">
      <c r="A53" s="521" t="s">
        <v>1341</v>
      </c>
      <c r="B53" s="242">
        <f ca="1">C53/$C$91</f>
        <v>0</v>
      </c>
      <c r="C53" s="299"/>
      <c r="D53" s="648">
        <f t="shared" si="4"/>
        <v>0</v>
      </c>
      <c r="E53" s="653">
        <v>1</v>
      </c>
      <c r="G53" s="136" t="s">
        <v>623</v>
      </c>
      <c r="I53" s="306">
        <v>42735</v>
      </c>
      <c r="J53" s="45"/>
      <c r="M53" s="136" t="s">
        <v>1157</v>
      </c>
      <c r="O53" s="307">
        <v>0</v>
      </c>
      <c r="Q53" s="487">
        <f>O53/$O$11</f>
        <v>0</v>
      </c>
      <c r="R53" s="543"/>
      <c r="S53" s="285"/>
      <c r="T53" s="285"/>
      <c r="Z53" s="285"/>
      <c r="AA53" s="285"/>
      <c r="AB53" s="285"/>
    </row>
    <row r="54" spans="1:28" ht="15.75">
      <c r="A54" s="691" t="s">
        <v>1234</v>
      </c>
      <c r="B54" s="242"/>
      <c r="C54" s="693">
        <f>Sensitivity!D30</f>
        <v>0</v>
      </c>
      <c r="D54" s="648"/>
      <c r="E54" s="653"/>
      <c r="G54" s="136" t="str">
        <f>CONCATENATE("Demand Charge ($/kW-mo) Post ",TEXT( I53,"yyyy"))</f>
        <v>Demand Charge ($/kW-mo) Post 2016</v>
      </c>
      <c r="H54" s="134"/>
      <c r="I54" s="304">
        <v>5</v>
      </c>
      <c r="J54" s="509"/>
      <c r="M54" s="136" t="s">
        <v>1094</v>
      </c>
      <c r="O54" s="307">
        <v>0</v>
      </c>
      <c r="Q54" s="487">
        <f>O54/$O$11</f>
        <v>0</v>
      </c>
      <c r="R54" s="543"/>
      <c r="S54" s="285"/>
      <c r="T54" s="285"/>
      <c r="Z54" s="285"/>
      <c r="AA54" s="285"/>
      <c r="AB54" s="285"/>
    </row>
    <row r="55" spans="1:28" ht="15.75">
      <c r="A55" s="521" t="s">
        <v>1493</v>
      </c>
      <c r="B55" s="242">
        <f ca="1">C55/$C$91</f>
        <v>0</v>
      </c>
      <c r="C55" s="299"/>
      <c r="D55" s="648">
        <f t="shared" si="4"/>
        <v>0</v>
      </c>
      <c r="E55" s="653">
        <v>0</v>
      </c>
      <c r="G55" s="136" t="s">
        <v>984</v>
      </c>
      <c r="H55" s="134"/>
      <c r="I55" s="304">
        <v>1</v>
      </c>
      <c r="J55" s="509"/>
      <c r="M55" s="136" t="s">
        <v>1158</v>
      </c>
      <c r="O55" s="307">
        <v>0</v>
      </c>
      <c r="Q55" s="487">
        <f>O55/$O$11</f>
        <v>0</v>
      </c>
      <c r="R55" s="543"/>
      <c r="S55" s="285"/>
      <c r="T55" s="285"/>
      <c r="Z55" s="285"/>
      <c r="AA55" s="285"/>
      <c r="AB55" s="285"/>
    </row>
    <row r="56" spans="1:28" ht="15.75">
      <c r="A56" s="136" t="s">
        <v>1342</v>
      </c>
      <c r="B56" s="242">
        <f ca="1">C56/$C$91</f>
        <v>1.7249699092114774E-2</v>
      </c>
      <c r="C56" s="143">
        <f>SUM(C50:C55)</f>
        <v>2419.8130000000001</v>
      </c>
      <c r="D56" s="648">
        <f t="shared" si="4"/>
        <v>8.735787003610108</v>
      </c>
      <c r="E56" s="45"/>
      <c r="G56" s="136" t="s">
        <v>1222</v>
      </c>
      <c r="H56" s="134"/>
      <c r="I56" s="303">
        <v>4500</v>
      </c>
      <c r="J56" s="509"/>
      <c r="M56" s="136" t="s">
        <v>1382</v>
      </c>
      <c r="O56" s="307"/>
      <c r="Q56" s="487">
        <f>O56/$O$11</f>
        <v>0</v>
      </c>
      <c r="R56" s="543"/>
      <c r="S56" s="285"/>
      <c r="T56" s="285"/>
      <c r="Z56" s="285"/>
      <c r="AA56" s="285"/>
      <c r="AB56" s="285"/>
    </row>
    <row r="57" spans="1:28" ht="16.5" thickBot="1">
      <c r="A57" s="46"/>
      <c r="E57" s="45"/>
      <c r="G57" s="136" t="s">
        <v>1223</v>
      </c>
      <c r="H57" s="134"/>
      <c r="I57" s="216">
        <f>I56</f>
        <v>4500</v>
      </c>
      <c r="J57" s="45"/>
      <c r="M57" s="138" t="s">
        <v>1383</v>
      </c>
      <c r="N57" s="48"/>
      <c r="O57" s="606">
        <f>SUM(O53:O56)</f>
        <v>0</v>
      </c>
      <c r="P57" s="48"/>
      <c r="Q57" s="48"/>
      <c r="R57" s="547"/>
      <c r="S57" s="285"/>
      <c r="T57" s="285"/>
      <c r="Z57" s="285"/>
      <c r="AA57" s="285"/>
      <c r="AB57" s="285"/>
    </row>
    <row r="58" spans="1:28" ht="15.75">
      <c r="A58" s="660" t="s">
        <v>1451</v>
      </c>
      <c r="E58" s="45"/>
      <c r="G58" s="136" t="s">
        <v>1224</v>
      </c>
      <c r="H58" s="134"/>
      <c r="I58" s="216">
        <f>I56</f>
        <v>4500</v>
      </c>
      <c r="J58" s="45"/>
      <c r="R58" s="285"/>
      <c r="S58" s="285"/>
      <c r="T58" s="285"/>
      <c r="Z58" s="285"/>
      <c r="AA58" s="285"/>
      <c r="AB58" s="285"/>
    </row>
    <row r="59" spans="1:28" ht="15.75">
      <c r="A59" s="136" t="s">
        <v>1202</v>
      </c>
      <c r="B59" s="242">
        <f ca="1">C59/$C$91</f>
        <v>1.0408260534433649E-2</v>
      </c>
      <c r="C59" s="299">
        <f>CapCost!B19/1000</f>
        <v>1460.086</v>
      </c>
      <c r="D59" s="648">
        <f>C59/$O$11</f>
        <v>5.2710685920577616</v>
      </c>
      <c r="E59" s="653">
        <v>0</v>
      </c>
      <c r="G59" s="136" t="s">
        <v>1152</v>
      </c>
      <c r="H59" s="285"/>
      <c r="I59" s="309">
        <v>0.02</v>
      </c>
      <c r="J59" s="509"/>
      <c r="K59" s="285"/>
      <c r="R59" s="285"/>
      <c r="S59" s="285"/>
      <c r="T59" s="285"/>
      <c r="W59" s="285"/>
      <c r="X59" s="285"/>
      <c r="Z59" s="285"/>
      <c r="AA59" s="285"/>
      <c r="AB59" s="285"/>
    </row>
    <row r="60" spans="1:28" ht="15.75">
      <c r="A60" s="136" t="s">
        <v>1344</v>
      </c>
      <c r="B60" s="242">
        <f ca="1">C60/$C$91</f>
        <v>1.347127395931245E-2</v>
      </c>
      <c r="C60" s="299">
        <f>CapCost!B6/1000</f>
        <v>1889.77</v>
      </c>
      <c r="D60" s="648">
        <f>C60/$O$11</f>
        <v>6.8222743682310467</v>
      </c>
      <c r="E60" s="653">
        <v>0</v>
      </c>
      <c r="G60" s="136" t="s">
        <v>1154</v>
      </c>
      <c r="H60" s="285"/>
      <c r="I60" s="310">
        <f>O11*(1-I59)</f>
        <v>271.45999999999998</v>
      </c>
      <c r="J60" s="509"/>
      <c r="R60" s="285"/>
      <c r="S60" s="285"/>
      <c r="T60" s="285"/>
      <c r="Z60" s="285"/>
      <c r="AA60" s="285"/>
      <c r="AB60" s="285"/>
    </row>
    <row r="61" spans="1:28" ht="16.5" thickBot="1">
      <c r="A61" s="136" t="s">
        <v>1499</v>
      </c>
      <c r="B61" s="242">
        <f ca="1">C61/$C$91</f>
        <v>7.1285256720725007E-4</v>
      </c>
      <c r="C61" s="299">
        <f>CapCost!B21/1000</f>
        <v>100</v>
      </c>
      <c r="D61" s="648">
        <f>C61/$O$11</f>
        <v>0.36101083032490977</v>
      </c>
      <c r="E61" s="653">
        <v>0</v>
      </c>
      <c r="G61" s="136" t="s">
        <v>1153</v>
      </c>
      <c r="I61" s="225">
        <f>I60*I13*I14</f>
        <v>473969.15999999992</v>
      </c>
      <c r="J61" s="509"/>
      <c r="O61" s="334"/>
      <c r="R61" s="285"/>
      <c r="S61" s="285"/>
      <c r="T61" s="285"/>
      <c r="Z61" s="285"/>
      <c r="AA61" s="285"/>
      <c r="AB61" s="285"/>
    </row>
    <row r="62" spans="1:28" ht="15.75">
      <c r="A62" s="136" t="s">
        <v>1343</v>
      </c>
      <c r="B62" s="242">
        <f ca="1">C62/$C$91</f>
        <v>2.8069563955164415E-2</v>
      </c>
      <c r="C62" s="299">
        <f>CapCost!B28/1000</f>
        <v>3937.6394567999996</v>
      </c>
      <c r="D62" s="648">
        <f>C62/$O$11</f>
        <v>14.215304898194944</v>
      </c>
      <c r="E62" s="653">
        <v>0</v>
      </c>
      <c r="G62" s="136"/>
      <c r="H62" s="285"/>
      <c r="I62" s="144"/>
      <c r="J62" s="509"/>
      <c r="M62" s="504" t="s">
        <v>990</v>
      </c>
      <c r="N62" s="506"/>
      <c r="O62" s="506"/>
      <c r="P62" s="44"/>
      <c r="Q62" s="148"/>
      <c r="R62" s="285"/>
      <c r="S62" s="285"/>
      <c r="T62" s="285"/>
      <c r="Z62" s="285"/>
      <c r="AA62" s="285"/>
      <c r="AB62" s="285"/>
    </row>
    <row r="63" spans="1:28" ht="15.75">
      <c r="A63" s="136" t="s">
        <v>1436</v>
      </c>
      <c r="C63" s="143">
        <f>((SUMIF(E19:E24,"=1",C19:C24)+SUMIF(E29,"=1",C29)+SUMIF(E33:E46,"=1",C33:C46)+SUMIF(E50:E55,"=1",C50:C55)+SUMIF(E59:E62,"=1",C59:C62))*$I$104)*IF(Q79="Yes", 1,0)</f>
        <v>818.03782291666664</v>
      </c>
      <c r="E63" s="45"/>
      <c r="G63" s="46"/>
      <c r="J63" s="45"/>
      <c r="M63" s="46"/>
      <c r="N63" s="245"/>
      <c r="Q63" s="45"/>
      <c r="R63" s="285"/>
      <c r="S63" s="285"/>
      <c r="T63" s="285"/>
      <c r="Z63" s="285"/>
      <c r="AA63" s="285"/>
      <c r="AB63" s="285"/>
    </row>
    <row r="64" spans="1:28" ht="15.75">
      <c r="A64" s="136" t="s">
        <v>1350</v>
      </c>
      <c r="B64" s="242">
        <f ca="1">C64/$C$91</f>
        <v>0</v>
      </c>
      <c r="C64" s="609">
        <f>(Carry!E20-Carry!C20)*IF(Q76="Yes", 1,0)</f>
        <v>0</v>
      </c>
      <c r="D64" s="648">
        <f>C64/$O$11</f>
        <v>0</v>
      </c>
      <c r="E64" s="45"/>
      <c r="F64" s="124"/>
      <c r="G64" s="522" t="s">
        <v>1141</v>
      </c>
      <c r="J64" s="509"/>
      <c r="M64" s="136"/>
      <c r="N64" s="205" t="s">
        <v>992</v>
      </c>
      <c r="O64" s="205" t="s">
        <v>993</v>
      </c>
      <c r="Q64" s="247" t="s">
        <v>994</v>
      </c>
      <c r="R64" s="285"/>
      <c r="S64" s="285"/>
      <c r="T64" s="285"/>
      <c r="Z64" s="285"/>
      <c r="AA64" s="285"/>
      <c r="AB64" s="285"/>
    </row>
    <row r="65" spans="1:28" ht="15.75">
      <c r="A65" s="136" t="s">
        <v>1203</v>
      </c>
      <c r="B65" s="242">
        <f ca="1">C65/$C$91</f>
        <v>0</v>
      </c>
      <c r="C65" s="609">
        <f ca="1">Draw!C17</f>
        <v>0</v>
      </c>
      <c r="D65" s="648">
        <f ca="1">C65/$O$11</f>
        <v>0</v>
      </c>
      <c r="E65" s="45"/>
      <c r="G65" s="136" t="s">
        <v>1140</v>
      </c>
      <c r="I65" s="142">
        <v>0</v>
      </c>
      <c r="J65" s="509"/>
      <c r="M65" s="548" t="s">
        <v>995</v>
      </c>
      <c r="N65" s="144"/>
      <c r="O65" s="144"/>
      <c r="Q65" s="137"/>
      <c r="R65" s="285"/>
      <c r="S65" s="285"/>
      <c r="T65" s="285"/>
      <c r="Z65" s="285"/>
      <c r="AA65" s="285"/>
      <c r="AB65" s="285"/>
    </row>
    <row r="66" spans="1:28" ht="15.75">
      <c r="A66" s="136" t="s">
        <v>1452</v>
      </c>
      <c r="B66" s="242">
        <f ca="1">C66/$C$91</f>
        <v>5.8493354637505525E-2</v>
      </c>
      <c r="C66" s="143">
        <f ca="1">SUM(C59:C65)</f>
        <v>8205.5332797166666</v>
      </c>
      <c r="D66" s="648">
        <f ca="1">C66/$O$11</f>
        <v>29.622863825691937</v>
      </c>
      <c r="E66" s="45"/>
      <c r="G66" s="136" t="s">
        <v>984</v>
      </c>
      <c r="I66" s="308">
        <v>0</v>
      </c>
      <c r="J66" s="509"/>
      <c r="M66" s="508" t="s">
        <v>996</v>
      </c>
      <c r="N66" s="203">
        <v>15</v>
      </c>
      <c r="O66" s="275" t="s">
        <v>997</v>
      </c>
      <c r="Q66" s="549">
        <v>0</v>
      </c>
      <c r="R66" s="285"/>
      <c r="S66" s="285"/>
      <c r="T66" s="285"/>
      <c r="Z66" s="285"/>
      <c r="AA66" s="285"/>
      <c r="AB66" s="285"/>
    </row>
    <row r="67" spans="1:28" ht="19.5">
      <c r="A67" s="666" t="s">
        <v>1205</v>
      </c>
      <c r="B67" s="667">
        <f ca="1">C67/$C$91</f>
        <v>0.95120697918323249</v>
      </c>
      <c r="C67" s="668">
        <f ca="1">C26+C29+C47+C56+C66</f>
        <v>133436.70527971667</v>
      </c>
      <c r="D67" s="669">
        <f ca="1">C67/$O$11</f>
        <v>481.72095768850784</v>
      </c>
      <c r="E67" s="45"/>
      <c r="G67" s="136" t="s">
        <v>986</v>
      </c>
      <c r="H67" s="134"/>
      <c r="I67" s="303">
        <v>0</v>
      </c>
      <c r="J67" s="509"/>
      <c r="M67" s="508" t="s">
        <v>998</v>
      </c>
      <c r="N67" s="203">
        <v>20</v>
      </c>
      <c r="O67" s="275" t="s">
        <v>999</v>
      </c>
      <c r="Q67" s="549">
        <v>0</v>
      </c>
      <c r="R67" s="285"/>
      <c r="S67" s="285"/>
      <c r="T67" s="285"/>
      <c r="Z67" s="285"/>
      <c r="AA67" s="285"/>
      <c r="AB67" s="285"/>
    </row>
    <row r="68" spans="1:28" ht="15.75">
      <c r="A68" s="46"/>
      <c r="E68" s="45"/>
      <c r="G68" s="136" t="s">
        <v>1152</v>
      </c>
      <c r="I68" s="309">
        <v>0.02</v>
      </c>
      <c r="J68" s="509"/>
      <c r="K68" s="285"/>
      <c r="M68" s="508"/>
      <c r="N68" s="145"/>
      <c r="O68" s="145"/>
      <c r="Q68" s="550"/>
      <c r="R68" s="285"/>
      <c r="S68" s="285"/>
      <c r="T68" s="285"/>
      <c r="W68" s="285"/>
      <c r="X68" s="285"/>
      <c r="Y68" s="285"/>
      <c r="Z68" s="285"/>
      <c r="AA68" s="285"/>
      <c r="AB68" s="285"/>
    </row>
    <row r="69" spans="1:28" ht="15.75">
      <c r="A69" s="46"/>
      <c r="E69" s="45"/>
      <c r="G69" s="136" t="s">
        <v>1154</v>
      </c>
      <c r="H69" s="285"/>
      <c r="I69" s="310">
        <f>O11*(1-I68)</f>
        <v>271.45999999999998</v>
      </c>
      <c r="J69" s="509"/>
      <c r="K69" s="285"/>
      <c r="M69" s="548" t="s">
        <v>1001</v>
      </c>
      <c r="N69" s="146"/>
      <c r="O69" s="145"/>
      <c r="Q69" s="551"/>
      <c r="R69" s="285"/>
      <c r="S69" s="285"/>
      <c r="T69" s="285"/>
      <c r="W69" s="285"/>
      <c r="X69" s="285"/>
      <c r="Y69" s="285"/>
      <c r="Z69" s="285"/>
      <c r="AA69" s="285"/>
      <c r="AB69" s="285"/>
    </row>
    <row r="70" spans="1:28" ht="15.75">
      <c r="A70" s="660" t="s">
        <v>1453</v>
      </c>
      <c r="E70" s="45"/>
      <c r="G70" s="136" t="s">
        <v>1153</v>
      </c>
      <c r="I70" s="225">
        <f>I69*I13*availability</f>
        <v>473969.15999999992</v>
      </c>
      <c r="J70" s="509"/>
      <c r="K70" s="285"/>
      <c r="M70" s="508" t="s">
        <v>996</v>
      </c>
      <c r="N70" s="203">
        <v>30</v>
      </c>
      <c r="O70" s="275" t="s">
        <v>999</v>
      </c>
      <c r="Q70" s="552">
        <v>0.1</v>
      </c>
      <c r="R70" s="285"/>
      <c r="S70" s="285"/>
      <c r="T70" s="285"/>
      <c r="W70" s="285"/>
      <c r="X70" s="285"/>
      <c r="Y70" s="285"/>
      <c r="Z70" s="285"/>
      <c r="AA70" s="285"/>
      <c r="AB70" s="285"/>
    </row>
    <row r="71" spans="1:28" ht="16.5" thickBot="1">
      <c r="A71" s="46" t="s">
        <v>1233</v>
      </c>
      <c r="B71" s="242">
        <f ca="1">C71/$C$91</f>
        <v>1.8346120232133604E-2</v>
      </c>
      <c r="C71" s="299">
        <f>CapCost!B24/1000</f>
        <v>2573.6205599999998</v>
      </c>
      <c r="D71" s="648">
        <f>C71/$O$11</f>
        <v>9.2910489530685911</v>
      </c>
      <c r="E71" s="654"/>
      <c r="G71" s="46"/>
      <c r="J71" s="509"/>
      <c r="K71" s="285"/>
      <c r="M71" s="553" t="s">
        <v>998</v>
      </c>
      <c r="N71" s="554">
        <v>20</v>
      </c>
      <c r="O71" s="555" t="s">
        <v>999</v>
      </c>
      <c r="P71" s="48"/>
      <c r="Q71" s="556">
        <v>0</v>
      </c>
      <c r="R71" s="285"/>
      <c r="S71" s="285"/>
      <c r="T71" s="285"/>
      <c r="W71" s="285"/>
      <c r="X71" s="285"/>
      <c r="Y71" s="285"/>
      <c r="Z71" s="285"/>
      <c r="AA71" s="285"/>
      <c r="AB71" s="285"/>
    </row>
    <row r="72" spans="1:28" ht="16.5" thickBot="1">
      <c r="A72" s="46" t="s">
        <v>1445</v>
      </c>
      <c r="B72" s="242">
        <f ca="1">C72/$C$91</f>
        <v>0</v>
      </c>
      <c r="C72" s="299"/>
      <c r="D72" s="648">
        <f>C72/$O$11</f>
        <v>0</v>
      </c>
      <c r="E72" s="654"/>
      <c r="G72" s="136" t="s">
        <v>991</v>
      </c>
      <c r="H72" s="134"/>
      <c r="I72" s="304">
        <v>0</v>
      </c>
      <c r="J72" s="509"/>
      <c r="K72" s="285"/>
      <c r="L72" s="285"/>
      <c r="R72" s="285"/>
      <c r="S72" s="285"/>
      <c r="T72" s="285"/>
    </row>
    <row r="73" spans="1:28" ht="15.75">
      <c r="A73" s="46" t="s">
        <v>1446</v>
      </c>
      <c r="B73" s="242">
        <f ca="1">C73/$C$91</f>
        <v>0</v>
      </c>
      <c r="C73" s="299"/>
      <c r="D73" s="648">
        <f>C73/$O$11</f>
        <v>0</v>
      </c>
      <c r="E73" s="654"/>
      <c r="G73" s="136" t="s">
        <v>1151</v>
      </c>
      <c r="I73" s="309">
        <v>0</v>
      </c>
      <c r="J73" s="509"/>
      <c r="K73" s="285"/>
      <c r="L73" s="285"/>
      <c r="M73" s="504" t="s">
        <v>1450</v>
      </c>
      <c r="N73" s="44"/>
      <c r="O73" s="44"/>
      <c r="P73" s="44"/>
      <c r="Q73" s="540"/>
      <c r="R73" s="285"/>
      <c r="S73" s="285"/>
      <c r="T73" s="285"/>
    </row>
    <row r="74" spans="1:28" ht="16.5" thickBot="1">
      <c r="A74" s="46" t="s">
        <v>1467</v>
      </c>
      <c r="B74" s="242">
        <f ca="1">C74/$C$91</f>
        <v>0</v>
      </c>
      <c r="C74" s="299"/>
      <c r="D74" s="648">
        <f>C74/$O$11</f>
        <v>0</v>
      </c>
      <c r="E74" s="45"/>
      <c r="G74" s="138" t="s">
        <v>946</v>
      </c>
      <c r="H74" s="533"/>
      <c r="I74" s="534">
        <v>0</v>
      </c>
      <c r="J74" s="513"/>
      <c r="K74" s="285"/>
      <c r="L74" s="285"/>
      <c r="M74" s="46"/>
      <c r="Q74" s="45"/>
      <c r="R74" s="285"/>
      <c r="S74" s="285"/>
      <c r="T74" s="285"/>
    </row>
    <row r="75" spans="1:28" ht="16.5" thickBot="1">
      <c r="A75" s="136" t="s">
        <v>978</v>
      </c>
      <c r="B75" s="242">
        <f ca="1">C75/$C$91</f>
        <v>1.8346120232133604E-2</v>
      </c>
      <c r="C75" s="143">
        <f>SUM(C71:C74)</f>
        <v>2573.6205599999998</v>
      </c>
      <c r="D75" s="648">
        <f>C75/$O$11</f>
        <v>9.2910489530685911</v>
      </c>
      <c r="E75" s="45"/>
      <c r="K75" s="285"/>
      <c r="L75" s="285"/>
      <c r="M75" s="136" t="s">
        <v>1438</v>
      </c>
      <c r="Q75" s="677" t="s">
        <v>1387</v>
      </c>
      <c r="R75" s="285"/>
      <c r="S75" s="285"/>
      <c r="T75" s="285"/>
    </row>
    <row r="76" spans="1:28" ht="15.75">
      <c r="A76" s="46"/>
      <c r="E76" s="45"/>
      <c r="G76" s="504" t="s">
        <v>1474</v>
      </c>
      <c r="H76" s="44"/>
      <c r="I76" s="44"/>
      <c r="J76" s="540"/>
      <c r="K76" s="285"/>
      <c r="L76" s="285"/>
      <c r="M76" s="136" t="s">
        <v>1439</v>
      </c>
      <c r="Q76" s="677" t="s">
        <v>1440</v>
      </c>
      <c r="R76" s="285"/>
      <c r="S76" s="285"/>
      <c r="T76" s="285"/>
    </row>
    <row r="77" spans="1:28" ht="15.75">
      <c r="A77" s="660" t="s">
        <v>1125</v>
      </c>
      <c r="D77" s="650"/>
      <c r="E77" s="45"/>
      <c r="G77" s="46"/>
      <c r="J77" s="45"/>
      <c r="K77" s="285"/>
      <c r="L77" s="285"/>
      <c r="M77" s="136" t="s">
        <v>1473</v>
      </c>
      <c r="Q77" s="677" t="s">
        <v>1387</v>
      </c>
      <c r="R77" s="285"/>
      <c r="S77" s="285"/>
      <c r="T77" s="285"/>
    </row>
    <row r="78" spans="1:28" ht="15.75">
      <c r="A78" s="521" t="s">
        <v>1130</v>
      </c>
      <c r="B78" s="242">
        <f ca="1">C78/$C$91</f>
        <v>0</v>
      </c>
      <c r="C78" s="299"/>
      <c r="D78" s="648">
        <f>C78/$O$11</f>
        <v>0</v>
      </c>
      <c r="E78" s="45"/>
      <c r="G78" s="136" t="s">
        <v>1354</v>
      </c>
      <c r="I78" s="299">
        <f>Summary!E21/1000</f>
        <v>1341.5625</v>
      </c>
      <c r="J78" s="45"/>
      <c r="K78" s="285"/>
      <c r="L78" s="285"/>
      <c r="M78" s="136" t="s">
        <v>1441</v>
      </c>
      <c r="Q78" s="677" t="s">
        <v>1387</v>
      </c>
      <c r="R78" s="285"/>
      <c r="S78" s="285"/>
      <c r="T78" s="285"/>
    </row>
    <row r="79" spans="1:28" ht="16.5" thickBot="1">
      <c r="A79" s="521" t="s">
        <v>1126</v>
      </c>
      <c r="B79" s="242">
        <f ca="1">C79/$C$91</f>
        <v>0</v>
      </c>
      <c r="C79" s="686">
        <f>SUMPRODUCT(B110:D110,B115:D115)</f>
        <v>0</v>
      </c>
      <c r="D79" s="648">
        <f>C79/$O$11</f>
        <v>0</v>
      </c>
      <c r="E79" s="45"/>
      <c r="G79" s="138"/>
      <c r="H79" s="533"/>
      <c r="I79" s="250"/>
      <c r="J79" s="120"/>
      <c r="K79" s="285"/>
      <c r="L79" s="285"/>
      <c r="M79" s="136" t="s">
        <v>1444</v>
      </c>
      <c r="Q79" s="677" t="s">
        <v>1387</v>
      </c>
      <c r="R79" s="285"/>
      <c r="S79" s="285"/>
      <c r="T79" s="285"/>
    </row>
    <row r="80" spans="1:28" ht="15.75">
      <c r="A80" s="521" t="s">
        <v>1127</v>
      </c>
      <c r="B80" s="291">
        <f ca="1">C80/$C$91</f>
        <v>0</v>
      </c>
      <c r="C80" s="651"/>
      <c r="D80" s="648">
        <f>C80/$O$11</f>
        <v>0</v>
      </c>
      <c r="E80" s="45"/>
      <c r="L80" s="285"/>
      <c r="M80" s="136" t="s">
        <v>1457</v>
      </c>
      <c r="Q80" s="677" t="s">
        <v>1440</v>
      </c>
      <c r="R80" s="285"/>
      <c r="S80" s="285"/>
      <c r="T80" s="285"/>
    </row>
    <row r="81" spans="1:20" ht="16.5" thickBot="1">
      <c r="A81" s="136" t="s">
        <v>1454</v>
      </c>
      <c r="B81" s="242">
        <f ca="1">C81/$C$91</f>
        <v>0</v>
      </c>
      <c r="C81" s="143">
        <f>SUM(C78:C80)</f>
        <v>0</v>
      </c>
      <c r="D81" s="648">
        <f>C81/$O$11</f>
        <v>0</v>
      </c>
      <c r="E81" s="45"/>
      <c r="K81" s="285"/>
      <c r="L81" s="285"/>
      <c r="M81" s="136" t="s">
        <v>1466</v>
      </c>
      <c r="Q81" s="677">
        <v>4</v>
      </c>
      <c r="R81" s="285"/>
      <c r="S81" s="285"/>
      <c r="T81" s="285"/>
    </row>
    <row r="82" spans="1:20" ht="15.75">
      <c r="A82" s="46"/>
      <c r="C82" s="26"/>
      <c r="E82" s="45"/>
      <c r="G82" s="504" t="s">
        <v>1401</v>
      </c>
      <c r="H82" s="44"/>
      <c r="I82" s="44"/>
      <c r="J82" s="540"/>
      <c r="L82" s="285"/>
      <c r="M82" s="136" t="s">
        <v>1513</v>
      </c>
      <c r="Q82" s="677">
        <v>2</v>
      </c>
      <c r="R82" s="285"/>
      <c r="S82" s="285"/>
      <c r="T82" s="285"/>
    </row>
    <row r="83" spans="1:20" ht="15.75">
      <c r="A83" s="517" t="s">
        <v>1349</v>
      </c>
      <c r="B83" s="291">
        <f ca="1">C83/$C$91</f>
        <v>1.4034781977582208E-2</v>
      </c>
      <c r="C83" s="299">
        <f>CapCost!B27/1000</f>
        <v>1968.8197283999998</v>
      </c>
      <c r="D83" s="648">
        <f>C83/$O$11</f>
        <v>7.107652449097472</v>
      </c>
      <c r="E83" s="45"/>
      <c r="G83" s="46"/>
      <c r="J83" s="45"/>
      <c r="K83" s="285"/>
      <c r="L83" s="285"/>
      <c r="M83" s="136"/>
      <c r="Q83" s="45"/>
      <c r="R83" s="285"/>
      <c r="S83" s="285"/>
      <c r="T83" s="285"/>
    </row>
    <row r="84" spans="1:20" ht="16.5" thickBot="1">
      <c r="A84" s="46"/>
      <c r="B84" s="242">
        <f ca="1">SUM(B83:B83)</f>
        <v>1.4034781977582208E-2</v>
      </c>
      <c r="C84" s="143">
        <f>SUM(C83:C83)</f>
        <v>1968.8197283999998</v>
      </c>
      <c r="D84" s="648">
        <f>C84/$O$11</f>
        <v>7.107652449097472</v>
      </c>
      <c r="E84" s="45"/>
      <c r="G84" s="1138" t="s">
        <v>952</v>
      </c>
      <c r="H84" s="1139"/>
      <c r="I84" s="1140">
        <f ca="1">CF!B66</f>
        <v>7.669325172901155E-2</v>
      </c>
      <c r="J84" s="45"/>
      <c r="K84" s="285"/>
      <c r="L84" s="285"/>
      <c r="M84" s="264"/>
      <c r="N84" s="48"/>
      <c r="O84" s="48"/>
      <c r="P84" s="48"/>
      <c r="Q84" s="547"/>
      <c r="R84" s="285"/>
      <c r="S84" s="285"/>
      <c r="T84" s="285"/>
    </row>
    <row r="85" spans="1:20" ht="16.5" thickBot="1">
      <c r="A85" s="46"/>
      <c r="E85" s="45"/>
      <c r="G85" s="138"/>
      <c r="H85" s="533"/>
      <c r="I85" s="250"/>
      <c r="J85" s="120"/>
      <c r="L85" s="285"/>
      <c r="Q85" s="285"/>
      <c r="R85" s="285"/>
      <c r="S85" s="285"/>
      <c r="T85" s="285"/>
    </row>
    <row r="86" spans="1:20" ht="15.75">
      <c r="A86" s="660" t="s">
        <v>1238</v>
      </c>
      <c r="E86" s="45"/>
      <c r="K86" s="285"/>
      <c r="L86" s="285"/>
      <c r="M86" s="81"/>
      <c r="Q86" s="285"/>
      <c r="R86" s="285"/>
      <c r="S86" s="285"/>
      <c r="T86" s="285"/>
    </row>
    <row r="87" spans="1:20" ht="15.75">
      <c r="A87" s="136" t="s">
        <v>1238</v>
      </c>
      <c r="B87" s="242">
        <f ca="1">C87/$C$91</f>
        <v>6.8487558851118612E-3</v>
      </c>
      <c r="C87" s="299">
        <f ca="1">Summary!E13/1000+Summary!E23/1000</f>
        <v>960.75348538664923</v>
      </c>
      <c r="D87" s="648">
        <f ca="1">C87/$O$11</f>
        <v>3.4684241349698528</v>
      </c>
      <c r="E87" s="45"/>
      <c r="K87" s="285"/>
      <c r="L87" s="285"/>
      <c r="Q87" s="285"/>
      <c r="R87" s="285"/>
    </row>
    <row r="88" spans="1:20" ht="15.75">
      <c r="A88" s="136" t="s">
        <v>1354</v>
      </c>
      <c r="B88" s="242">
        <f ca="1">IF(Q77="Yes",C88/$C$91,0)</f>
        <v>9.5633627219397655E-3</v>
      </c>
      <c r="C88" s="686">
        <f>IF(Q77="Yes",I78,"Spares Not Included")</f>
        <v>1341.5625</v>
      </c>
      <c r="D88" s="648">
        <f>IF(Q77="Yes",C88/$O$11, 0)</f>
        <v>4.8431859205776178</v>
      </c>
      <c r="E88" s="45"/>
      <c r="K88" s="285"/>
      <c r="L88" s="285"/>
      <c r="Q88" s="285"/>
      <c r="R88" s="285"/>
    </row>
    <row r="89" spans="1:20" ht="15.75">
      <c r="A89" s="136" t="s">
        <v>1353</v>
      </c>
      <c r="B89" s="242">
        <f ca="1">C89/$C$91</f>
        <v>1.6412118607051624E-2</v>
      </c>
      <c r="C89" s="143">
        <f ca="1">SUM(C87:C88)</f>
        <v>2302.3159853866491</v>
      </c>
      <c r="D89" s="648">
        <f ca="1">C89/$O$11</f>
        <v>8.3116100555474706</v>
      </c>
      <c r="E89" s="45"/>
      <c r="F89" s="134"/>
      <c r="K89" s="285"/>
      <c r="L89" s="285"/>
      <c r="Q89" s="285"/>
      <c r="R89" s="285"/>
    </row>
    <row r="90" spans="1:20" ht="15.75">
      <c r="A90" s="46"/>
      <c r="E90" s="45"/>
      <c r="F90" s="134"/>
      <c r="K90" s="285"/>
      <c r="L90" s="285"/>
      <c r="Q90" s="285"/>
      <c r="R90" s="285"/>
    </row>
    <row r="91" spans="1:20" ht="19.5" thickBot="1">
      <c r="A91" s="661" t="s">
        <v>1128</v>
      </c>
      <c r="B91" s="662">
        <f ca="1">B84+B81+B67+B89+B75</f>
        <v>0.99999999999999989</v>
      </c>
      <c r="C91" s="663">
        <f ca="1">C67+C81+C84+C89+C75</f>
        <v>140281.46155350332</v>
      </c>
      <c r="D91" s="664">
        <f ca="1">C91/O11</f>
        <v>506.43126914622138</v>
      </c>
      <c r="E91" s="665"/>
      <c r="K91" s="285"/>
      <c r="L91" s="285"/>
      <c r="Q91" s="285"/>
      <c r="R91" s="285"/>
    </row>
    <row r="92" spans="1:20">
      <c r="A92" s="46"/>
      <c r="K92" s="285"/>
      <c r="L92" s="285"/>
      <c r="Q92" s="285"/>
      <c r="R92" s="285"/>
    </row>
    <row r="93" spans="1:20">
      <c r="K93" s="285"/>
      <c r="L93" s="285"/>
      <c r="Q93" s="285"/>
    </row>
    <row r="94" spans="1:20">
      <c r="K94" s="285"/>
      <c r="L94" s="285"/>
      <c r="Q94" s="285"/>
    </row>
    <row r="95" spans="1:20" ht="15.75">
      <c r="J95" s="334"/>
      <c r="K95" s="285"/>
      <c r="L95" s="285"/>
    </row>
    <row r="96" spans="1:20" ht="15.75">
      <c r="C96" s="122"/>
      <c r="J96" s="142"/>
      <c r="K96" s="285"/>
      <c r="L96" s="285"/>
    </row>
    <row r="97" spans="1:12">
      <c r="L97" s="285"/>
    </row>
    <row r="98" spans="1:12" ht="15.75">
      <c r="J98" s="142"/>
      <c r="K98" s="285"/>
      <c r="L98" s="285"/>
    </row>
    <row r="99" spans="1:12">
      <c r="J99" s="285"/>
      <c r="K99" s="285"/>
      <c r="L99" s="285"/>
    </row>
    <row r="100" spans="1:12">
      <c r="J100" s="285"/>
      <c r="K100" s="285"/>
      <c r="L100" s="285"/>
    </row>
    <row r="101" spans="1:12" ht="13.5" thickBot="1">
      <c r="J101" s="285"/>
      <c r="K101" s="285"/>
      <c r="L101" s="285"/>
    </row>
    <row r="102" spans="1:12" ht="15.75">
      <c r="E102" s="186"/>
      <c r="G102" s="504" t="s">
        <v>1000</v>
      </c>
      <c r="H102" s="506"/>
      <c r="I102" s="532"/>
      <c r="J102" s="285"/>
      <c r="K102" s="285"/>
      <c r="L102" s="285"/>
    </row>
    <row r="103" spans="1:12" ht="16.5" thickBot="1">
      <c r="E103" s="186"/>
      <c r="G103" s="136"/>
      <c r="H103" s="280"/>
      <c r="I103" s="509"/>
      <c r="J103" s="285"/>
      <c r="K103" s="285"/>
      <c r="L103" s="285"/>
    </row>
    <row r="104" spans="1:12" ht="15.75">
      <c r="A104" s="523" t="s">
        <v>1138</v>
      </c>
      <c r="B104" s="44"/>
      <c r="C104" s="44"/>
      <c r="D104" s="557"/>
      <c r="E104" s="540"/>
      <c r="G104" s="136" t="s">
        <v>1437</v>
      </c>
      <c r="I104" s="572">
        <v>6.25E-2</v>
      </c>
      <c r="J104" s="285"/>
      <c r="K104" s="285"/>
      <c r="L104" s="285"/>
    </row>
    <row r="105" spans="1:12" ht="15.75">
      <c r="A105" s="558" t="s">
        <v>1135</v>
      </c>
      <c r="B105" s="149" t="s">
        <v>975</v>
      </c>
      <c r="C105" s="149" t="s">
        <v>976</v>
      </c>
      <c r="D105" s="149" t="s">
        <v>977</v>
      </c>
      <c r="E105" s="559" t="s">
        <v>978</v>
      </c>
      <c r="G105" s="136" t="s">
        <v>1169</v>
      </c>
      <c r="I105" s="572">
        <v>0.35</v>
      </c>
      <c r="L105" s="285"/>
    </row>
    <row r="106" spans="1:12" ht="15.75">
      <c r="A106" s="560" t="s">
        <v>1080</v>
      </c>
      <c r="B106" s="244">
        <v>36739</v>
      </c>
      <c r="C106" s="244"/>
      <c r="D106" s="244"/>
      <c r="E106" s="561"/>
      <c r="G106" s="136" t="s">
        <v>1170</v>
      </c>
      <c r="I106" s="573">
        <v>7.1800000000000003E-2</v>
      </c>
      <c r="J106" s="285"/>
      <c r="K106" s="285"/>
      <c r="L106" s="285"/>
    </row>
    <row r="107" spans="1:12" ht="15.75">
      <c r="A107" s="560" t="s">
        <v>1165</v>
      </c>
      <c r="B107" s="244"/>
      <c r="C107" s="244"/>
      <c r="D107" s="244"/>
      <c r="E107" s="45"/>
      <c r="G107" s="574" t="s">
        <v>1430</v>
      </c>
      <c r="I107" s="573">
        <v>1.5E-3</v>
      </c>
      <c r="J107" s="285"/>
      <c r="K107" s="285"/>
      <c r="L107" s="285"/>
    </row>
    <row r="108" spans="1:12" ht="15.75">
      <c r="A108" s="46"/>
      <c r="E108" s="45"/>
      <c r="F108" s="134"/>
      <c r="G108" s="574" t="s">
        <v>1431</v>
      </c>
      <c r="I108" s="573">
        <v>1E-3</v>
      </c>
      <c r="J108" s="285"/>
      <c r="K108" s="285"/>
      <c r="L108" s="285"/>
    </row>
    <row r="109" spans="1:12" ht="15.75">
      <c r="A109" s="522" t="s">
        <v>980</v>
      </c>
      <c r="E109" s="45"/>
      <c r="G109" s="136" t="s">
        <v>1468</v>
      </c>
      <c r="I109" s="573">
        <v>7.6300000000000007E-2</v>
      </c>
      <c r="J109" s="285"/>
      <c r="K109" s="285"/>
      <c r="L109" s="285"/>
    </row>
    <row r="110" spans="1:12" ht="15.75">
      <c r="A110" s="562" t="s">
        <v>981</v>
      </c>
      <c r="B110" s="265">
        <f>IF(Q82=1,Debt!B102,0)</f>
        <v>0</v>
      </c>
      <c r="C110" s="265"/>
      <c r="D110" s="265"/>
      <c r="E110" s="563">
        <f>SUM(B110:D110)</f>
        <v>0</v>
      </c>
      <c r="F110" s="134"/>
      <c r="G110" s="136" t="s">
        <v>1469</v>
      </c>
      <c r="I110" s="573">
        <v>0.33</v>
      </c>
      <c r="J110" s="285"/>
      <c r="K110" s="285"/>
      <c r="L110" s="285"/>
    </row>
    <row r="111" spans="1:12" ht="15.75">
      <c r="A111" s="562" t="s">
        <v>982</v>
      </c>
      <c r="B111" s="265">
        <v>15</v>
      </c>
      <c r="C111" s="265"/>
      <c r="D111" s="265"/>
      <c r="E111" s="564">
        <f>MAX(B111:D111)</f>
        <v>15</v>
      </c>
      <c r="F111" s="134"/>
      <c r="G111" s="136" t="s">
        <v>1470</v>
      </c>
      <c r="I111" s="573">
        <v>0.05</v>
      </c>
      <c r="J111" s="285"/>
      <c r="K111" s="285"/>
      <c r="L111" s="285"/>
    </row>
    <row r="112" spans="1:12" ht="16.5" thickBot="1">
      <c r="A112" s="562" t="s">
        <v>983</v>
      </c>
      <c r="B112" s="244">
        <v>42218</v>
      </c>
      <c r="C112" s="244"/>
      <c r="D112" s="244"/>
      <c r="E112" s="565">
        <f>MAX(B112:D112)</f>
        <v>42218</v>
      </c>
      <c r="F112" s="134"/>
      <c r="G112" s="138" t="s">
        <v>1471</v>
      </c>
      <c r="H112" s="48"/>
      <c r="I112" s="678">
        <f ca="1">C91-C26-C66-C75-C81-C89</f>
        <v>15017.360728400014</v>
      </c>
      <c r="K112" s="285"/>
      <c r="L112" s="285"/>
    </row>
    <row r="113" spans="1:12" ht="15.75">
      <c r="A113" s="562"/>
      <c r="B113" s="150"/>
      <c r="C113" s="150"/>
      <c r="D113" s="150"/>
      <c r="E113" s="566"/>
      <c r="F113" s="134"/>
      <c r="G113"/>
      <c r="H113"/>
      <c r="I113"/>
      <c r="K113" s="285"/>
      <c r="L113" s="285"/>
    </row>
    <row r="114" spans="1:12" ht="15.75">
      <c r="A114" s="562" t="s">
        <v>1253</v>
      </c>
      <c r="B114" s="628" t="s">
        <v>1010</v>
      </c>
      <c r="C114" s="628" t="s">
        <v>1254</v>
      </c>
      <c r="E114" s="563"/>
      <c r="G114"/>
      <c r="H114"/>
      <c r="I114"/>
      <c r="J114" s="142"/>
      <c r="K114" s="285"/>
      <c r="L114" s="285"/>
    </row>
    <row r="115" spans="1:12" ht="15.75">
      <c r="A115" s="136" t="s">
        <v>1345</v>
      </c>
      <c r="B115" s="269">
        <v>1.4999999999999999E-2</v>
      </c>
      <c r="C115" s="269">
        <v>1.4999999999999999E-2</v>
      </c>
      <c r="D115" s="269">
        <v>1.4999999999999999E-2</v>
      </c>
      <c r="E115" s="563"/>
      <c r="F115" s="134"/>
      <c r="G115"/>
      <c r="H115"/>
      <c r="I115"/>
      <c r="J115" s="142"/>
      <c r="K115" s="285"/>
      <c r="L115" s="285"/>
    </row>
    <row r="116" spans="1:12" ht="15.75">
      <c r="A116" s="567" t="s">
        <v>985</v>
      </c>
      <c r="B116" s="269">
        <v>6.5000000000000002E-2</v>
      </c>
      <c r="C116" s="269">
        <f>B116</f>
        <v>6.5000000000000002E-2</v>
      </c>
      <c r="D116" s="269">
        <f>C116</f>
        <v>6.5000000000000002E-2</v>
      </c>
      <c r="E116" s="568" t="e">
        <f>SUMPRODUCT(B116:D116,$B$110:$D$110)/SUM($B$110:$D$110)</f>
        <v>#DIV/0!</v>
      </c>
      <c r="F116" s="134"/>
      <c r="G116"/>
      <c r="H116"/>
      <c r="I116"/>
      <c r="J116" s="142"/>
      <c r="K116" s="285"/>
      <c r="L116" s="285"/>
    </row>
    <row r="117" spans="1:12" ht="15.75">
      <c r="A117" s="567" t="s">
        <v>987</v>
      </c>
      <c r="B117" s="270">
        <v>0.01</v>
      </c>
      <c r="C117" s="270">
        <v>0.01</v>
      </c>
      <c r="D117" s="270">
        <v>0.01</v>
      </c>
      <c r="E117" s="569" t="e">
        <f>SUMPRODUCT(B117:D117,$B$110:$D$110)/SUM($B$110:$D$110)</f>
        <v>#DIV/0!</v>
      </c>
      <c r="F117" s="134"/>
      <c r="G117"/>
      <c r="H117"/>
      <c r="I117"/>
      <c r="J117" s="142"/>
      <c r="K117" s="285"/>
      <c r="L117" s="285"/>
    </row>
    <row r="118" spans="1:12" ht="15.75">
      <c r="A118" s="562" t="s">
        <v>988</v>
      </c>
      <c r="B118" s="139">
        <f>Debt!F7</f>
        <v>7.4999999999999997E-2</v>
      </c>
      <c r="C118" s="139">
        <f>Debt!L7</f>
        <v>7.4999999999999997E-2</v>
      </c>
      <c r="D118" s="139">
        <f>Debt!R7</f>
        <v>7.4999999999999997E-2</v>
      </c>
      <c r="E118" s="568" t="e">
        <f>SUMPRODUCT(B118:D118,$B$110:$D$110)/SUM($B$110:$D$110)</f>
        <v>#DIV/0!</v>
      </c>
      <c r="F118" s="134"/>
      <c r="G118"/>
      <c r="H118"/>
      <c r="I118"/>
      <c r="J118" s="142"/>
      <c r="K118" s="285"/>
      <c r="L118" s="285"/>
    </row>
    <row r="119" spans="1:12" ht="15.75">
      <c r="A119" s="136"/>
      <c r="B119" s="134"/>
      <c r="C119" s="134"/>
      <c r="D119" s="134"/>
      <c r="E119" s="570"/>
      <c r="F119" s="134"/>
      <c r="G119"/>
      <c r="H119"/>
      <c r="I119"/>
      <c r="J119" s="142"/>
      <c r="K119" s="285"/>
      <c r="L119" s="285"/>
    </row>
    <row r="120" spans="1:12" ht="15.75">
      <c r="A120" s="136" t="s">
        <v>1427</v>
      </c>
      <c r="B120" s="269">
        <v>5.5E-2</v>
      </c>
      <c r="C120"/>
      <c r="D120"/>
      <c r="E120" s="571"/>
      <c r="F120" s="134"/>
      <c r="G120"/>
      <c r="H120"/>
      <c r="I120"/>
      <c r="J120" s="142"/>
      <c r="K120" s="285"/>
      <c r="L120" s="285"/>
    </row>
    <row r="121" spans="1:12" ht="15.75">
      <c r="A121" s="136" t="s">
        <v>1428</v>
      </c>
      <c r="B121" s="269">
        <v>6.2500000000000003E-3</v>
      </c>
      <c r="C121" s="134"/>
      <c r="D121" s="134"/>
      <c r="E121" s="571"/>
      <c r="F121" s="489"/>
      <c r="G121"/>
      <c r="H121"/>
      <c r="I121"/>
      <c r="J121" s="142"/>
      <c r="K121" s="285"/>
      <c r="L121" s="285"/>
    </row>
    <row r="122" spans="1:12" ht="15.75">
      <c r="A122" s="136" t="s">
        <v>989</v>
      </c>
      <c r="B122" s="156">
        <v>0.04</v>
      </c>
      <c r="E122" s="45"/>
      <c r="G122"/>
      <c r="H122"/>
      <c r="I122"/>
    </row>
    <row r="123" spans="1:12">
      <c r="A123" s="46"/>
      <c r="E123" s="45"/>
      <c r="G123"/>
      <c r="H123"/>
      <c r="I123"/>
    </row>
    <row r="124" spans="1:12" ht="15.75">
      <c r="A124" s="136" t="s">
        <v>1393</v>
      </c>
      <c r="E124" s="45"/>
      <c r="G124"/>
      <c r="H124"/>
      <c r="I124"/>
    </row>
    <row r="125" spans="1:12" ht="15.75">
      <c r="A125" s="136" t="s">
        <v>1395</v>
      </c>
      <c r="B125" s="156">
        <v>0.1</v>
      </c>
      <c r="E125" s="45"/>
    </row>
    <row r="126" spans="1:12" ht="15.75">
      <c r="A126" s="136" t="s">
        <v>1396</v>
      </c>
      <c r="B126" s="265">
        <v>0</v>
      </c>
      <c r="E126" s="45"/>
    </row>
    <row r="127" spans="1:12">
      <c r="A127" s="46"/>
      <c r="E127" s="45"/>
    </row>
    <row r="128" spans="1:12">
      <c r="A128" s="46"/>
      <c r="E128" s="45"/>
    </row>
    <row r="129" spans="1:20" ht="15.75">
      <c r="A129" s="558" t="s">
        <v>1136</v>
      </c>
      <c r="E129" s="45"/>
    </row>
    <row r="130" spans="1:20" ht="15.75">
      <c r="A130" s="560" t="s">
        <v>1083</v>
      </c>
      <c r="B130" s="244">
        <f>I15</f>
        <v>36647</v>
      </c>
      <c r="E130" s="45"/>
      <c r="F130" s="489"/>
      <c r="J130" s="285"/>
      <c r="M130" s="214"/>
      <c r="N130" s="213"/>
      <c r="O130" s="213"/>
    </row>
    <row r="131" spans="1:20" ht="15.75">
      <c r="A131" s="136" t="s">
        <v>972</v>
      </c>
      <c r="B131" s="152">
        <v>0</v>
      </c>
      <c r="C131" s="202">
        <f ca="1">B131*C10</f>
        <v>0</v>
      </c>
      <c r="E131" s="45"/>
      <c r="F131" s="489"/>
      <c r="J131" s="285"/>
      <c r="M131" s="212"/>
      <c r="N131" s="215"/>
      <c r="O131" s="215"/>
    </row>
    <row r="132" spans="1:20" ht="16.5" thickBot="1">
      <c r="A132" s="138" t="s">
        <v>973</v>
      </c>
      <c r="B132" s="615">
        <f>1-B131</f>
        <v>1</v>
      </c>
      <c r="C132" s="616">
        <f ca="1">B132*C10</f>
        <v>140281.46155350332</v>
      </c>
      <c r="D132" s="48"/>
      <c r="E132" s="120"/>
      <c r="F132" s="489"/>
      <c r="J132" s="285"/>
      <c r="K132" s="216"/>
      <c r="L132" s="215"/>
    </row>
    <row r="133" spans="1:20" ht="13.5" thickBot="1">
      <c r="A133" s="488"/>
      <c r="B133" s="338"/>
      <c r="C133" s="338"/>
      <c r="D133" s="338"/>
      <c r="E133" s="339"/>
    </row>
    <row r="134" spans="1:20" ht="13.5" thickBot="1">
      <c r="A134" s="581" t="s">
        <v>1359</v>
      </c>
      <c r="B134" s="582"/>
      <c r="C134" s="582"/>
      <c r="D134" s="582"/>
      <c r="E134" s="582"/>
      <c r="F134" s="582"/>
      <c r="G134" s="582"/>
      <c r="H134" s="582"/>
      <c r="I134" s="582"/>
      <c r="J134" s="582"/>
      <c r="K134" s="582"/>
      <c r="L134" s="582"/>
      <c r="M134" s="582"/>
      <c r="N134" s="582"/>
      <c r="O134" s="582"/>
      <c r="P134" s="582"/>
      <c r="Q134" s="582"/>
      <c r="R134" s="582"/>
      <c r="S134" s="582"/>
      <c r="T134" s="598"/>
    </row>
    <row r="135" spans="1:20" ht="16.5" thickBot="1">
      <c r="A135" s="1160" t="s">
        <v>1360</v>
      </c>
      <c r="B135" s="1161"/>
      <c r="C135" s="583" t="s">
        <v>1361</v>
      </c>
      <c r="D135" s="599">
        <f>IS!C7</f>
        <v>2001</v>
      </c>
      <c r="E135" s="600">
        <f>IS!D7</f>
        <v>2002</v>
      </c>
      <c r="F135" s="600">
        <f>IS!E7</f>
        <v>2003</v>
      </c>
      <c r="G135" s="600">
        <f>IS!F7</f>
        <v>2004</v>
      </c>
      <c r="H135" s="600">
        <f>IS!G7</f>
        <v>2005</v>
      </c>
      <c r="I135" s="600">
        <f>IS!H7</f>
        <v>2006</v>
      </c>
      <c r="J135" s="600">
        <f>IS!I7</f>
        <v>2007</v>
      </c>
      <c r="K135" s="600">
        <f>IS!J7</f>
        <v>2008</v>
      </c>
      <c r="L135" s="600">
        <f>IS!K7</f>
        <v>2009</v>
      </c>
      <c r="M135" s="600">
        <f>IS!L7</f>
        <v>2010</v>
      </c>
      <c r="N135" s="600">
        <f>IS!M7</f>
        <v>2011</v>
      </c>
      <c r="O135" s="600">
        <f>IS!N7</f>
        <v>2012</v>
      </c>
      <c r="P135" s="600">
        <f>IS!O7</f>
        <v>2013</v>
      </c>
      <c r="Q135" s="600">
        <f>IS!P7</f>
        <v>2014</v>
      </c>
      <c r="R135" s="600">
        <f>IS!Q7</f>
        <v>2015</v>
      </c>
      <c r="S135" s="600">
        <f>IS!R7</f>
        <v>2016</v>
      </c>
      <c r="T135" s="601">
        <f>IS!S7</f>
        <v>2017</v>
      </c>
    </row>
    <row r="136" spans="1:20">
      <c r="A136" s="1162" t="s">
        <v>1362</v>
      </c>
      <c r="B136" s="1163"/>
      <c r="C136" s="602" t="s">
        <v>1363</v>
      </c>
      <c r="D136" s="588"/>
      <c r="E136" s="589"/>
      <c r="F136" s="589"/>
      <c r="G136" s="589"/>
      <c r="H136" s="589"/>
      <c r="I136" s="589"/>
      <c r="J136" s="589"/>
      <c r="K136" s="589"/>
      <c r="L136" s="589"/>
      <c r="M136" s="589"/>
      <c r="N136" s="589"/>
      <c r="O136" s="589"/>
      <c r="P136" s="589"/>
      <c r="Q136" s="589"/>
      <c r="R136" s="589"/>
      <c r="S136" s="589"/>
      <c r="T136" s="590"/>
    </row>
    <row r="137" spans="1:20">
      <c r="A137" s="1156" t="s">
        <v>1364</v>
      </c>
      <c r="B137" s="1157"/>
      <c r="C137" s="584" t="s">
        <v>1363</v>
      </c>
      <c r="D137" s="585"/>
      <c r="E137" s="586"/>
      <c r="F137" s="586"/>
      <c r="G137" s="586"/>
      <c r="H137" s="586"/>
      <c r="I137" s="586"/>
      <c r="J137" s="586"/>
      <c r="K137" s="586"/>
      <c r="L137" s="586"/>
      <c r="M137" s="586"/>
      <c r="N137" s="593"/>
      <c r="O137" s="593"/>
      <c r="P137" s="594"/>
      <c r="Q137" s="594"/>
      <c r="R137" s="594"/>
      <c r="S137" s="594"/>
      <c r="T137" s="595"/>
    </row>
    <row r="138" spans="1:20">
      <c r="A138" s="1156" t="s">
        <v>1365</v>
      </c>
      <c r="B138" s="1157"/>
      <c r="C138" s="584" t="s">
        <v>1363</v>
      </c>
      <c r="D138" s="585"/>
      <c r="E138" s="586"/>
      <c r="F138" s="586"/>
      <c r="G138" s="586"/>
      <c r="H138" s="586"/>
      <c r="I138" s="586"/>
      <c r="J138" s="586"/>
      <c r="K138" s="586"/>
      <c r="L138" s="586"/>
      <c r="M138" s="586"/>
      <c r="N138" s="586"/>
      <c r="O138" s="586"/>
      <c r="P138" s="586"/>
      <c r="Q138" s="586"/>
      <c r="R138" s="586"/>
      <c r="S138" s="586"/>
      <c r="T138" s="591"/>
    </row>
    <row r="139" spans="1:20">
      <c r="A139" s="1156" t="s">
        <v>1366</v>
      </c>
      <c r="B139" s="1157"/>
      <c r="C139" s="584" t="s">
        <v>1363</v>
      </c>
      <c r="D139" s="585"/>
      <c r="E139" s="586"/>
      <c r="F139" s="586"/>
      <c r="G139" s="586"/>
      <c r="H139" s="586"/>
      <c r="I139" s="586"/>
      <c r="J139" s="586"/>
      <c r="K139" s="586"/>
      <c r="L139" s="586"/>
      <c r="M139" s="586"/>
      <c r="N139" s="586"/>
      <c r="O139" s="586"/>
      <c r="P139" s="586"/>
      <c r="Q139" s="586"/>
      <c r="R139" s="586"/>
      <c r="S139" s="586"/>
      <c r="T139" s="591"/>
    </row>
    <row r="140" spans="1:20">
      <c r="A140" s="1156" t="s">
        <v>1367</v>
      </c>
      <c r="B140" s="1157"/>
      <c r="C140" s="584" t="s">
        <v>1363</v>
      </c>
      <c r="D140" s="585"/>
      <c r="E140" s="586"/>
      <c r="F140" s="586"/>
      <c r="G140" s="586"/>
      <c r="H140" s="586"/>
      <c r="I140" s="586"/>
      <c r="J140" s="586"/>
      <c r="K140" s="586"/>
      <c r="L140" s="586"/>
      <c r="M140" s="586"/>
      <c r="N140" s="586"/>
      <c r="O140" s="586"/>
      <c r="P140" s="586"/>
      <c r="Q140" s="586"/>
      <c r="R140" s="586"/>
      <c r="S140" s="586"/>
      <c r="T140" s="591"/>
    </row>
    <row r="141" spans="1:20" ht="13.5" thickBot="1">
      <c r="A141" s="1158" t="s">
        <v>1368</v>
      </c>
      <c r="B141" s="1159"/>
      <c r="C141" s="603" t="s">
        <v>1363</v>
      </c>
      <c r="D141" s="592"/>
      <c r="E141" s="587"/>
      <c r="F141" s="587"/>
      <c r="G141" s="587"/>
      <c r="H141" s="587"/>
      <c r="I141" s="587"/>
      <c r="J141" s="587"/>
      <c r="K141" s="587"/>
      <c r="L141" s="587"/>
      <c r="M141" s="587"/>
      <c r="N141" s="596"/>
      <c r="O141" s="596"/>
      <c r="P141" s="596"/>
      <c r="Q141" s="596"/>
      <c r="R141" s="596"/>
      <c r="S141" s="596"/>
      <c r="T141" s="597"/>
    </row>
    <row r="142" spans="1:20">
      <c r="J142" s="285"/>
    </row>
    <row r="143" spans="1:20" ht="15.75">
      <c r="J143" s="285"/>
      <c r="K143" s="213"/>
    </row>
    <row r="144" spans="1:20" ht="15.75">
      <c r="J144" s="285"/>
      <c r="K144" s="215"/>
    </row>
    <row r="145" spans="7:11" ht="15.75">
      <c r="J145" s="285"/>
      <c r="K145" s="216"/>
    </row>
    <row r="146" spans="7:11" ht="15.75">
      <c r="J146" s="285"/>
      <c r="K146" s="216"/>
    </row>
    <row r="147" spans="7:11">
      <c r="J147" s="285"/>
    </row>
    <row r="148" spans="7:11">
      <c r="J148" s="285"/>
    </row>
    <row r="149" spans="7:11">
      <c r="J149" s="285"/>
    </row>
    <row r="150" spans="7:11">
      <c r="J150" s="285"/>
    </row>
    <row r="151" spans="7:11">
      <c r="J151" s="285"/>
    </row>
    <row r="152" spans="7:11">
      <c r="G152" s="285"/>
      <c r="H152" s="285"/>
      <c r="I152" s="285"/>
      <c r="J152" s="285"/>
    </row>
    <row r="153" spans="7:11">
      <c r="G153" s="285"/>
      <c r="H153" s="285"/>
      <c r="I153" s="285"/>
    </row>
    <row r="154" spans="7:11">
      <c r="G154" s="285"/>
      <c r="H154" s="285"/>
      <c r="I154" s="285"/>
    </row>
    <row r="155" spans="7:11">
      <c r="G155" s="285"/>
      <c r="H155" s="285"/>
      <c r="I155" s="285"/>
    </row>
    <row r="156" spans="7:11">
      <c r="G156" s="285"/>
      <c r="H156" s="285"/>
      <c r="I156" s="285"/>
    </row>
    <row r="157" spans="7:11">
      <c r="G157" s="285"/>
      <c r="H157" s="285"/>
      <c r="I157" s="285"/>
    </row>
    <row r="160" spans="7:11">
      <c r="G160" s="285"/>
      <c r="H160" s="285"/>
      <c r="I160" s="285"/>
    </row>
    <row r="161" spans="7:9">
      <c r="G161" s="285"/>
      <c r="H161" s="285"/>
      <c r="I161" s="285"/>
    </row>
    <row r="162" spans="7:9">
      <c r="G162" s="285"/>
      <c r="H162" s="285"/>
      <c r="I162" s="285"/>
    </row>
    <row r="163" spans="7:9">
      <c r="G163" s="285"/>
      <c r="H163" s="285"/>
      <c r="I163" s="285"/>
    </row>
    <row r="164" spans="7:9">
      <c r="G164" s="285"/>
      <c r="H164" s="285"/>
      <c r="I164" s="285"/>
    </row>
    <row r="165" spans="7:9">
      <c r="G165" s="285"/>
      <c r="H165" s="285"/>
      <c r="I165" s="285"/>
    </row>
  </sheetData>
  <mergeCells count="7">
    <mergeCell ref="A139:B139"/>
    <mergeCell ref="A140:B140"/>
    <mergeCell ref="A141:B141"/>
    <mergeCell ref="A135:B135"/>
    <mergeCell ref="A136:B136"/>
    <mergeCell ref="A137:B137"/>
    <mergeCell ref="A138:B138"/>
  </mergeCells>
  <dataValidations count="6">
    <dataValidation type="list" allowBlank="1" showInputMessage="1" showErrorMessage="1" sqref="B114:C114">
      <formula1>"Mortgage, Level, Custom"</formula1>
    </dataValidation>
    <dataValidation type="list" allowBlank="1" showInputMessage="1" showErrorMessage="1" sqref="C137:C141">
      <formula1>"Days, Dollars"</formula1>
    </dataValidation>
    <dataValidation type="list" allowBlank="1" showInputMessage="1" showErrorMessage="1" sqref="C136">
      <formula1>"Dollars"</formula1>
    </dataValidation>
    <dataValidation type="list" allowBlank="1" showInputMessage="1" showErrorMessage="1" sqref="Q75:Q80">
      <formula1>"Yes, No"</formula1>
    </dataValidation>
    <dataValidation type="list" allowBlank="1" showInputMessage="1" showErrorMessage="1" sqref="Q81">
      <formula1>"1,2,3,4,5"</formula1>
    </dataValidation>
    <dataValidation type="list" allowBlank="1" showInputMessage="1" showErrorMessage="1" sqref="Q82">
      <formula1>"1,2"</formula1>
    </dataValidation>
  </dataValidations>
  <pageMargins left="0.45" right="0.45" top="0.5" bottom="0.5" header="0.25" footer="0.25"/>
  <pageSetup paperSize="5" scale="38" firstPageNumber="2" orientation="landscape" copies="2" r:id="rId1"/>
  <headerFooter alignWithMargins="0">
    <oddFooter xml:space="preserve">&amp;L&amp;T, &amp;D&amp;C&amp;F&amp;R&amp;P 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6:P65"/>
  <sheetViews>
    <sheetView showGridLines="0" zoomScaleNormal="100" workbookViewId="0">
      <selection activeCell="G26" sqref="G26"/>
    </sheetView>
  </sheetViews>
  <sheetFormatPr defaultRowHeight="12.75"/>
  <cols>
    <col min="2" max="2" width="27.5703125" customWidth="1"/>
    <col min="3" max="3" width="25" hidden="1" customWidth="1"/>
    <col min="4" max="4" width="10.42578125" bestFit="1" customWidth="1"/>
    <col min="5" max="5" width="5.85546875" hidden="1" customWidth="1"/>
    <col min="6" max="6" width="6.7109375" bestFit="1" customWidth="1"/>
    <col min="7" max="7" width="12.140625" bestFit="1" customWidth="1"/>
    <col min="8" max="8" width="10.42578125" bestFit="1" customWidth="1"/>
    <col min="9" max="9" width="6.7109375" bestFit="1" customWidth="1"/>
    <col min="10" max="10" width="12.140625" bestFit="1" customWidth="1"/>
    <col min="11" max="11" width="10.42578125" bestFit="1" customWidth="1"/>
    <col min="12" max="12" width="6.7109375" bestFit="1" customWidth="1"/>
    <col min="13" max="14" width="10.42578125" bestFit="1" customWidth="1"/>
    <col min="15" max="15" width="6.7109375" bestFit="1" customWidth="1"/>
    <col min="16" max="16" width="12.7109375" bestFit="1" customWidth="1"/>
  </cols>
  <sheetData>
    <row r="6" spans="2:16">
      <c r="B6" s="14"/>
      <c r="E6" s="14"/>
    </row>
    <row r="7" spans="2:16" ht="13.5" thickBot="1">
      <c r="B7" s="713" t="str">
        <f>CONCATENATE("Levered IRR Matrix with Capacity Payment @ ",TEXT(dem_charge,"$0.00"))</f>
        <v>Levered IRR Matrix with Capacity Payment @ $5.00</v>
      </c>
      <c r="C7" s="700"/>
      <c r="D7" s="700"/>
      <c r="E7" s="700"/>
      <c r="F7" s="700"/>
      <c r="G7" s="700"/>
      <c r="H7" s="714"/>
      <c r="I7" s="714"/>
      <c r="J7" s="700"/>
      <c r="K7" s="714"/>
      <c r="L7" s="714"/>
      <c r="M7" s="714"/>
      <c r="N7" s="714"/>
      <c r="O7" s="714"/>
      <c r="P7" s="714"/>
    </row>
    <row r="8" spans="2:16">
      <c r="B8" s="702"/>
      <c r="C8" s="703" t="s">
        <v>1486</v>
      </c>
      <c r="D8" s="1144">
        <v>0.2</v>
      </c>
      <c r="E8" s="1145"/>
      <c r="F8" s="1145"/>
      <c r="G8" s="1145"/>
      <c r="H8" s="1154">
        <v>0.25</v>
      </c>
      <c r="I8" s="1145"/>
      <c r="J8" s="1145"/>
      <c r="K8" s="1154">
        <v>0.3</v>
      </c>
      <c r="L8" s="1145"/>
      <c r="M8" s="1144"/>
      <c r="N8" s="1154">
        <v>0.35</v>
      </c>
      <c r="O8" s="1146"/>
      <c r="P8" s="1150"/>
    </row>
    <row r="9" spans="2:16">
      <c r="B9" s="715" t="s">
        <v>1487</v>
      </c>
      <c r="C9" s="87"/>
      <c r="D9" s="87" t="s">
        <v>1488</v>
      </c>
      <c r="E9" s="87"/>
      <c r="F9" s="87" t="s">
        <v>1489</v>
      </c>
      <c r="G9" s="87" t="s">
        <v>1402</v>
      </c>
      <c r="H9" s="1149" t="s">
        <v>1488</v>
      </c>
      <c r="I9" s="87" t="s">
        <v>1489</v>
      </c>
      <c r="J9" s="87" t="s">
        <v>1402</v>
      </c>
      <c r="K9" s="1149" t="s">
        <v>1488</v>
      </c>
      <c r="L9" s="87" t="s">
        <v>1489</v>
      </c>
      <c r="M9" s="87" t="s">
        <v>625</v>
      </c>
      <c r="N9" s="1149" t="s">
        <v>1488</v>
      </c>
      <c r="O9" s="87" t="s">
        <v>1489</v>
      </c>
      <c r="P9" s="716" t="s">
        <v>625</v>
      </c>
    </row>
    <row r="10" spans="2:16" hidden="1">
      <c r="B10" s="704"/>
      <c r="C10" s="705">
        <f ca="1">CF!$B$66</f>
        <v>7.669325172901155E-2</v>
      </c>
      <c r="D10" s="706">
        <v>0.2</v>
      </c>
      <c r="E10" s="706">
        <f ca="1">Assum!B11</f>
        <v>0</v>
      </c>
      <c r="F10" s="706">
        <v>0.2</v>
      </c>
      <c r="G10" s="706"/>
      <c r="H10" s="1147"/>
      <c r="I10" s="285"/>
      <c r="J10" s="706"/>
      <c r="K10" s="1147"/>
      <c r="L10" s="285"/>
      <c r="M10" s="285"/>
      <c r="N10" s="1147"/>
      <c r="O10" s="285"/>
      <c r="P10" s="543"/>
    </row>
    <row r="11" spans="2:16">
      <c r="B11" s="707">
        <v>400</v>
      </c>
      <c r="C11" s="15">
        <v>-28663</v>
      </c>
      <c r="D11" s="708">
        <f t="dataTable" ref="D11:D19" dt2D="1" dtr="0" r1="D28" r2="D30" ca="1"/>
        <v>9.6441811323165899E-2</v>
      </c>
      <c r="E11" s="15">
        <f>C11</f>
        <v>-28663</v>
      </c>
      <c r="F11" s="1141">
        <f t="dataTable" ref="F11:F19" dt2D="1" dtr="0" r1="D28" r2="D30" ca="1"/>
        <v>0</v>
      </c>
      <c r="G11" s="708">
        <v>9.6441811323165899E-2</v>
      </c>
      <c r="H11" s="1148">
        <f>D33</f>
        <v>9.7368699312210066E-2</v>
      </c>
      <c r="I11" s="706">
        <f>F33</f>
        <v>0</v>
      </c>
      <c r="J11" s="708">
        <v>9.7368699312210066E-2</v>
      </c>
      <c r="K11" s="1148">
        <f>D45</f>
        <v>9.8267179727554332E-2</v>
      </c>
      <c r="L11" s="706">
        <f>F45</f>
        <v>0</v>
      </c>
      <c r="M11" s="705">
        <v>9.8267179727554332E-2</v>
      </c>
      <c r="N11" s="1148">
        <f>D57</f>
        <v>9.9139088392257713E-2</v>
      </c>
      <c r="O11" s="706">
        <f>F57</f>
        <v>0</v>
      </c>
      <c r="P11" s="1151">
        <v>9.9139088392257713E-2</v>
      </c>
    </row>
    <row r="12" spans="2:16">
      <c r="B12" s="709">
        <f t="shared" ref="B12:B19" si="0">B11+20</f>
        <v>420</v>
      </c>
      <c r="C12" s="15">
        <f>C11+5540</f>
        <v>-23123</v>
      </c>
      <c r="D12" s="708">
        <v>9.1127595305442816E-2</v>
      </c>
      <c r="E12" s="15">
        <f t="shared" ref="E12:E19" si="1">C12</f>
        <v>-23123</v>
      </c>
      <c r="F12" s="1141">
        <v>0</v>
      </c>
      <c r="G12" s="708">
        <v>9.1127595305442816E-2</v>
      </c>
      <c r="H12" s="1148">
        <f t="shared" ref="H12:H19" si="2">D34</f>
        <v>9.2152699828147888E-2</v>
      </c>
      <c r="I12" s="706">
        <f t="shared" ref="I12:I19" si="3">F34</f>
        <v>0</v>
      </c>
      <c r="J12" s="708">
        <v>9.2152699828147888E-2</v>
      </c>
      <c r="K12" s="1148">
        <f t="shared" ref="K12:K19" si="4">D46</f>
        <v>9.3143269419670105E-2</v>
      </c>
      <c r="L12" s="706">
        <f t="shared" ref="L12:L19" si="5">F46</f>
        <v>0</v>
      </c>
      <c r="M12" s="705">
        <v>9.3143269419670105E-2</v>
      </c>
      <c r="N12" s="1148">
        <f t="shared" ref="N12:N19" si="6">D58</f>
        <v>9.4101759791374223E-2</v>
      </c>
      <c r="O12" s="706">
        <f t="shared" ref="O12:O19" si="7">F58</f>
        <v>0</v>
      </c>
      <c r="P12" s="1151">
        <v>9.4101759791374223E-2</v>
      </c>
    </row>
    <row r="13" spans="2:16">
      <c r="B13" s="709">
        <f t="shared" si="0"/>
        <v>440</v>
      </c>
      <c r="C13" s="15">
        <f t="shared" ref="C13:C19" si="8">C12+5540</f>
        <v>-17583</v>
      </c>
      <c r="D13" s="708">
        <v>8.6185124516487133E-2</v>
      </c>
      <c r="E13" s="15">
        <f t="shared" si="1"/>
        <v>-17583</v>
      </c>
      <c r="F13" s="1141">
        <v>0</v>
      </c>
      <c r="G13" s="708">
        <v>8.6185124516487133E-2</v>
      </c>
      <c r="H13" s="1148">
        <f t="shared" si="2"/>
        <v>8.731098473072052E-2</v>
      </c>
      <c r="I13" s="706">
        <f t="shared" si="3"/>
        <v>0</v>
      </c>
      <c r="J13" s="708">
        <v>8.731098473072052E-2</v>
      </c>
      <c r="K13" s="1148">
        <f t="shared" si="4"/>
        <v>8.8395449519157412E-2</v>
      </c>
      <c r="L13" s="706">
        <f t="shared" si="5"/>
        <v>0</v>
      </c>
      <c r="M13" s="705">
        <v>8.8395449519157412E-2</v>
      </c>
      <c r="N13" s="1148">
        <f t="shared" si="6"/>
        <v>8.9441725611686729E-2</v>
      </c>
      <c r="O13" s="706">
        <f t="shared" si="7"/>
        <v>0</v>
      </c>
      <c r="P13" s="1151">
        <v>8.9441725611686729E-2</v>
      </c>
    </row>
    <row r="14" spans="2:16">
      <c r="B14" s="709">
        <f t="shared" si="0"/>
        <v>460</v>
      </c>
      <c r="C14" s="15">
        <f t="shared" si="8"/>
        <v>-12043</v>
      </c>
      <c r="D14" s="708">
        <v>8.157167136669162E-2</v>
      </c>
      <c r="E14" s="15">
        <f t="shared" si="1"/>
        <v>-12043</v>
      </c>
      <c r="F14" s="1141">
        <v>0</v>
      </c>
      <c r="G14" s="708">
        <v>8.157167136669162E-2</v>
      </c>
      <c r="H14" s="1148">
        <f t="shared" si="2"/>
        <v>8.2800576090812691E-2</v>
      </c>
      <c r="I14" s="706">
        <f t="shared" si="3"/>
        <v>0</v>
      </c>
      <c r="J14" s="708">
        <v>8.2800576090812691E-2</v>
      </c>
      <c r="K14" s="1148">
        <f t="shared" si="4"/>
        <v>8.398047387599944E-2</v>
      </c>
      <c r="L14" s="706">
        <f t="shared" si="5"/>
        <v>0</v>
      </c>
      <c r="M14" s="705">
        <v>8.398047387599944E-2</v>
      </c>
      <c r="N14" s="1148">
        <f t="shared" si="6"/>
        <v>8.5115465521812442E-2</v>
      </c>
      <c r="O14" s="706">
        <f t="shared" si="7"/>
        <v>0</v>
      </c>
      <c r="P14" s="1151">
        <v>8.5115465521812442E-2</v>
      </c>
    </row>
    <row r="15" spans="2:16">
      <c r="B15" s="709">
        <f t="shared" si="0"/>
        <v>480</v>
      </c>
      <c r="C15" s="15">
        <f t="shared" si="8"/>
        <v>-6503</v>
      </c>
      <c r="D15" s="708">
        <v>7.7251151204109206E-2</v>
      </c>
      <c r="E15" s="15">
        <f t="shared" si="1"/>
        <v>-6503</v>
      </c>
      <c r="F15" s="1141">
        <v>0</v>
      </c>
      <c r="G15" s="708">
        <v>7.7251151204109206E-2</v>
      </c>
      <c r="H15" s="1148">
        <f t="shared" si="2"/>
        <v>7.8585150837898257E-2</v>
      </c>
      <c r="I15" s="706">
        <f t="shared" si="3"/>
        <v>0</v>
      </c>
      <c r="J15" s="708">
        <v>7.8585150837898257E-2</v>
      </c>
      <c r="K15" s="1148">
        <f t="shared" si="4"/>
        <v>7.9861769080162084E-2</v>
      </c>
      <c r="L15" s="706">
        <f t="shared" si="5"/>
        <v>0</v>
      </c>
      <c r="M15" s="705">
        <v>7.9861769080162084E-2</v>
      </c>
      <c r="N15" s="1148">
        <f t="shared" si="6"/>
        <v>8.1086161732673648E-2</v>
      </c>
      <c r="O15" s="706">
        <f t="shared" si="7"/>
        <v>0</v>
      </c>
      <c r="P15" s="1151">
        <v>8.1086161732673648E-2</v>
      </c>
    </row>
    <row r="16" spans="2:16">
      <c r="B16" s="709">
        <f t="shared" si="0"/>
        <v>500</v>
      </c>
      <c r="C16" s="15">
        <f t="shared" si="8"/>
        <v>-963</v>
      </c>
      <c r="D16" s="708">
        <v>7.3192849755287184E-2</v>
      </c>
      <c r="E16" s="15">
        <f t="shared" si="1"/>
        <v>-963</v>
      </c>
      <c r="F16" s="1141">
        <v>0</v>
      </c>
      <c r="G16" s="708">
        <v>7.3192849755287184E-2</v>
      </c>
      <c r="H16" s="1148">
        <f t="shared" si="2"/>
        <v>7.4633774161338817E-2</v>
      </c>
      <c r="I16" s="706">
        <f t="shared" si="3"/>
        <v>0</v>
      </c>
      <c r="J16" s="708">
        <v>7.4633774161338817E-2</v>
      </c>
      <c r="K16" s="1148">
        <f t="shared" si="4"/>
        <v>7.6008179783821128E-2</v>
      </c>
      <c r="L16" s="706">
        <f t="shared" si="5"/>
        <v>0</v>
      </c>
      <c r="M16" s="705">
        <v>7.6008179783821128E-2</v>
      </c>
      <c r="N16" s="1148">
        <f t="shared" si="6"/>
        <v>7.7322438359260573E-2</v>
      </c>
      <c r="O16" s="706">
        <f t="shared" si="7"/>
        <v>0</v>
      </c>
      <c r="P16" s="1151">
        <v>7.7322438359260573E-2</v>
      </c>
    </row>
    <row r="17" spans="2:16">
      <c r="B17" s="709">
        <f t="shared" si="0"/>
        <v>520</v>
      </c>
      <c r="C17" s="15">
        <f t="shared" si="8"/>
        <v>4577</v>
      </c>
      <c r="D17" s="708">
        <v>6.9370451569557193E-2</v>
      </c>
      <c r="E17" s="15">
        <f t="shared" si="1"/>
        <v>4577</v>
      </c>
      <c r="F17" s="1141">
        <v>0</v>
      </c>
      <c r="G17" s="708">
        <v>6.9370451569557193E-2</v>
      </c>
      <c r="H17" s="1148">
        <f t="shared" si="2"/>
        <v>7.0919921994209281E-2</v>
      </c>
      <c r="I17" s="706">
        <f t="shared" si="3"/>
        <v>0</v>
      </c>
      <c r="J17" s="708">
        <v>7.0919921994209281E-2</v>
      </c>
      <c r="K17" s="1148">
        <f t="shared" si="4"/>
        <v>7.2392967343330381E-2</v>
      </c>
      <c r="L17" s="706">
        <f t="shared" si="5"/>
        <v>0</v>
      </c>
      <c r="M17" s="705">
        <v>7.2392967343330381E-2</v>
      </c>
      <c r="N17" s="1148">
        <f t="shared" si="6"/>
        <v>7.3797377943992631E-2</v>
      </c>
      <c r="O17" s="706">
        <f t="shared" si="7"/>
        <v>0</v>
      </c>
      <c r="P17" s="1151">
        <v>7.3797377943992631E-2</v>
      </c>
    </row>
    <row r="18" spans="2:16">
      <c r="B18" s="709">
        <f t="shared" si="0"/>
        <v>540</v>
      </c>
      <c r="C18" s="15">
        <f t="shared" si="8"/>
        <v>10117</v>
      </c>
      <c r="D18" s="708">
        <v>6.5761235356330883E-2</v>
      </c>
      <c r="E18" s="15">
        <f t="shared" si="1"/>
        <v>10117</v>
      </c>
      <c r="F18" s="1141">
        <v>0</v>
      </c>
      <c r="G18" s="708">
        <v>6.5761235356330883E-2</v>
      </c>
      <c r="H18" s="1148">
        <f t="shared" si="2"/>
        <v>6.7420694231987002E-2</v>
      </c>
      <c r="I18" s="706">
        <f t="shared" si="3"/>
        <v>0</v>
      </c>
      <c r="J18" s="708">
        <v>6.7420694231987002E-2</v>
      </c>
      <c r="K18" s="1148">
        <f t="shared" si="4"/>
        <v>6.8993052840232841E-2</v>
      </c>
      <c r="L18" s="706">
        <f t="shared" si="5"/>
        <v>0</v>
      </c>
      <c r="M18" s="705">
        <v>6.8993052840232841E-2</v>
      </c>
      <c r="N18" s="1148">
        <f t="shared" si="6"/>
        <v>7.0487722754478455E-2</v>
      </c>
      <c r="O18" s="706">
        <f t="shared" si="7"/>
        <v>0</v>
      </c>
      <c r="P18" s="1151">
        <v>7.0487722754478455E-2</v>
      </c>
    </row>
    <row r="19" spans="2:16" ht="13.5" thickBot="1">
      <c r="B19" s="710">
        <f t="shared" si="0"/>
        <v>560</v>
      </c>
      <c r="C19" s="48">
        <f t="shared" si="8"/>
        <v>15657</v>
      </c>
      <c r="D19" s="711">
        <v>6.234548985958098E-2</v>
      </c>
      <c r="E19" s="48">
        <f t="shared" si="1"/>
        <v>15657</v>
      </c>
      <c r="F19" s="1142">
        <v>0</v>
      </c>
      <c r="G19" s="711">
        <v>6.234548985958098E-2</v>
      </c>
      <c r="H19" s="1152">
        <f t="shared" si="2"/>
        <v>6.4116200804710366E-2</v>
      </c>
      <c r="I19" s="1143">
        <f t="shared" si="3"/>
        <v>0</v>
      </c>
      <c r="J19" s="711">
        <v>6.4116200804710366E-2</v>
      </c>
      <c r="K19" s="1152">
        <f t="shared" si="4"/>
        <v>6.578837931156159E-2</v>
      </c>
      <c r="L19" s="1143">
        <f t="shared" si="5"/>
        <v>0</v>
      </c>
      <c r="M19" s="712">
        <v>6.578837931156159E-2</v>
      </c>
      <c r="N19" s="1152">
        <f t="shared" si="6"/>
        <v>6.7373248934745791E-2</v>
      </c>
      <c r="O19" s="1143">
        <f t="shared" si="7"/>
        <v>0</v>
      </c>
      <c r="P19" s="1153">
        <v>6.7373248934745791E-2</v>
      </c>
    </row>
    <row r="20" spans="2:16">
      <c r="B20" s="14"/>
      <c r="C20" s="14"/>
      <c r="D20" s="14"/>
      <c r="E20" s="14"/>
      <c r="F20" s="14"/>
      <c r="G20" s="14"/>
      <c r="J20" s="14"/>
    </row>
    <row r="21" spans="2:16">
      <c r="B21" s="14"/>
      <c r="C21" s="14"/>
      <c r="D21" s="14"/>
      <c r="E21" s="14"/>
      <c r="F21" s="14"/>
      <c r="G21" s="14"/>
      <c r="J21" s="14"/>
    </row>
    <row r="22" spans="2:16">
      <c r="B22" s="14"/>
      <c r="C22" s="14"/>
      <c r="D22" s="14"/>
      <c r="E22" s="14"/>
      <c r="F22" s="14"/>
      <c r="G22" s="14"/>
      <c r="J22" s="14"/>
    </row>
    <row r="23" spans="2:16">
      <c r="B23" s="14"/>
      <c r="C23" s="14"/>
      <c r="D23" s="14"/>
      <c r="E23" s="14"/>
      <c r="F23" s="14"/>
      <c r="G23" s="14"/>
      <c r="J23" s="14"/>
    </row>
    <row r="24" spans="2:16">
      <c r="B24" s="14"/>
      <c r="C24" s="14"/>
      <c r="D24" s="14"/>
      <c r="E24" s="14"/>
      <c r="F24" s="14"/>
      <c r="G24" s="14"/>
      <c r="J24" s="14"/>
    </row>
    <row r="25" spans="2:16">
      <c r="B25" s="14"/>
      <c r="C25" s="14"/>
      <c r="D25" s="14"/>
      <c r="E25" s="14"/>
      <c r="F25" s="14"/>
      <c r="G25" s="14"/>
      <c r="J25" s="14"/>
    </row>
    <row r="26" spans="2:16">
      <c r="B26" s="14"/>
      <c r="C26" s="14"/>
      <c r="D26" s="14"/>
      <c r="E26" s="14"/>
      <c r="F26" s="14"/>
      <c r="G26" s="14"/>
      <c r="J26" s="14"/>
    </row>
    <row r="27" spans="2:16">
      <c r="B27" s="14"/>
      <c r="C27" s="14"/>
      <c r="D27" s="14"/>
      <c r="E27" s="14"/>
      <c r="F27" s="14"/>
      <c r="G27" s="14"/>
      <c r="J27" s="14"/>
    </row>
    <row r="28" spans="2:16">
      <c r="B28" t="s">
        <v>1483</v>
      </c>
      <c r="D28" s="701">
        <v>0.35</v>
      </c>
      <c r="E28" s="14"/>
      <c r="F28" s="14"/>
      <c r="G28" s="14"/>
      <c r="J28" s="14"/>
    </row>
    <row r="29" spans="2:16">
      <c r="E29" s="14"/>
      <c r="F29" s="14"/>
      <c r="G29" s="14"/>
      <c r="J29" s="14"/>
    </row>
    <row r="30" spans="2:16">
      <c r="B30" t="s">
        <v>1482</v>
      </c>
      <c r="D30">
        <v>0</v>
      </c>
      <c r="E30" s="14"/>
      <c r="F30" s="14"/>
      <c r="G30" s="14"/>
      <c r="J30" s="14"/>
    </row>
    <row r="31" spans="2:16">
      <c r="B31" s="14"/>
      <c r="C31" s="14"/>
      <c r="D31" s="14"/>
      <c r="E31" s="14"/>
      <c r="F31" s="14"/>
      <c r="G31" s="14"/>
      <c r="J31" s="14"/>
    </row>
    <row r="32" spans="2:16">
      <c r="B32" s="14"/>
      <c r="C32" s="41">
        <f ca="1">CF!$B$66</f>
        <v>7.669325172901155E-2</v>
      </c>
      <c r="D32" s="692">
        <v>0.25</v>
      </c>
      <c r="E32" s="692">
        <f ca="1">Assum!B11</f>
        <v>0</v>
      </c>
      <c r="F32" s="692">
        <v>0.25</v>
      </c>
      <c r="G32" s="692"/>
      <c r="J32" s="692"/>
    </row>
    <row r="33" spans="2:10">
      <c r="B33" s="14"/>
      <c r="C33" s="14">
        <f>C11</f>
        <v>-28663</v>
      </c>
      <c r="D33" s="121">
        <f t="dataTable" ref="D33:D41" dt2D="1" dtr="0" r1="D28" r2="D30" ca="1"/>
        <v>9.7368699312210066E-2</v>
      </c>
      <c r="E33" s="14">
        <f>E11</f>
        <v>-28663</v>
      </c>
      <c r="F33" s="699">
        <f t="dataTable" ref="F33:F41" dt2D="1" dtr="0" r1="D28" r2="D30" ca="1"/>
        <v>0</v>
      </c>
      <c r="G33" s="699"/>
      <c r="J33" s="699"/>
    </row>
    <row r="34" spans="2:10">
      <c r="B34" s="14"/>
      <c r="C34" s="14">
        <f t="shared" ref="C34:C41" si="9">C12</f>
        <v>-23123</v>
      </c>
      <c r="D34" s="121">
        <v>9.2152699828147888E-2</v>
      </c>
      <c r="E34" s="14">
        <f t="shared" ref="E34:E41" si="10">E12</f>
        <v>-23123</v>
      </c>
      <c r="F34" s="699">
        <v>0</v>
      </c>
      <c r="G34" s="699"/>
      <c r="J34" s="699"/>
    </row>
    <row r="35" spans="2:10">
      <c r="B35" s="14"/>
      <c r="C35" s="14">
        <f t="shared" si="9"/>
        <v>-17583</v>
      </c>
      <c r="D35" s="121">
        <v>8.731098473072052E-2</v>
      </c>
      <c r="E35" s="14">
        <f t="shared" si="10"/>
        <v>-17583</v>
      </c>
      <c r="F35" s="699">
        <v>0</v>
      </c>
      <c r="G35" s="699"/>
      <c r="J35" s="699"/>
    </row>
    <row r="36" spans="2:10">
      <c r="B36" s="14"/>
      <c r="C36" s="14">
        <f t="shared" si="9"/>
        <v>-12043</v>
      </c>
      <c r="D36" s="121">
        <v>8.2800576090812691E-2</v>
      </c>
      <c r="E36" s="14">
        <f t="shared" si="10"/>
        <v>-12043</v>
      </c>
      <c r="F36" s="699">
        <v>0</v>
      </c>
      <c r="G36" s="699"/>
      <c r="J36" s="699"/>
    </row>
    <row r="37" spans="2:10">
      <c r="B37" s="14"/>
      <c r="C37" s="14">
        <f t="shared" si="9"/>
        <v>-6503</v>
      </c>
      <c r="D37" s="121">
        <v>7.8585150837898257E-2</v>
      </c>
      <c r="E37" s="14">
        <f t="shared" si="10"/>
        <v>-6503</v>
      </c>
      <c r="F37" s="699">
        <v>0</v>
      </c>
      <c r="G37" s="699"/>
      <c r="J37" s="699"/>
    </row>
    <row r="38" spans="2:10">
      <c r="B38" s="14"/>
      <c r="C38" s="14">
        <f t="shared" si="9"/>
        <v>-963</v>
      </c>
      <c r="D38" s="121">
        <v>7.4633774161338817E-2</v>
      </c>
      <c r="E38" s="14">
        <f t="shared" si="10"/>
        <v>-963</v>
      </c>
      <c r="F38" s="699">
        <v>0</v>
      </c>
      <c r="G38" s="699"/>
      <c r="J38" s="699"/>
    </row>
    <row r="39" spans="2:10">
      <c r="B39" s="14"/>
      <c r="C39" s="14">
        <f t="shared" si="9"/>
        <v>4577</v>
      </c>
      <c r="D39" s="121">
        <v>7.0919921994209281E-2</v>
      </c>
      <c r="E39" s="14">
        <f t="shared" si="10"/>
        <v>4577</v>
      </c>
      <c r="F39" s="699">
        <v>0</v>
      </c>
      <c r="G39" s="699"/>
      <c r="J39" s="699"/>
    </row>
    <row r="40" spans="2:10">
      <c r="B40" s="14"/>
      <c r="C40" s="14">
        <f t="shared" si="9"/>
        <v>10117</v>
      </c>
      <c r="D40" s="121">
        <v>6.7420694231987002E-2</v>
      </c>
      <c r="E40" s="14">
        <f t="shared" si="10"/>
        <v>10117</v>
      </c>
      <c r="F40" s="699">
        <v>0</v>
      </c>
      <c r="G40" s="699"/>
      <c r="J40" s="699"/>
    </row>
    <row r="41" spans="2:10">
      <c r="B41" s="14"/>
      <c r="C41" s="14">
        <f t="shared" si="9"/>
        <v>15657</v>
      </c>
      <c r="D41" s="121">
        <v>6.4116200804710366E-2</v>
      </c>
      <c r="E41" s="14">
        <f t="shared" si="10"/>
        <v>15657</v>
      </c>
      <c r="F41" s="699">
        <v>0</v>
      </c>
      <c r="G41" s="699"/>
      <c r="J41" s="699"/>
    </row>
    <row r="42" spans="2:10">
      <c r="B42" s="14"/>
      <c r="C42" s="14"/>
      <c r="D42" s="14"/>
      <c r="E42" s="14"/>
      <c r="F42" s="14"/>
      <c r="G42" s="14"/>
      <c r="J42" s="14"/>
    </row>
    <row r="43" spans="2:10">
      <c r="B43" s="14"/>
      <c r="C43" s="14"/>
      <c r="D43" s="14"/>
      <c r="E43" s="14"/>
      <c r="F43" s="14"/>
      <c r="G43" s="14"/>
      <c r="J43" s="14"/>
    </row>
    <row r="44" spans="2:10">
      <c r="B44" s="14"/>
      <c r="C44" s="41">
        <f ca="1">CF!$B$66</f>
        <v>7.669325172901155E-2</v>
      </c>
      <c r="D44" s="692">
        <v>0.3</v>
      </c>
      <c r="E44" s="692">
        <f ca="1">Assum!B11</f>
        <v>0</v>
      </c>
      <c r="F44" s="692">
        <v>0.3</v>
      </c>
      <c r="G44" s="692"/>
      <c r="J44" s="692"/>
    </row>
    <row r="45" spans="2:10">
      <c r="B45" s="14"/>
      <c r="C45" s="14">
        <f>C33</f>
        <v>-28663</v>
      </c>
      <c r="D45" s="121">
        <f t="dataTable" ref="D45:D53" dt2D="1" dtr="0" r1="D28" r2="D30" ca="1"/>
        <v>9.8267179727554332E-2</v>
      </c>
      <c r="E45" s="14">
        <f>E33</f>
        <v>-28663</v>
      </c>
      <c r="F45" s="699">
        <f t="dataTable" ref="F45:F53" dt2D="1" dtr="0" r1="D28" r2="D30" ca="1"/>
        <v>0</v>
      </c>
      <c r="G45" s="699"/>
      <c r="J45" s="699"/>
    </row>
    <row r="46" spans="2:10">
      <c r="B46" s="14"/>
      <c r="C46" s="14">
        <f t="shared" ref="C46:C53" si="11">C34</f>
        <v>-23123</v>
      </c>
      <c r="D46" s="121">
        <v>9.3143269419670105E-2</v>
      </c>
      <c r="E46" s="14">
        <f t="shared" ref="E46:E53" si="12">E34</f>
        <v>-23123</v>
      </c>
      <c r="F46" s="699">
        <v>0</v>
      </c>
      <c r="G46" s="699"/>
      <c r="J46" s="699"/>
    </row>
    <row r="47" spans="2:10">
      <c r="B47" s="14"/>
      <c r="C47" s="14">
        <f t="shared" si="11"/>
        <v>-17583</v>
      </c>
      <c r="D47" s="121">
        <v>8.8395449519157412E-2</v>
      </c>
      <c r="E47" s="14">
        <f t="shared" si="12"/>
        <v>-17583</v>
      </c>
      <c r="F47" s="699">
        <v>0</v>
      </c>
      <c r="G47" s="699"/>
      <c r="J47" s="699"/>
    </row>
    <row r="48" spans="2:10">
      <c r="B48" s="14"/>
      <c r="C48" s="14">
        <f t="shared" si="11"/>
        <v>-12043</v>
      </c>
      <c r="D48" s="121">
        <v>8.398047387599944E-2</v>
      </c>
      <c r="E48" s="14">
        <f t="shared" si="12"/>
        <v>-12043</v>
      </c>
      <c r="F48" s="699">
        <v>0</v>
      </c>
      <c r="G48" s="699"/>
      <c r="J48" s="699"/>
    </row>
    <row r="49" spans="2:10">
      <c r="B49" s="14"/>
      <c r="C49" s="14">
        <f t="shared" si="11"/>
        <v>-6503</v>
      </c>
      <c r="D49" s="121">
        <v>7.9861769080162084E-2</v>
      </c>
      <c r="E49" s="14">
        <f t="shared" si="12"/>
        <v>-6503</v>
      </c>
      <c r="F49" s="699">
        <v>0</v>
      </c>
      <c r="G49" s="699"/>
      <c r="J49" s="699"/>
    </row>
    <row r="50" spans="2:10">
      <c r="B50" s="14"/>
      <c r="C50" s="14">
        <f t="shared" si="11"/>
        <v>-963</v>
      </c>
      <c r="D50" s="121">
        <v>7.6008179783821128E-2</v>
      </c>
      <c r="E50" s="14">
        <f t="shared" si="12"/>
        <v>-963</v>
      </c>
      <c r="F50" s="699">
        <v>0</v>
      </c>
      <c r="G50" s="699"/>
      <c r="J50" s="699"/>
    </row>
    <row r="51" spans="2:10">
      <c r="B51" s="14"/>
      <c r="C51" s="14">
        <f t="shared" si="11"/>
        <v>4577</v>
      </c>
      <c r="D51" s="121">
        <v>7.2392967343330381E-2</v>
      </c>
      <c r="E51" s="14">
        <f t="shared" si="12"/>
        <v>4577</v>
      </c>
      <c r="F51" s="699">
        <v>0</v>
      </c>
      <c r="G51" s="699"/>
      <c r="J51" s="699"/>
    </row>
    <row r="52" spans="2:10">
      <c r="B52" s="14"/>
      <c r="C52" s="14">
        <f t="shared" si="11"/>
        <v>10117</v>
      </c>
      <c r="D52" s="121">
        <v>6.8993052840232841E-2</v>
      </c>
      <c r="E52" s="14">
        <f t="shared" si="12"/>
        <v>10117</v>
      </c>
      <c r="F52" s="699">
        <v>0</v>
      </c>
      <c r="G52" s="699"/>
      <c r="J52" s="699"/>
    </row>
    <row r="53" spans="2:10">
      <c r="B53" s="14"/>
      <c r="C53" s="14">
        <f t="shared" si="11"/>
        <v>15657</v>
      </c>
      <c r="D53" s="121">
        <v>6.578837931156159E-2</v>
      </c>
      <c r="E53" s="14">
        <f t="shared" si="12"/>
        <v>15657</v>
      </c>
      <c r="F53" s="699">
        <v>0</v>
      </c>
      <c r="G53" s="699"/>
      <c r="J53" s="699"/>
    </row>
    <row r="54" spans="2:10">
      <c r="B54" s="14"/>
      <c r="C54" s="14"/>
      <c r="D54" s="14"/>
      <c r="E54" s="14"/>
      <c r="F54" s="14"/>
      <c r="G54" s="14"/>
      <c r="J54" s="14"/>
    </row>
    <row r="55" spans="2:10">
      <c r="B55" s="14"/>
      <c r="C55" s="14"/>
      <c r="D55" s="14"/>
      <c r="E55" s="14"/>
      <c r="F55" s="14"/>
      <c r="G55" s="14"/>
      <c r="J55" s="14"/>
    </row>
    <row r="56" spans="2:10">
      <c r="B56" s="14"/>
      <c r="C56" s="41">
        <f ca="1">CF!$B$66</f>
        <v>7.669325172901155E-2</v>
      </c>
      <c r="D56" s="692">
        <v>0.35</v>
      </c>
      <c r="E56" s="692">
        <f ca="1">Assum!B11</f>
        <v>0</v>
      </c>
      <c r="F56" s="692">
        <v>0.35</v>
      </c>
      <c r="G56" s="692"/>
      <c r="J56" s="692"/>
    </row>
    <row r="57" spans="2:10">
      <c r="B57" s="14"/>
      <c r="C57" s="14">
        <f>C45</f>
        <v>-28663</v>
      </c>
      <c r="D57" s="121">
        <f t="dataTable" ref="D57:D65" dt2D="1" dtr="0" r1="D28" r2="D30" ca="1"/>
        <v>9.9139088392257713E-2</v>
      </c>
      <c r="E57" s="14">
        <f>E45</f>
        <v>-28663</v>
      </c>
      <c r="F57" s="699">
        <f t="dataTable" ref="F57:F65" dt2D="1" dtr="0" r1="D28" r2="D30" ca="1"/>
        <v>0</v>
      </c>
      <c r="G57" s="699"/>
      <c r="J57" s="699"/>
    </row>
    <row r="58" spans="2:10">
      <c r="B58" s="14"/>
      <c r="C58" s="14">
        <f t="shared" ref="C58:C65" si="13">C46</f>
        <v>-23123</v>
      </c>
      <c r="D58" s="121">
        <v>9.4101759791374223E-2</v>
      </c>
      <c r="E58" s="14">
        <f t="shared" ref="E58:E65" si="14">E46</f>
        <v>-23123</v>
      </c>
      <c r="F58" s="699">
        <v>0</v>
      </c>
      <c r="G58" s="699"/>
      <c r="J58" s="699"/>
    </row>
    <row r="59" spans="2:10">
      <c r="B59" s="14"/>
      <c r="C59" s="14">
        <f t="shared" si="13"/>
        <v>-17583</v>
      </c>
      <c r="D59" s="121">
        <v>8.9441725611686729E-2</v>
      </c>
      <c r="E59" s="14">
        <f t="shared" si="14"/>
        <v>-17583</v>
      </c>
      <c r="F59" s="699">
        <v>0</v>
      </c>
      <c r="G59" s="699"/>
      <c r="J59" s="699"/>
    </row>
    <row r="60" spans="2:10">
      <c r="B60" s="14"/>
      <c r="C60" s="14">
        <f t="shared" si="13"/>
        <v>-12043</v>
      </c>
      <c r="D60" s="121">
        <v>8.5115465521812442E-2</v>
      </c>
      <c r="E60" s="14">
        <f t="shared" si="14"/>
        <v>-12043</v>
      </c>
      <c r="F60" s="699">
        <v>0</v>
      </c>
      <c r="G60" s="699"/>
      <c r="J60" s="699"/>
    </row>
    <row r="61" spans="2:10">
      <c r="B61" s="14"/>
      <c r="C61" s="14">
        <f t="shared" si="13"/>
        <v>-6503</v>
      </c>
      <c r="D61" s="121">
        <v>8.1086161732673648E-2</v>
      </c>
      <c r="E61" s="14">
        <f t="shared" si="14"/>
        <v>-6503</v>
      </c>
      <c r="F61" s="699">
        <v>0</v>
      </c>
      <c r="G61" s="699"/>
      <c r="J61" s="699"/>
    </row>
    <row r="62" spans="2:10">
      <c r="B62" s="14"/>
      <c r="C62" s="14">
        <f t="shared" si="13"/>
        <v>-963</v>
      </c>
      <c r="D62" s="121">
        <v>7.7322438359260573E-2</v>
      </c>
      <c r="E62" s="14">
        <f t="shared" si="14"/>
        <v>-963</v>
      </c>
      <c r="F62" s="699">
        <v>0</v>
      </c>
      <c r="G62" s="699"/>
      <c r="J62" s="699"/>
    </row>
    <row r="63" spans="2:10">
      <c r="B63" s="14"/>
      <c r="C63" s="14">
        <f t="shared" si="13"/>
        <v>4577</v>
      </c>
      <c r="D63" s="121">
        <v>7.3797377943992631E-2</v>
      </c>
      <c r="E63" s="14">
        <f t="shared" si="14"/>
        <v>4577</v>
      </c>
      <c r="F63" s="699">
        <v>0</v>
      </c>
      <c r="G63" s="699"/>
      <c r="J63" s="699"/>
    </row>
    <row r="64" spans="2:10">
      <c r="B64" s="14"/>
      <c r="C64" s="14">
        <f t="shared" si="13"/>
        <v>10117</v>
      </c>
      <c r="D64" s="121">
        <v>7.0487722754478455E-2</v>
      </c>
      <c r="E64" s="14">
        <f t="shared" si="14"/>
        <v>10117</v>
      </c>
      <c r="F64" s="699">
        <v>0</v>
      </c>
      <c r="G64" s="699"/>
      <c r="J64" s="699"/>
    </row>
    <row r="65" spans="2:10">
      <c r="B65" s="14"/>
      <c r="C65" s="14">
        <f t="shared" si="13"/>
        <v>15657</v>
      </c>
      <c r="D65" s="121">
        <v>6.7373248934745791E-2</v>
      </c>
      <c r="E65" s="14">
        <f t="shared" si="14"/>
        <v>15657</v>
      </c>
      <c r="F65" s="699">
        <v>0</v>
      </c>
      <c r="G65" s="699"/>
      <c r="J65" s="699"/>
    </row>
  </sheetData>
  <pageMargins left="0.75" right="0.75" top="1" bottom="1" header="0.5" footer="0.5"/>
  <pageSetup scale="59" orientation="portrait" horizontalDpi="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4" r:id="rId4" name="Button 2">
              <controlPr defaultSize="0" print="0" autoFill="0" autoPict="0" macro="[0]!Returns">
                <anchor moveWithCells="1" sizeWithCells="1">
                  <from>
                    <xdr:col>7</xdr:col>
                    <xdr:colOff>533400</xdr:colOff>
                    <xdr:row>1</xdr:row>
                    <xdr:rowOff>57150</xdr:rowOff>
                  </from>
                  <to>
                    <xdr:col>9</xdr:col>
                    <xdr:colOff>552450</xdr:colOff>
                    <xdr:row>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Q39"/>
  <sheetViews>
    <sheetView showGridLines="0" zoomScale="75" zoomScaleNormal="75" workbookViewId="0">
      <selection activeCell="C6" sqref="C6"/>
    </sheetView>
  </sheetViews>
  <sheetFormatPr defaultColWidth="9.28515625" defaultRowHeight="15.75"/>
  <cols>
    <col min="1" max="1" width="45.140625" style="52" bestFit="1" customWidth="1"/>
    <col min="2" max="2" width="3.7109375" style="52" customWidth="1"/>
    <col min="3" max="6" width="9.85546875" style="52" customWidth="1"/>
    <col min="7" max="8" width="11.5703125" style="52" customWidth="1"/>
    <col min="9" max="9" width="10.28515625" style="52" customWidth="1"/>
    <col min="10" max="23" width="9.85546875" style="52" customWidth="1"/>
    <col min="24" max="16384" width="9.28515625" style="52"/>
  </cols>
  <sheetData>
    <row r="2" spans="1:33" ht="18.75">
      <c r="A2" s="126" t="str">
        <f>Assum!A2</f>
        <v xml:space="preserve">PROJECT NAME: PLANO </v>
      </c>
    </row>
    <row r="3" spans="1:33" ht="12" customHeight="1">
      <c r="A3" s="30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</row>
    <row r="4" spans="1:33" ht="18.75">
      <c r="A4" s="246" t="s">
        <v>1112</v>
      </c>
      <c r="B4" s="102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</row>
    <row r="5" spans="1:33" ht="18.75">
      <c r="A5" s="316" t="s">
        <v>1171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</row>
    <row r="6" spans="1:33">
      <c r="A6" s="186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</row>
    <row r="7" spans="1:33">
      <c r="A7"/>
      <c r="B7" s="17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</row>
    <row r="8" spans="1:33">
      <c r="A8"/>
      <c r="B8" s="159"/>
      <c r="C8" s="134"/>
      <c r="D8" s="134"/>
      <c r="E8" s="134"/>
      <c r="F8" s="160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</row>
    <row r="9" spans="1:33">
      <c r="A9" s="185"/>
      <c r="B9" s="134"/>
      <c r="C9" s="319">
        <f>(Assum!I18/12)</f>
        <v>0.58333333333333337</v>
      </c>
      <c r="D9" s="319">
        <f>C9+1</f>
        <v>1.5833333333333335</v>
      </c>
      <c r="E9" s="319">
        <f t="shared" ref="E9:X9" si="0">D9+1</f>
        <v>2.5833333333333335</v>
      </c>
      <c r="F9" s="319">
        <f t="shared" si="0"/>
        <v>3.5833333333333335</v>
      </c>
      <c r="G9" s="319">
        <f t="shared" si="0"/>
        <v>4.5833333333333339</v>
      </c>
      <c r="H9" s="319">
        <f t="shared" si="0"/>
        <v>5.5833333333333339</v>
      </c>
      <c r="I9" s="319">
        <f t="shared" si="0"/>
        <v>6.5833333333333339</v>
      </c>
      <c r="J9" s="319">
        <f t="shared" si="0"/>
        <v>7.5833333333333339</v>
      </c>
      <c r="K9" s="319">
        <f t="shared" si="0"/>
        <v>8.5833333333333339</v>
      </c>
      <c r="L9" s="319">
        <f t="shared" si="0"/>
        <v>9.5833333333333339</v>
      </c>
      <c r="M9" s="319">
        <f t="shared" si="0"/>
        <v>10.583333333333334</v>
      </c>
      <c r="N9" s="319">
        <f t="shared" si="0"/>
        <v>11.583333333333334</v>
      </c>
      <c r="O9" s="319">
        <f t="shared" si="0"/>
        <v>12.583333333333334</v>
      </c>
      <c r="P9" s="319">
        <f t="shared" si="0"/>
        <v>13.583333333333334</v>
      </c>
      <c r="Q9" s="319">
        <f t="shared" si="0"/>
        <v>14.583333333333334</v>
      </c>
      <c r="R9" s="319">
        <f t="shared" si="0"/>
        <v>15.583333333333334</v>
      </c>
      <c r="S9" s="319">
        <f t="shared" si="0"/>
        <v>16.583333333333336</v>
      </c>
      <c r="T9" s="319">
        <f t="shared" si="0"/>
        <v>17.583333333333336</v>
      </c>
      <c r="U9" s="319">
        <f t="shared" si="0"/>
        <v>18.583333333333336</v>
      </c>
      <c r="V9" s="319">
        <f t="shared" si="0"/>
        <v>19.583333333333336</v>
      </c>
      <c r="W9" s="319">
        <f t="shared" si="0"/>
        <v>20.583333333333336</v>
      </c>
      <c r="X9" s="319">
        <f t="shared" si="0"/>
        <v>21.583333333333336</v>
      </c>
      <c r="Y9" s="319">
        <f t="shared" ref="Y9:AF9" si="1">X9+1</f>
        <v>22.583333333333336</v>
      </c>
      <c r="Z9" s="319">
        <f t="shared" si="1"/>
        <v>23.583333333333336</v>
      </c>
      <c r="AA9" s="319">
        <f t="shared" si="1"/>
        <v>24.583333333333336</v>
      </c>
      <c r="AB9" s="319">
        <f t="shared" si="1"/>
        <v>25.583333333333336</v>
      </c>
      <c r="AC9" s="319">
        <f t="shared" si="1"/>
        <v>26.583333333333336</v>
      </c>
      <c r="AD9" s="319">
        <f t="shared" si="1"/>
        <v>27.583333333333336</v>
      </c>
      <c r="AE9" s="319">
        <f t="shared" si="1"/>
        <v>28.583333333333336</v>
      </c>
      <c r="AF9" s="319">
        <f t="shared" si="1"/>
        <v>29.583333333333336</v>
      </c>
      <c r="AG9" s="319">
        <f>AF9+1</f>
        <v>30.583333333333336</v>
      </c>
    </row>
    <row r="10" spans="1:33" ht="16.5" thickBot="1">
      <c r="A10" s="318"/>
      <c r="B10" s="318"/>
      <c r="C10" s="320">
        <f>IS!C7</f>
        <v>2001</v>
      </c>
      <c r="D10" s="320">
        <f>IS!D7</f>
        <v>2002</v>
      </c>
      <c r="E10" s="320">
        <f>IS!E7</f>
        <v>2003</v>
      </c>
      <c r="F10" s="320">
        <f>IS!F7</f>
        <v>2004</v>
      </c>
      <c r="G10" s="320">
        <f>IS!G7</f>
        <v>2005</v>
      </c>
      <c r="H10" s="320">
        <f>IS!H7</f>
        <v>2006</v>
      </c>
      <c r="I10" s="320">
        <f>IS!I7</f>
        <v>2007</v>
      </c>
      <c r="J10" s="320">
        <f>IS!J7</f>
        <v>2008</v>
      </c>
      <c r="K10" s="320">
        <f>IS!K7</f>
        <v>2009</v>
      </c>
      <c r="L10" s="320">
        <f>IS!L7</f>
        <v>2010</v>
      </c>
      <c r="M10" s="320">
        <f>IS!M7</f>
        <v>2011</v>
      </c>
      <c r="N10" s="320">
        <f>IS!N7</f>
        <v>2012</v>
      </c>
      <c r="O10" s="320">
        <f>IS!O7</f>
        <v>2013</v>
      </c>
      <c r="P10" s="320">
        <f>IS!P7</f>
        <v>2014</v>
      </c>
      <c r="Q10" s="320">
        <f>IS!Q7</f>
        <v>2015</v>
      </c>
      <c r="R10" s="320">
        <f>IS!R7</f>
        <v>2016</v>
      </c>
      <c r="S10" s="320">
        <f>IS!S7</f>
        <v>2017</v>
      </c>
      <c r="T10" s="320">
        <f>IS!T7</f>
        <v>2018</v>
      </c>
      <c r="U10" s="320">
        <f>IS!U7</f>
        <v>2019</v>
      </c>
      <c r="V10" s="320">
        <f>IS!V7</f>
        <v>2020</v>
      </c>
      <c r="W10" s="320">
        <f>IS!W7</f>
        <v>2021</v>
      </c>
      <c r="X10" s="320">
        <f>IS!X7</f>
        <v>2022</v>
      </c>
      <c r="Y10" s="320">
        <f>IS!Y7</f>
        <v>2023</v>
      </c>
      <c r="Z10" s="320">
        <f>IS!Z7</f>
        <v>2024</v>
      </c>
      <c r="AA10" s="320">
        <f>IS!AA7</f>
        <v>2025</v>
      </c>
      <c r="AB10" s="320">
        <f>IS!AB7</f>
        <v>2026</v>
      </c>
      <c r="AC10" s="320">
        <f>IS!AC7</f>
        <v>0</v>
      </c>
      <c r="AD10" s="320">
        <f>IS!AD7</f>
        <v>0</v>
      </c>
      <c r="AE10" s="320">
        <f>IS!AE7</f>
        <v>0</v>
      </c>
      <c r="AF10" s="320">
        <f>IS!AF7</f>
        <v>0</v>
      </c>
      <c r="AG10" s="320">
        <f>IS!AG7</f>
        <v>0</v>
      </c>
    </row>
    <row r="11" spans="1:33">
      <c r="A11" s="134"/>
      <c r="B11" s="134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</row>
    <row r="12" spans="1:33">
      <c r="A12" s="187" t="s">
        <v>1096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</row>
    <row r="13" spans="1:33">
      <c r="A13" s="134" t="s">
        <v>1100</v>
      </c>
      <c r="B13" s="162"/>
      <c r="C13" s="282">
        <v>62.135922330097088</v>
      </c>
      <c r="D13" s="282">
        <v>64</v>
      </c>
      <c r="E13" s="282">
        <v>62</v>
      </c>
      <c r="F13" s="282">
        <v>61</v>
      </c>
      <c r="G13" s="282">
        <v>59</v>
      </c>
      <c r="H13" s="282">
        <v>58</v>
      </c>
      <c r="I13" s="282">
        <v>57</v>
      </c>
      <c r="J13" s="282">
        <v>56</v>
      </c>
      <c r="K13" s="282">
        <v>56</v>
      </c>
      <c r="L13" s="282">
        <v>55</v>
      </c>
      <c r="M13" s="282">
        <v>55</v>
      </c>
      <c r="N13" s="282">
        <v>54</v>
      </c>
      <c r="O13" s="282">
        <v>54</v>
      </c>
      <c r="P13" s="282">
        <v>53</v>
      </c>
      <c r="Q13" s="282">
        <v>52</v>
      </c>
      <c r="R13" s="282">
        <v>51</v>
      </c>
      <c r="S13" s="282">
        <v>50</v>
      </c>
      <c r="T13" s="282">
        <v>49</v>
      </c>
      <c r="U13" s="282">
        <v>48</v>
      </c>
      <c r="V13" s="282">
        <v>47</v>
      </c>
      <c r="W13" s="282">
        <v>46</v>
      </c>
      <c r="X13" s="282">
        <v>45</v>
      </c>
      <c r="Y13" s="282">
        <v>44</v>
      </c>
      <c r="Z13" s="282">
        <v>43</v>
      </c>
      <c r="AA13" s="282">
        <v>42</v>
      </c>
      <c r="AB13" s="282">
        <v>41</v>
      </c>
      <c r="AC13" s="282">
        <v>40</v>
      </c>
      <c r="AD13" s="282">
        <v>39</v>
      </c>
      <c r="AE13" s="282">
        <v>38</v>
      </c>
      <c r="AF13" s="282">
        <v>37</v>
      </c>
      <c r="AG13" s="282">
        <v>36</v>
      </c>
    </row>
    <row r="14" spans="1:33">
      <c r="A14" s="134" t="s">
        <v>1099</v>
      </c>
      <c r="B14" s="134"/>
      <c r="C14" s="282">
        <v>49.514563106796118</v>
      </c>
      <c r="D14" s="282">
        <v>51</v>
      </c>
      <c r="E14" s="282">
        <v>52</v>
      </c>
      <c r="F14" s="282">
        <v>52</v>
      </c>
      <c r="G14" s="282">
        <v>52</v>
      </c>
      <c r="H14" s="282">
        <v>52</v>
      </c>
      <c r="I14" s="282">
        <v>52</v>
      </c>
      <c r="J14" s="282">
        <v>50</v>
      </c>
      <c r="K14" s="282">
        <v>48</v>
      </c>
      <c r="L14" s="282">
        <v>45</v>
      </c>
      <c r="M14" s="282">
        <v>43</v>
      </c>
      <c r="N14" s="282">
        <v>41</v>
      </c>
      <c r="O14" s="282">
        <v>40</v>
      </c>
      <c r="P14" s="282">
        <v>39</v>
      </c>
      <c r="Q14" s="282">
        <v>37</v>
      </c>
      <c r="R14" s="282">
        <v>36</v>
      </c>
      <c r="S14" s="282">
        <v>35</v>
      </c>
      <c r="T14" s="282">
        <v>35</v>
      </c>
      <c r="U14" s="282">
        <v>35</v>
      </c>
      <c r="V14" s="282">
        <v>34</v>
      </c>
      <c r="W14" s="282">
        <v>34</v>
      </c>
      <c r="X14" s="282">
        <v>34</v>
      </c>
      <c r="Y14" s="282">
        <v>34</v>
      </c>
      <c r="Z14" s="282">
        <v>34</v>
      </c>
      <c r="AA14" s="282">
        <v>34</v>
      </c>
      <c r="AB14" s="282">
        <v>34</v>
      </c>
      <c r="AC14" s="282">
        <v>34</v>
      </c>
      <c r="AD14" s="282">
        <v>34</v>
      </c>
      <c r="AE14" s="282">
        <v>34</v>
      </c>
      <c r="AF14" s="282">
        <v>34</v>
      </c>
      <c r="AG14" s="282">
        <v>34</v>
      </c>
    </row>
    <row r="15" spans="1:33">
      <c r="A15" s="134"/>
      <c r="B15" s="134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</row>
    <row r="16" spans="1:33">
      <c r="A16" s="187" t="s">
        <v>1097</v>
      </c>
      <c r="B16" s="134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</row>
    <row r="17" spans="1:43">
      <c r="A17" s="134" t="s">
        <v>1098</v>
      </c>
      <c r="B17" s="165"/>
      <c r="C17" s="282">
        <v>65.92</v>
      </c>
      <c r="D17" s="282">
        <v>67.897599999999997</v>
      </c>
      <c r="E17" s="282">
        <v>67.749074000000007</v>
      </c>
      <c r="F17" s="282">
        <v>68.656037409999996</v>
      </c>
      <c r="G17" s="282">
        <v>68.397170383699986</v>
      </c>
      <c r="H17" s="282">
        <v>69.255033198682</v>
      </c>
      <c r="I17" s="282">
        <v>70.10281032921759</v>
      </c>
      <c r="J17" s="282">
        <v>70.939124557706492</v>
      </c>
      <c r="K17" s="282">
        <v>73.067298294437691</v>
      </c>
      <c r="L17" s="282">
        <v>73.915400863926692</v>
      </c>
      <c r="M17" s="282">
        <v>76.132862889844503</v>
      </c>
      <c r="N17" s="282">
        <v>76.991087889693645</v>
      </c>
      <c r="O17" s="282">
        <v>79.300820526384456</v>
      </c>
      <c r="P17" s="282">
        <v>80.167255417320888</v>
      </c>
      <c r="Q17" s="282">
        <v>81.014305663239753</v>
      </c>
      <c r="R17" s="282">
        <v>81.840028394038143</v>
      </c>
      <c r="S17" s="282">
        <v>82.642381613587531</v>
      </c>
      <c r="T17" s="282">
        <v>83.41922000075526</v>
      </c>
      <c r="U17" s="282">
        <v>84.168290547700821</v>
      </c>
      <c r="V17" s="282">
        <v>84.88722802946242</v>
      </c>
      <c r="W17" s="282">
        <v>85.573550298636789</v>
      </c>
      <c r="X17" s="282">
        <v>86.224653398735114</v>
      </c>
      <c r="Y17" s="282">
        <v>86.875756498833397</v>
      </c>
      <c r="Z17" s="282">
        <v>87.526859598931793</v>
      </c>
      <c r="AA17" s="282">
        <v>88.177962699030104</v>
      </c>
      <c r="AB17" s="282">
        <v>88.829065799128401</v>
      </c>
      <c r="AC17" s="282">
        <v>89.480168899226697</v>
      </c>
      <c r="AD17" s="282">
        <v>90.131271999325094</v>
      </c>
      <c r="AE17" s="282">
        <v>90.782375099423405</v>
      </c>
      <c r="AF17" s="282">
        <v>91.433478199521701</v>
      </c>
      <c r="AG17" s="282">
        <v>92.084581299619998</v>
      </c>
    </row>
    <row r="18" spans="1:43">
      <c r="A18" s="134" t="s">
        <v>1099</v>
      </c>
      <c r="B18" s="134"/>
      <c r="C18" s="282">
        <v>52.53</v>
      </c>
      <c r="D18" s="282">
        <v>54.105899999999998</v>
      </c>
      <c r="E18" s="282">
        <v>56.821804</v>
      </c>
      <c r="F18" s="282">
        <v>58.526458119999994</v>
      </c>
      <c r="G18" s="282">
        <v>60.282251863599996</v>
      </c>
      <c r="H18" s="282">
        <v>62.090719419507991</v>
      </c>
      <c r="I18" s="282">
        <v>63.953441002093243</v>
      </c>
      <c r="J18" s="282">
        <v>63.338504069380789</v>
      </c>
      <c r="K18" s="282">
        <v>62.629112823803737</v>
      </c>
      <c r="L18" s="282">
        <v>60.476237070485482</v>
      </c>
      <c r="M18" s="282">
        <v>59.522056441151157</v>
      </c>
      <c r="N18" s="282">
        <v>58.456196360693326</v>
      </c>
      <c r="O18" s="282">
        <v>58.741348538062553</v>
      </c>
      <c r="P18" s="282">
        <v>58.990999269349331</v>
      </c>
      <c r="Q18" s="282">
        <v>57.644794414228286</v>
      </c>
      <c r="R18" s="282">
        <v>57.769431807556337</v>
      </c>
      <c r="S18" s="282">
        <v>57.849667129511275</v>
      </c>
      <c r="T18" s="282">
        <v>59.585157143396614</v>
      </c>
      <c r="U18" s="282">
        <v>61.372711857698505</v>
      </c>
      <c r="V18" s="282">
        <v>61.407781978760056</v>
      </c>
      <c r="W18" s="282">
        <v>63.250015438122844</v>
      </c>
      <c r="X18" s="282">
        <v>65.14751590126653</v>
      </c>
      <c r="Y18" s="282">
        <v>67.045016364410202</v>
      </c>
      <c r="Z18" s="282">
        <v>68.942516827553902</v>
      </c>
      <c r="AA18" s="282">
        <v>70.840017290697602</v>
      </c>
      <c r="AB18" s="282">
        <v>72.737517753841303</v>
      </c>
      <c r="AC18" s="282">
        <v>74.635018216984903</v>
      </c>
      <c r="AD18" s="282">
        <v>76.532518680128604</v>
      </c>
      <c r="AE18" s="282">
        <v>78.430019143272304</v>
      </c>
      <c r="AF18" s="282">
        <v>80.327519606416004</v>
      </c>
      <c r="AG18" s="282">
        <v>82.225020069559704</v>
      </c>
    </row>
    <row r="19" spans="1:43">
      <c r="A19" s="134"/>
      <c r="B19" s="134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</row>
    <row r="20" spans="1:43">
      <c r="A20" s="134" t="s">
        <v>1101</v>
      </c>
      <c r="B20" s="134"/>
      <c r="C20" s="166">
        <f>C17/12</f>
        <v>5.4933333333333332</v>
      </c>
      <c r="D20" s="166">
        <f t="shared" ref="D20:W20" si="2">D17/12</f>
        <v>5.6581333333333328</v>
      </c>
      <c r="E20" s="166">
        <f t="shared" si="2"/>
        <v>5.6457561666666676</v>
      </c>
      <c r="F20" s="166">
        <f t="shared" si="2"/>
        <v>5.7213364508333333</v>
      </c>
      <c r="G20" s="166">
        <f t="shared" si="2"/>
        <v>5.6997641986416658</v>
      </c>
      <c r="H20" s="166">
        <f t="shared" si="2"/>
        <v>5.7712527665568336</v>
      </c>
      <c r="I20" s="166">
        <f t="shared" si="2"/>
        <v>5.8419008607681322</v>
      </c>
      <c r="J20" s="166">
        <f t="shared" si="2"/>
        <v>5.9115937131422074</v>
      </c>
      <c r="K20" s="166">
        <f t="shared" si="2"/>
        <v>6.088941524536474</v>
      </c>
      <c r="L20" s="166">
        <f t="shared" si="2"/>
        <v>6.1596167386605574</v>
      </c>
      <c r="M20" s="166">
        <f t="shared" si="2"/>
        <v>6.3444052408203753</v>
      </c>
      <c r="N20" s="166">
        <f t="shared" si="2"/>
        <v>6.4159239908078041</v>
      </c>
      <c r="O20" s="166">
        <f t="shared" si="2"/>
        <v>6.6084017105320383</v>
      </c>
      <c r="P20" s="166">
        <f t="shared" si="2"/>
        <v>6.680604618110074</v>
      </c>
      <c r="Q20" s="166">
        <f t="shared" si="2"/>
        <v>6.7511921386033125</v>
      </c>
      <c r="R20" s="166">
        <f t="shared" si="2"/>
        <v>6.8200023661698452</v>
      </c>
      <c r="S20" s="166">
        <f t="shared" si="2"/>
        <v>6.8868651344656273</v>
      </c>
      <c r="T20" s="166">
        <f t="shared" si="2"/>
        <v>6.951601666729605</v>
      </c>
      <c r="U20" s="166">
        <f t="shared" si="2"/>
        <v>7.014024212308402</v>
      </c>
      <c r="V20" s="166">
        <f t="shared" si="2"/>
        <v>7.0739356691218687</v>
      </c>
      <c r="W20" s="166">
        <f t="shared" si="2"/>
        <v>7.1311291915530655</v>
      </c>
      <c r="X20" s="166">
        <f>X17/12</f>
        <v>7.1853877832279265</v>
      </c>
      <c r="Y20" s="166">
        <f t="shared" ref="Y20:AF20" si="3">Y17/12</f>
        <v>7.2396463749027831</v>
      </c>
      <c r="Z20" s="166">
        <f t="shared" si="3"/>
        <v>7.2939049665776494</v>
      </c>
      <c r="AA20" s="166">
        <f t="shared" si="3"/>
        <v>7.3481635582525087</v>
      </c>
      <c r="AB20" s="166">
        <f t="shared" si="3"/>
        <v>7.402422149927367</v>
      </c>
      <c r="AC20" s="166">
        <f t="shared" si="3"/>
        <v>7.4566807416022245</v>
      </c>
      <c r="AD20" s="166">
        <f t="shared" si="3"/>
        <v>7.5109393332770908</v>
      </c>
      <c r="AE20" s="166">
        <f t="shared" si="3"/>
        <v>7.5651979249519501</v>
      </c>
      <c r="AF20" s="166">
        <f t="shared" si="3"/>
        <v>7.6194565166268085</v>
      </c>
      <c r="AG20" s="166">
        <f>AG17/12</f>
        <v>7.6737151083016668</v>
      </c>
    </row>
    <row r="21" spans="1:43">
      <c r="A21" s="134" t="s">
        <v>1102</v>
      </c>
      <c r="B21" s="134"/>
      <c r="C21" s="166">
        <f>C18/12</f>
        <v>4.3775000000000004</v>
      </c>
      <c r="D21" s="166">
        <f t="shared" ref="D21:W21" si="4">D18/12</f>
        <v>4.5088249999999999</v>
      </c>
      <c r="E21" s="166">
        <f t="shared" si="4"/>
        <v>4.7351503333333334</v>
      </c>
      <c r="F21" s="166">
        <f t="shared" si="4"/>
        <v>4.8772048433333328</v>
      </c>
      <c r="G21" s="166">
        <f t="shared" si="4"/>
        <v>5.023520988633333</v>
      </c>
      <c r="H21" s="166">
        <f t="shared" si="4"/>
        <v>5.1742266182923329</v>
      </c>
      <c r="I21" s="166">
        <f t="shared" si="4"/>
        <v>5.3294534168411039</v>
      </c>
      <c r="J21" s="166">
        <f t="shared" si="4"/>
        <v>5.2782086724483994</v>
      </c>
      <c r="K21" s="166">
        <f t="shared" si="4"/>
        <v>5.2190927353169778</v>
      </c>
      <c r="L21" s="166">
        <f t="shared" si="4"/>
        <v>5.0396864225404565</v>
      </c>
      <c r="M21" s="166">
        <f t="shared" si="4"/>
        <v>4.9601713700959298</v>
      </c>
      <c r="N21" s="166">
        <f t="shared" si="4"/>
        <v>4.8713496967244438</v>
      </c>
      <c r="O21" s="166">
        <f t="shared" si="4"/>
        <v>4.8951123781718797</v>
      </c>
      <c r="P21" s="166">
        <f t="shared" si="4"/>
        <v>4.9159166057791106</v>
      </c>
      <c r="Q21" s="166">
        <f t="shared" si="4"/>
        <v>4.8037328678523572</v>
      </c>
      <c r="R21" s="166">
        <f t="shared" si="4"/>
        <v>4.8141193172963614</v>
      </c>
      <c r="S21" s="166">
        <f t="shared" si="4"/>
        <v>4.8208055941259396</v>
      </c>
      <c r="T21" s="166">
        <f t="shared" si="4"/>
        <v>4.9654297619497179</v>
      </c>
      <c r="U21" s="166">
        <f t="shared" si="4"/>
        <v>5.114392654808209</v>
      </c>
      <c r="V21" s="166">
        <f t="shared" si="4"/>
        <v>5.117315164896671</v>
      </c>
      <c r="W21" s="166">
        <f t="shared" si="4"/>
        <v>5.27083461984357</v>
      </c>
      <c r="X21" s="166">
        <f>X18/12</f>
        <v>5.4289596584388775</v>
      </c>
      <c r="Y21" s="166">
        <f t="shared" ref="Y21:AF21" si="5">Y18/12</f>
        <v>5.5870846970341832</v>
      </c>
      <c r="Z21" s="166">
        <f t="shared" si="5"/>
        <v>5.7452097356294916</v>
      </c>
      <c r="AA21" s="166">
        <f t="shared" si="5"/>
        <v>5.9033347742247999</v>
      </c>
      <c r="AB21" s="166">
        <f t="shared" si="5"/>
        <v>6.0614598128201083</v>
      </c>
      <c r="AC21" s="166">
        <f t="shared" si="5"/>
        <v>6.2195848514154086</v>
      </c>
      <c r="AD21" s="166">
        <f t="shared" si="5"/>
        <v>6.377709890010717</v>
      </c>
      <c r="AE21" s="166">
        <f t="shared" si="5"/>
        <v>6.5358349286060253</v>
      </c>
      <c r="AF21" s="166">
        <f t="shared" si="5"/>
        <v>6.6939599672013337</v>
      </c>
      <c r="AG21" s="166">
        <f>AG18/12</f>
        <v>6.852085005796642</v>
      </c>
    </row>
    <row r="22" spans="1:43">
      <c r="A22" s="134" t="s">
        <v>1104</v>
      </c>
      <c r="B22" s="134"/>
      <c r="C22" s="282">
        <v>0</v>
      </c>
      <c r="D22" s="282">
        <v>0</v>
      </c>
      <c r="E22" s="282">
        <v>0</v>
      </c>
      <c r="F22" s="282">
        <v>0</v>
      </c>
      <c r="G22" s="282">
        <v>0</v>
      </c>
      <c r="H22" s="282">
        <v>0</v>
      </c>
      <c r="I22" s="282">
        <v>0</v>
      </c>
      <c r="J22" s="282">
        <v>0</v>
      </c>
      <c r="K22" s="282">
        <v>0</v>
      </c>
      <c r="L22" s="282">
        <v>0</v>
      </c>
      <c r="M22" s="282">
        <v>0</v>
      </c>
      <c r="N22" s="282">
        <v>0</v>
      </c>
      <c r="O22" s="282">
        <v>0</v>
      </c>
      <c r="P22" s="282">
        <v>0</v>
      </c>
      <c r="Q22" s="282">
        <v>0</v>
      </c>
      <c r="R22" s="282">
        <v>0</v>
      </c>
      <c r="S22" s="282">
        <v>0</v>
      </c>
      <c r="T22" s="282">
        <v>0</v>
      </c>
      <c r="U22" s="282">
        <v>0</v>
      </c>
      <c r="V22" s="282">
        <v>0</v>
      </c>
      <c r="W22" s="282">
        <v>0</v>
      </c>
      <c r="X22" s="282">
        <v>0</v>
      </c>
      <c r="Y22" s="282">
        <v>0</v>
      </c>
      <c r="Z22" s="282">
        <v>0</v>
      </c>
      <c r="AA22" s="282">
        <v>0</v>
      </c>
      <c r="AB22" s="282">
        <v>0</v>
      </c>
      <c r="AC22" s="282">
        <v>0</v>
      </c>
      <c r="AD22" s="282">
        <v>0</v>
      </c>
      <c r="AE22" s="282">
        <v>0</v>
      </c>
      <c r="AF22" s="282">
        <v>0</v>
      </c>
      <c r="AG22" s="282">
        <v>0</v>
      </c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</row>
    <row r="23" spans="1:43">
      <c r="A23" s="134" t="s">
        <v>1010</v>
      </c>
      <c r="B23" s="134"/>
      <c r="C23" s="282">
        <v>4</v>
      </c>
      <c r="D23" s="282">
        <v>4</v>
      </c>
      <c r="E23" s="282">
        <v>4</v>
      </c>
      <c r="F23" s="282">
        <v>4</v>
      </c>
      <c r="G23" s="282">
        <v>4</v>
      </c>
      <c r="H23" s="282">
        <v>4</v>
      </c>
      <c r="I23" s="282">
        <v>4</v>
      </c>
      <c r="J23" s="282">
        <v>4</v>
      </c>
      <c r="K23" s="282">
        <v>4</v>
      </c>
      <c r="L23" s="282">
        <v>4</v>
      </c>
      <c r="M23" s="282">
        <v>4</v>
      </c>
      <c r="N23" s="282">
        <v>4</v>
      </c>
      <c r="O23" s="282">
        <v>4</v>
      </c>
      <c r="P23" s="282">
        <v>4</v>
      </c>
      <c r="Q23" s="282">
        <v>4</v>
      </c>
      <c r="R23" s="282">
        <v>4</v>
      </c>
      <c r="S23" s="282">
        <v>4</v>
      </c>
      <c r="T23" s="282">
        <v>4</v>
      </c>
      <c r="U23" s="282">
        <v>4</v>
      </c>
      <c r="V23" s="282">
        <v>4</v>
      </c>
      <c r="W23" s="282">
        <v>4</v>
      </c>
      <c r="X23" s="282">
        <v>4</v>
      </c>
      <c r="Y23" s="282">
        <v>4</v>
      </c>
      <c r="Z23" s="282">
        <v>4</v>
      </c>
      <c r="AA23" s="282">
        <v>4</v>
      </c>
      <c r="AB23" s="282">
        <v>4</v>
      </c>
      <c r="AC23" s="282">
        <v>4</v>
      </c>
      <c r="AD23" s="282">
        <v>4</v>
      </c>
      <c r="AE23" s="282">
        <v>4</v>
      </c>
      <c r="AF23" s="282">
        <v>4</v>
      </c>
      <c r="AG23" s="282">
        <v>4</v>
      </c>
    </row>
    <row r="24" spans="1:43">
      <c r="A24" s="134"/>
      <c r="B24" s="134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</row>
    <row r="25" spans="1:43">
      <c r="A25" s="167" t="s">
        <v>1150</v>
      </c>
      <c r="B25" s="168"/>
      <c r="C25" s="293">
        <f t="shared" ref="C25:AG25" si="6">CHOOSE($A$26,C20,C21,C22,C23)</f>
        <v>0</v>
      </c>
      <c r="D25" s="293">
        <f t="shared" si="6"/>
        <v>0</v>
      </c>
      <c r="E25" s="293">
        <f t="shared" si="6"/>
        <v>0</v>
      </c>
      <c r="F25" s="293">
        <f t="shared" si="6"/>
        <v>0</v>
      </c>
      <c r="G25" s="293">
        <f t="shared" si="6"/>
        <v>0</v>
      </c>
      <c r="H25" s="293">
        <f t="shared" si="6"/>
        <v>0</v>
      </c>
      <c r="I25" s="293">
        <f t="shared" si="6"/>
        <v>0</v>
      </c>
      <c r="J25" s="293">
        <f t="shared" si="6"/>
        <v>0</v>
      </c>
      <c r="K25" s="293">
        <f t="shared" si="6"/>
        <v>0</v>
      </c>
      <c r="L25" s="293">
        <f t="shared" si="6"/>
        <v>0</v>
      </c>
      <c r="M25" s="293">
        <f t="shared" si="6"/>
        <v>0</v>
      </c>
      <c r="N25" s="293">
        <f t="shared" si="6"/>
        <v>0</v>
      </c>
      <c r="O25" s="293">
        <f t="shared" si="6"/>
        <v>0</v>
      </c>
      <c r="P25" s="293">
        <f t="shared" si="6"/>
        <v>0</v>
      </c>
      <c r="Q25" s="293">
        <f t="shared" si="6"/>
        <v>0</v>
      </c>
      <c r="R25" s="293">
        <f t="shared" si="6"/>
        <v>0</v>
      </c>
      <c r="S25" s="293">
        <f t="shared" si="6"/>
        <v>0</v>
      </c>
      <c r="T25" s="293">
        <f t="shared" si="6"/>
        <v>0</v>
      </c>
      <c r="U25" s="293">
        <f t="shared" si="6"/>
        <v>0</v>
      </c>
      <c r="V25" s="293">
        <f t="shared" si="6"/>
        <v>0</v>
      </c>
      <c r="W25" s="293">
        <f t="shared" si="6"/>
        <v>0</v>
      </c>
      <c r="X25" s="293">
        <f t="shared" si="6"/>
        <v>0</v>
      </c>
      <c r="Y25" s="293">
        <f t="shared" si="6"/>
        <v>0</v>
      </c>
      <c r="Z25" s="293">
        <f t="shared" si="6"/>
        <v>0</v>
      </c>
      <c r="AA25" s="293">
        <f t="shared" si="6"/>
        <v>0</v>
      </c>
      <c r="AB25" s="293">
        <f t="shared" si="6"/>
        <v>0</v>
      </c>
      <c r="AC25" s="293">
        <f t="shared" si="6"/>
        <v>0</v>
      </c>
      <c r="AD25" s="293">
        <f t="shared" si="6"/>
        <v>0</v>
      </c>
      <c r="AE25" s="293">
        <f t="shared" si="6"/>
        <v>0</v>
      </c>
      <c r="AF25" s="293">
        <f t="shared" si="6"/>
        <v>0</v>
      </c>
      <c r="AG25" s="293">
        <f t="shared" si="6"/>
        <v>0</v>
      </c>
    </row>
    <row r="26" spans="1:43">
      <c r="A26" s="188">
        <v>3</v>
      </c>
      <c r="B26" s="168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4"/>
      <c r="Y26" s="170"/>
      <c r="Z26" s="170"/>
    </row>
    <row r="27" spans="1:43">
      <c r="A27" s="134"/>
      <c r="B27" s="168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43">
      <c r="A28" s="134"/>
      <c r="B28" s="168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</row>
    <row r="29" spans="1:43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</row>
    <row r="30" spans="1:43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</row>
    <row r="31" spans="1:43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</row>
    <row r="32" spans="1:43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</row>
    <row r="33" spans="1:23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</row>
    <row r="34" spans="1:23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</row>
    <row r="35" spans="1:23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</row>
    <row r="36" spans="1:23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</row>
    <row r="37" spans="1:23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</row>
    <row r="38" spans="1:23">
      <c r="A38" s="134"/>
      <c r="B38" s="134"/>
    </row>
    <row r="39" spans="1:23">
      <c r="A39" s="134"/>
      <c r="B39" s="134"/>
    </row>
  </sheetData>
  <dataValidations count="1">
    <dataValidation type="list" allowBlank="1" showInputMessage="1" showErrorMessage="1" sqref="A26">
      <formula1>"1,2,3,4"</formula1>
    </dataValidation>
  </dataValidations>
  <pageMargins left="0.45" right="0.45" top="0.5" bottom="0.5" header="0.25" footer="0.25"/>
  <pageSetup scale="65" fitToWidth="2" orientation="landscape" r:id="rId1"/>
  <headerFooter alignWithMargins="0">
    <oddFooter xml:space="preserve">&amp;L&amp;T, &amp;D&amp;C&amp;F&amp;R&amp;P 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30"/>
  <sheetViews>
    <sheetView workbookViewId="0">
      <selection activeCell="B9" sqref="B9"/>
    </sheetView>
  </sheetViews>
  <sheetFormatPr defaultRowHeight="12.75"/>
  <cols>
    <col min="1" max="1" width="10.140625" bestFit="1" customWidth="1"/>
  </cols>
  <sheetData>
    <row r="1" spans="1:3">
      <c r="A1" s="1164" t="s">
        <v>1475</v>
      </c>
      <c r="B1" s="1164"/>
      <c r="C1" s="1164"/>
    </row>
    <row r="2" spans="1:3">
      <c r="A2" s="1164"/>
      <c r="B2" s="1164"/>
      <c r="C2" s="1164"/>
    </row>
    <row r="5" spans="1:3">
      <c r="A5" s="681"/>
      <c r="B5" s="682" t="s">
        <v>1476</v>
      </c>
      <c r="C5" s="682" t="s">
        <v>1477</v>
      </c>
    </row>
    <row r="6" spans="1:3">
      <c r="A6" s="683">
        <v>36525</v>
      </c>
      <c r="B6" s="684">
        <v>2.6700000000000002E-2</v>
      </c>
      <c r="C6" s="685">
        <v>2.9700000000000001E-2</v>
      </c>
    </row>
    <row r="7" spans="1:3">
      <c r="A7" s="683">
        <v>36891</v>
      </c>
      <c r="B7" s="684">
        <v>3.5000000000000003E-2</v>
      </c>
      <c r="C7" s="685">
        <v>4.8000000000000001E-2</v>
      </c>
    </row>
    <row r="8" spans="1:3">
      <c r="A8" s="683">
        <v>37256</v>
      </c>
      <c r="B8" s="684">
        <v>3.1E-2</v>
      </c>
      <c r="C8" s="685">
        <v>3.2000000000000001E-2</v>
      </c>
    </row>
    <row r="9" spans="1:3">
      <c r="A9" s="683">
        <v>37621</v>
      </c>
      <c r="B9" s="684">
        <v>0.03</v>
      </c>
      <c r="C9" s="685">
        <v>2.9000000000000001E-2</v>
      </c>
    </row>
    <row r="10" spans="1:3">
      <c r="A10" s="683">
        <v>37986</v>
      </c>
      <c r="B10" s="684">
        <v>2.9000000000000001E-2</v>
      </c>
      <c r="C10" s="685">
        <v>2.7E-2</v>
      </c>
    </row>
    <row r="11" spans="1:3">
      <c r="A11" s="683">
        <v>38352</v>
      </c>
      <c r="B11" s="684">
        <v>2.8500000000000001E-2</v>
      </c>
      <c r="C11" s="685">
        <v>2.53E-2</v>
      </c>
    </row>
    <row r="12" spans="1:3">
      <c r="A12" s="683">
        <v>38717</v>
      </c>
      <c r="B12" s="684">
        <v>2.8000000000000001E-2</v>
      </c>
      <c r="C12" s="685">
        <v>2.4E-2</v>
      </c>
    </row>
    <row r="13" spans="1:3">
      <c r="A13" s="683">
        <v>39082</v>
      </c>
      <c r="B13" s="684">
        <v>2.7199999999999998E-2</v>
      </c>
      <c r="C13" s="685">
        <v>2.2499999999999999E-2</v>
      </c>
    </row>
    <row r="14" spans="1:3">
      <c r="A14" s="683">
        <v>39447</v>
      </c>
      <c r="B14" s="684">
        <v>2.6700000000000002E-2</v>
      </c>
      <c r="C14" s="685">
        <v>2.1000000000000001E-2</v>
      </c>
    </row>
    <row r="15" spans="1:3">
      <c r="A15" s="683">
        <v>39813</v>
      </c>
      <c r="B15" s="684">
        <v>2.6200000000000001E-2</v>
      </c>
      <c r="C15" s="685">
        <v>0.02</v>
      </c>
    </row>
    <row r="16" spans="1:3">
      <c r="A16" s="683">
        <v>40178</v>
      </c>
      <c r="B16" s="684">
        <v>2.58E-2</v>
      </c>
      <c r="C16" s="685">
        <v>1.9199999999999998E-2</v>
      </c>
    </row>
    <row r="17" spans="1:3">
      <c r="A17" s="683">
        <v>40543</v>
      </c>
      <c r="B17" s="684">
        <v>2.5399999999999999E-2</v>
      </c>
      <c r="C17" s="685">
        <v>1.7999999999999999E-2</v>
      </c>
    </row>
    <row r="18" spans="1:3">
      <c r="A18" s="683">
        <v>40908</v>
      </c>
      <c r="B18" s="684">
        <v>2.52E-2</v>
      </c>
      <c r="C18" s="685">
        <v>1.6899999999999998E-2</v>
      </c>
    </row>
    <row r="19" spans="1:3">
      <c r="A19" s="683">
        <v>41274</v>
      </c>
      <c r="B19" s="684">
        <v>2.5000000000000001E-2</v>
      </c>
      <c r="C19" s="685">
        <v>1.6E-2</v>
      </c>
    </row>
    <row r="20" spans="1:3">
      <c r="A20" s="683">
        <v>41639</v>
      </c>
      <c r="B20" s="684">
        <v>2.53E-2</v>
      </c>
      <c r="C20" s="685">
        <v>1.55E-2</v>
      </c>
    </row>
    <row r="21" spans="1:3">
      <c r="A21" s="683">
        <v>42004</v>
      </c>
      <c r="B21" s="684">
        <v>2.5700000000000001E-2</v>
      </c>
      <c r="C21" s="685">
        <v>1.5699999999999999E-2</v>
      </c>
    </row>
    <row r="22" spans="1:3">
      <c r="A22" s="683">
        <v>42369</v>
      </c>
      <c r="B22" s="684">
        <v>2.6100000000000002E-2</v>
      </c>
      <c r="C22" s="685">
        <v>1.6199999999999999E-2</v>
      </c>
    </row>
    <row r="23" spans="1:3">
      <c r="A23" s="683">
        <v>42735</v>
      </c>
      <c r="B23" s="684">
        <v>2.6700000000000002E-2</v>
      </c>
      <c r="C23" s="685">
        <v>1.7000000000000001E-2</v>
      </c>
    </row>
    <row r="24" spans="1:3">
      <c r="A24" s="683">
        <v>43100</v>
      </c>
      <c r="B24" s="684">
        <v>2.7099999999999999E-2</v>
      </c>
      <c r="C24" s="685">
        <v>1.7600000000000001E-2</v>
      </c>
    </row>
    <row r="25" spans="1:3">
      <c r="A25" s="683">
        <v>43465</v>
      </c>
      <c r="B25" s="684">
        <v>2.7400000000000001E-2</v>
      </c>
      <c r="C25" s="685">
        <v>1.8499999999999999E-2</v>
      </c>
    </row>
    <row r="26" spans="1:3">
      <c r="A26" s="683">
        <v>43830</v>
      </c>
      <c r="B26" s="684">
        <v>2.8199999999999999E-2</v>
      </c>
      <c r="C26" s="685">
        <v>1.9400000000000001E-2</v>
      </c>
    </row>
    <row r="27" spans="1:3">
      <c r="A27" s="683">
        <v>44196</v>
      </c>
      <c r="B27" s="684">
        <v>2.9000000000000001E-2</v>
      </c>
      <c r="C27" s="685">
        <v>2.0299999999999999E-2</v>
      </c>
    </row>
    <row r="28" spans="1:3">
      <c r="A28" s="683">
        <v>44561</v>
      </c>
      <c r="B28" s="684">
        <v>3.0499999999999999E-2</v>
      </c>
      <c r="C28" s="685">
        <v>2.12E-2</v>
      </c>
    </row>
    <row r="29" spans="1:3">
      <c r="A29" s="683">
        <v>44926</v>
      </c>
      <c r="B29" s="684">
        <v>3.1099999999999999E-2</v>
      </c>
      <c r="C29" s="685">
        <v>2.3E-2</v>
      </c>
    </row>
    <row r="30" spans="1:3">
      <c r="A30" s="683">
        <v>45291</v>
      </c>
      <c r="B30" s="684">
        <v>3.1800000000000002E-2</v>
      </c>
      <c r="C30" s="685">
        <v>2.5000000000000001E-2</v>
      </c>
    </row>
  </sheetData>
  <mergeCells count="1">
    <mergeCell ref="A1:C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AD384"/>
  <sheetViews>
    <sheetView showGridLines="0" zoomScaleNormal="100" workbookViewId="0">
      <selection activeCell="A13" sqref="A13"/>
    </sheetView>
  </sheetViews>
  <sheetFormatPr defaultRowHeight="12.75"/>
  <cols>
    <col min="1" max="1" width="35.7109375" customWidth="1"/>
    <col min="2" max="2" width="9.5703125" customWidth="1"/>
    <col min="3" max="3" width="10.140625" customWidth="1"/>
    <col min="4" max="4" width="10.140625" bestFit="1" customWidth="1"/>
    <col min="5" max="20" width="9.28515625" bestFit="1" customWidth="1"/>
  </cols>
  <sheetData>
    <row r="2" spans="1:30" ht="18.75">
      <c r="A2" s="126" t="str">
        <f>IS!A2</f>
        <v xml:space="preserve">PROJECT NAME: PLANO </v>
      </c>
      <c r="B2" s="126"/>
    </row>
    <row r="4" spans="1:30" ht="18.75">
      <c r="A4" s="90" t="s">
        <v>1429</v>
      </c>
      <c r="B4" s="90"/>
      <c r="C4" s="90"/>
      <c r="D4" s="90"/>
    </row>
    <row r="6" spans="1:30" s="6" customFormat="1" ht="13.5" thickBot="1">
      <c r="A6" s="151" t="s">
        <v>1405</v>
      </c>
      <c r="B6" s="151" t="s">
        <v>1458</v>
      </c>
      <c r="C6" s="670">
        <f>Assum!B130</f>
        <v>36647</v>
      </c>
      <c r="D6" s="670">
        <f>IS!C8</f>
        <v>37256</v>
      </c>
      <c r="E6" s="670">
        <f>IS!D8</f>
        <v>37621</v>
      </c>
      <c r="F6" s="670">
        <f>IS!E8</f>
        <v>37986</v>
      </c>
      <c r="G6" s="670">
        <f>IS!F8</f>
        <v>38352</v>
      </c>
      <c r="H6" s="670">
        <f>IS!G8</f>
        <v>38717</v>
      </c>
      <c r="I6" s="670">
        <f>IS!H8</f>
        <v>39082</v>
      </c>
      <c r="J6" s="670">
        <f>IS!I8</f>
        <v>39447</v>
      </c>
      <c r="K6" s="670">
        <f>IS!J8</f>
        <v>39813</v>
      </c>
      <c r="L6" s="670">
        <f>IS!K8</f>
        <v>40178</v>
      </c>
      <c r="M6" s="670">
        <f>IS!L8</f>
        <v>40543</v>
      </c>
      <c r="N6" s="670">
        <f>IS!M8</f>
        <v>40908</v>
      </c>
      <c r="O6" s="670">
        <f>IS!N8</f>
        <v>41274</v>
      </c>
      <c r="P6" s="670">
        <f>IS!O8</f>
        <v>41639</v>
      </c>
      <c r="Q6" s="670">
        <f>IS!P8</f>
        <v>42004</v>
      </c>
      <c r="R6" s="670">
        <f>IS!Q8</f>
        <v>42369</v>
      </c>
      <c r="S6" s="670">
        <f>IS!R8</f>
        <v>42735</v>
      </c>
      <c r="T6" s="670">
        <f>IS!S8</f>
        <v>43100</v>
      </c>
      <c r="U6" s="670">
        <f>IS!T8</f>
        <v>43465</v>
      </c>
      <c r="V6" s="670">
        <f>IS!U8</f>
        <v>43830</v>
      </c>
      <c r="W6" s="670">
        <f>IS!V8</f>
        <v>44196</v>
      </c>
      <c r="X6" s="670">
        <f>IS!W8</f>
        <v>44561</v>
      </c>
      <c r="Y6" s="670">
        <f>IS!X8</f>
        <v>44926</v>
      </c>
      <c r="Z6" s="670">
        <f>IS!Y8</f>
        <v>45291</v>
      </c>
      <c r="AA6" s="670">
        <f>IS!Z8</f>
        <v>45657</v>
      </c>
      <c r="AB6" s="670">
        <f>IS!AA8</f>
        <v>46022</v>
      </c>
      <c r="AC6" s="670">
        <f>IS!AB8</f>
        <v>46387</v>
      </c>
    </row>
    <row r="7" spans="1:30" s="14" customFormat="1">
      <c r="A7" s="14" t="s">
        <v>1145</v>
      </c>
      <c r="B7" s="672">
        <f>XNPV(CF!$B$71,Sum!C7:T7,Sum!$C$6:$T$6)</f>
        <v>132802.70905467457</v>
      </c>
      <c r="C7" s="100">
        <v>0</v>
      </c>
      <c r="D7" s="100">
        <f>IS!C11</f>
        <v>9695</v>
      </c>
      <c r="E7" s="100">
        <f>IS!D11</f>
        <v>16620</v>
      </c>
      <c r="F7" s="100">
        <f>IS!E11</f>
        <v>16620</v>
      </c>
      <c r="G7" s="100">
        <f>IS!F11</f>
        <v>16620</v>
      </c>
      <c r="H7" s="100">
        <f>IS!G11</f>
        <v>16620</v>
      </c>
      <c r="I7" s="100">
        <f>IS!H11</f>
        <v>16620</v>
      </c>
      <c r="J7" s="100">
        <f>IS!I11</f>
        <v>16620</v>
      </c>
      <c r="K7" s="100">
        <f>IS!J11</f>
        <v>16620</v>
      </c>
      <c r="L7" s="100">
        <f>IS!K11</f>
        <v>16620</v>
      </c>
      <c r="M7" s="100">
        <f>IS!L11</f>
        <v>16620</v>
      </c>
      <c r="N7" s="100">
        <f>IS!M11</f>
        <v>16620</v>
      </c>
      <c r="O7" s="100">
        <f>IS!N11</f>
        <v>16620</v>
      </c>
      <c r="P7" s="100">
        <f>IS!O11</f>
        <v>16620</v>
      </c>
      <c r="Q7" s="100">
        <f>IS!P11</f>
        <v>16620</v>
      </c>
      <c r="R7" s="100">
        <f>IS!Q11</f>
        <v>16620</v>
      </c>
      <c r="S7" s="100">
        <f>IS!R11</f>
        <v>16620</v>
      </c>
      <c r="T7" s="100">
        <f>IS!S11</f>
        <v>16620</v>
      </c>
      <c r="U7" s="100">
        <f>IS!T11</f>
        <v>16620</v>
      </c>
      <c r="V7" s="100">
        <f>IS!U11</f>
        <v>16620</v>
      </c>
      <c r="W7" s="100">
        <f>IS!V11</f>
        <v>16620</v>
      </c>
      <c r="X7" s="100">
        <f>IS!W11</f>
        <v>16620</v>
      </c>
      <c r="Y7" s="100">
        <f>IS!X11</f>
        <v>16620</v>
      </c>
      <c r="Z7" s="100">
        <f>IS!Y11</f>
        <v>16620</v>
      </c>
      <c r="AA7" s="100">
        <f>IS!Z11</f>
        <v>16620</v>
      </c>
      <c r="AB7" s="100">
        <f>IS!AA11</f>
        <v>16620</v>
      </c>
      <c r="AC7" s="100">
        <f>IS!AB11</f>
        <v>16605.780287474296</v>
      </c>
    </row>
    <row r="8" spans="1:30" s="14" customFormat="1">
      <c r="A8" s="14" t="s">
        <v>1146</v>
      </c>
      <c r="B8" s="672">
        <f>XNPV(CF!$B$71,Sum!C8:T8,Sum!$C$6:$T$6)</f>
        <v>4709.0506288522402</v>
      </c>
      <c r="C8" s="100">
        <v>0</v>
      </c>
      <c r="D8" s="100">
        <f>IS!C12</f>
        <v>473.96915999999993</v>
      </c>
      <c r="E8" s="100">
        <f>IS!D12</f>
        <v>488.18823479999992</v>
      </c>
      <c r="F8" s="100">
        <f>IS!E12</f>
        <v>502.34569360919988</v>
      </c>
      <c r="G8" s="100">
        <f>IS!F12</f>
        <v>516.66254587706203</v>
      </c>
      <c r="H8" s="100">
        <f>IS!G12</f>
        <v>531.12909716161982</v>
      </c>
      <c r="I8" s="100">
        <f>IS!H12</f>
        <v>545.5758086044159</v>
      </c>
      <c r="J8" s="100">
        <f>IS!I12</f>
        <v>560.14268269415368</v>
      </c>
      <c r="K8" s="100">
        <f>IS!J12</f>
        <v>574.81842098074048</v>
      </c>
      <c r="L8" s="100">
        <f>IS!K12</f>
        <v>589.6487362420437</v>
      </c>
      <c r="M8" s="100">
        <f>IS!L12</f>
        <v>604.62581414259159</v>
      </c>
      <c r="N8" s="100">
        <f>IS!M12</f>
        <v>619.86238465898487</v>
      </c>
      <c r="O8" s="100">
        <f>IS!N12</f>
        <v>635.35894427545941</v>
      </c>
      <c r="P8" s="100">
        <f>IS!O12</f>
        <v>651.43352556562854</v>
      </c>
      <c r="Q8" s="100">
        <f>IS!P12</f>
        <v>668.17536717266523</v>
      </c>
      <c r="R8" s="100">
        <f>IS!Q12</f>
        <v>685.61474425587187</v>
      </c>
      <c r="S8" s="100">
        <f>IS!R12</f>
        <v>703.92065792750361</v>
      </c>
      <c r="T8" s="100">
        <f>IS!S12</f>
        <v>722.99690775733893</v>
      </c>
      <c r="U8" s="100">
        <f>IS!T12</f>
        <v>742.5901239575627</v>
      </c>
      <c r="V8" s="100">
        <f>IS!U12</f>
        <v>762.71431631681253</v>
      </c>
      <c r="W8" s="100">
        <f>IS!V12</f>
        <v>783.38387428899819</v>
      </c>
      <c r="X8" s="100">
        <f>IS!W12</f>
        <v>804.61357728223004</v>
      </c>
      <c r="Y8" s="100">
        <f>IS!X12</f>
        <v>826.41860522657839</v>
      </c>
      <c r="Z8" s="100">
        <f>IS!Y12</f>
        <v>848.81454942821858</v>
      </c>
      <c r="AA8" s="100">
        <f>IS!Z12</f>
        <v>871.81742371772327</v>
      </c>
      <c r="AB8" s="100">
        <f>IS!AA12</f>
        <v>895.44367590047341</v>
      </c>
      <c r="AC8" s="100">
        <f>IS!AB12</f>
        <v>536.49761638513621</v>
      </c>
    </row>
    <row r="9" spans="1:30" s="14" customFormat="1">
      <c r="A9" s="14" t="s">
        <v>1406</v>
      </c>
      <c r="B9" s="673">
        <f>XNPV(CF!$B$71,Sum!C9:T9,Sum!$C$6:$T$6)</f>
        <v>8047.6354397621899</v>
      </c>
      <c r="C9" s="123">
        <v>0</v>
      </c>
      <c r="D9" s="123">
        <f>IS!C14</f>
        <v>810</v>
      </c>
      <c r="E9" s="123">
        <f>IS!D14</f>
        <v>834.30000000000007</v>
      </c>
      <c r="F9" s="123">
        <f>IS!E14</f>
        <v>858.49469999999985</v>
      </c>
      <c r="G9" s="123">
        <f>IS!F14</f>
        <v>882.96179894999989</v>
      </c>
      <c r="H9" s="123">
        <f>IS!G14</f>
        <v>907.6847293205999</v>
      </c>
      <c r="I9" s="123">
        <f>IS!H14</f>
        <v>932.37375395812023</v>
      </c>
      <c r="J9" s="123">
        <f>IS!I14</f>
        <v>957.26813318880193</v>
      </c>
      <c r="K9" s="123">
        <f>IS!J14</f>
        <v>982.34855827834849</v>
      </c>
      <c r="L9" s="123">
        <f>IS!K14</f>
        <v>1007.69315108193</v>
      </c>
      <c r="M9" s="123">
        <f>IS!L14</f>
        <v>1033.2885571194111</v>
      </c>
      <c r="N9" s="123">
        <f>IS!M14</f>
        <v>1059.3274287588201</v>
      </c>
      <c r="O9" s="123">
        <f>IS!N14</f>
        <v>1085.8106144777905</v>
      </c>
      <c r="P9" s="123">
        <f>IS!O14</f>
        <v>1113.2816230240787</v>
      </c>
      <c r="Q9" s="123">
        <f>IS!P14</f>
        <v>1141.8929607357975</v>
      </c>
      <c r="R9" s="123">
        <f>IS!Q14</f>
        <v>1171.6963670110019</v>
      </c>
      <c r="S9" s="123">
        <f>IS!R14</f>
        <v>1202.9806600101956</v>
      </c>
      <c r="T9" s="123">
        <f>IS!S14</f>
        <v>1235.5814358964717</v>
      </c>
      <c r="U9" s="123">
        <f>IS!T14</f>
        <v>1269.065692809266</v>
      </c>
      <c r="V9" s="123">
        <f>IS!U14</f>
        <v>1303.457373084397</v>
      </c>
      <c r="W9" s="123">
        <f>IS!V14</f>
        <v>1338.7810678949841</v>
      </c>
      <c r="X9" s="123">
        <f>IS!W14</f>
        <v>1375.0620348349382</v>
      </c>
      <c r="Y9" s="123">
        <f>IS!X14</f>
        <v>1412.3262159789649</v>
      </c>
      <c r="Z9" s="123">
        <f>IS!Y14</f>
        <v>1450.6002564319947</v>
      </c>
      <c r="AA9" s="123">
        <f>IS!Z14</f>
        <v>1489.9115233813018</v>
      </c>
      <c r="AB9" s="123">
        <f>IS!AA14</f>
        <v>1530.2881256649348</v>
      </c>
      <c r="AC9" s="123">
        <f>IS!AB14</f>
        <v>1571.7589338704545</v>
      </c>
    </row>
    <row r="10" spans="1:30" s="622" customFormat="1">
      <c r="A10" s="622" t="s">
        <v>1407</v>
      </c>
      <c r="B10" s="672">
        <f>XNPV(CF!$B$71,Sum!C10:T10,Sum!$C$6:$T$6)</f>
        <v>145559.39512328897</v>
      </c>
      <c r="C10" s="623">
        <f>SUM(C7:C9)</f>
        <v>0</v>
      </c>
      <c r="D10" s="623">
        <f>SUM(D7:D9)</f>
        <v>10978.969160000001</v>
      </c>
      <c r="E10" s="623">
        <f t="shared" ref="E10:T10" si="0">SUM(E7:E9)</f>
        <v>17942.488234799999</v>
      </c>
      <c r="F10" s="623">
        <f t="shared" si="0"/>
        <v>17980.8403936092</v>
      </c>
      <c r="G10" s="623">
        <f t="shared" si="0"/>
        <v>18019.624344827062</v>
      </c>
      <c r="H10" s="623">
        <f t="shared" si="0"/>
        <v>18058.813826482219</v>
      </c>
      <c r="I10" s="623">
        <f t="shared" si="0"/>
        <v>18097.949562562535</v>
      </c>
      <c r="J10" s="623">
        <f t="shared" si="0"/>
        <v>18137.410815882955</v>
      </c>
      <c r="K10" s="623">
        <f t="shared" si="0"/>
        <v>18177.166979259087</v>
      </c>
      <c r="L10" s="623">
        <f t="shared" si="0"/>
        <v>18217.341887323975</v>
      </c>
      <c r="M10" s="623">
        <f t="shared" si="0"/>
        <v>18257.914371262006</v>
      </c>
      <c r="N10" s="623">
        <f t="shared" si="0"/>
        <v>18299.189813417805</v>
      </c>
      <c r="O10" s="623">
        <f t="shared" si="0"/>
        <v>18341.169558753252</v>
      </c>
      <c r="P10" s="623">
        <f t="shared" si="0"/>
        <v>18384.715148589708</v>
      </c>
      <c r="Q10" s="623">
        <f t="shared" si="0"/>
        <v>18430.068327908462</v>
      </c>
      <c r="R10" s="623">
        <f t="shared" si="0"/>
        <v>18477.311111266874</v>
      </c>
      <c r="S10" s="623">
        <f t="shared" si="0"/>
        <v>18526.9013179377</v>
      </c>
      <c r="T10" s="623">
        <f t="shared" si="0"/>
        <v>18578.578343653811</v>
      </c>
      <c r="U10" s="623">
        <f t="shared" ref="U10:AC10" si="1">SUM(U7:U9)</f>
        <v>18631.655816766826</v>
      </c>
      <c r="V10" s="623">
        <f t="shared" si="1"/>
        <v>18686.17168940121</v>
      </c>
      <c r="W10" s="623">
        <f t="shared" si="1"/>
        <v>18742.164942183979</v>
      </c>
      <c r="X10" s="623">
        <f t="shared" si="1"/>
        <v>18799.675612117167</v>
      </c>
      <c r="Y10" s="623">
        <f t="shared" si="1"/>
        <v>18858.744821205546</v>
      </c>
      <c r="Z10" s="623">
        <f t="shared" si="1"/>
        <v>18919.414805860211</v>
      </c>
      <c r="AA10" s="623">
        <f t="shared" si="1"/>
        <v>18981.728947099025</v>
      </c>
      <c r="AB10" s="623">
        <f t="shared" si="1"/>
        <v>19045.731801565409</v>
      </c>
      <c r="AC10" s="623">
        <f t="shared" si="1"/>
        <v>18714.036837729884</v>
      </c>
      <c r="AD10" s="623"/>
    </row>
    <row r="11" spans="1:30" s="14" customFormat="1">
      <c r="B11" s="5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</row>
    <row r="12" spans="1:30" s="14" customFormat="1">
      <c r="A12" s="14" t="s">
        <v>1007</v>
      </c>
      <c r="B12" s="672">
        <f>XNPV(CF!$B$71,Sum!C12:T12,Sum!$C$6:$T$6)</f>
        <v>1043.5249948571463</v>
      </c>
      <c r="C12" s="100">
        <v>0</v>
      </c>
      <c r="D12" s="100">
        <f>IS!C33</f>
        <v>105.03150299999999</v>
      </c>
      <c r="E12" s="100">
        <f>IS!D33</f>
        <v>108.18244808999999</v>
      </c>
      <c r="F12" s="100">
        <f>IS!E33</f>
        <v>111.31973908460998</v>
      </c>
      <c r="G12" s="100">
        <f>IS!F33</f>
        <v>114.49235164852135</v>
      </c>
      <c r="H12" s="100">
        <f>IS!G33</f>
        <v>117.69813749467995</v>
      </c>
      <c r="I12" s="100">
        <f>IS!H33</f>
        <v>120.89952683453525</v>
      </c>
      <c r="J12" s="100">
        <f>IS!I33</f>
        <v>124.12754420101733</v>
      </c>
      <c r="K12" s="100">
        <f>IS!J33</f>
        <v>127.37968585908398</v>
      </c>
      <c r="L12" s="100">
        <f>IS!K33</f>
        <v>130.66608175424835</v>
      </c>
      <c r="M12" s="100">
        <f>IS!L33</f>
        <v>133.98500023080626</v>
      </c>
      <c r="N12" s="100">
        <f>IS!M33</f>
        <v>137.36142223662259</v>
      </c>
      <c r="O12" s="100">
        <f>IS!N33</f>
        <v>140.79545779253812</v>
      </c>
      <c r="P12" s="100">
        <f>IS!O33</f>
        <v>144.35758287468934</v>
      </c>
      <c r="Q12" s="100">
        <f>IS!P33</f>
        <v>148.06757275456886</v>
      </c>
      <c r="R12" s="100">
        <f>IS!Q33</f>
        <v>151.93213640346312</v>
      </c>
      <c r="S12" s="100">
        <f>IS!R33</f>
        <v>155.98872444543559</v>
      </c>
      <c r="T12" s="100">
        <f>IS!S33</f>
        <v>160.21601887790686</v>
      </c>
      <c r="U12" s="100">
        <f>IS!T33</f>
        <v>164.55787298949812</v>
      </c>
      <c r="V12" s="100">
        <f>IS!U33</f>
        <v>169.01739134751352</v>
      </c>
      <c r="W12" s="100">
        <f>IS!V33</f>
        <v>173.59776265303114</v>
      </c>
      <c r="X12" s="100">
        <f>IS!W33</f>
        <v>178.30226202092825</v>
      </c>
      <c r="Y12" s="100">
        <f>IS!X33</f>
        <v>183.13425332169541</v>
      </c>
      <c r="Z12" s="100">
        <f>IS!Y33</f>
        <v>188.09719158671334</v>
      </c>
      <c r="AA12" s="100">
        <f>IS!Z33</f>
        <v>193.19462547871325</v>
      </c>
      <c r="AB12" s="100">
        <f>IS!AA33</f>
        <v>198.43019982918636</v>
      </c>
      <c r="AC12" s="100">
        <f>IS!AB33</f>
        <v>203.8076582445573</v>
      </c>
    </row>
    <row r="13" spans="1:30" s="14" customFormat="1">
      <c r="A13" s="14" t="s">
        <v>1408</v>
      </c>
      <c r="B13" s="672">
        <f>XNPV(CF!$B$71,Sum!C13:T13,Sum!$C$6:$T$6)</f>
        <v>4954.8186825202501</v>
      </c>
      <c r="C13" s="100">
        <v>0</v>
      </c>
      <c r="D13" s="100">
        <f>IS!C38</f>
        <v>498.70588235294122</v>
      </c>
      <c r="E13" s="100">
        <f>IS!D38</f>
        <v>513.66705882352949</v>
      </c>
      <c r="F13" s="100">
        <f>IS!E38</f>
        <v>528.56340352941174</v>
      </c>
      <c r="G13" s="100">
        <f>IS!F38</f>
        <v>543.62746053000001</v>
      </c>
      <c r="H13" s="100">
        <f>IS!G38</f>
        <v>558.84902942484007</v>
      </c>
      <c r="I13" s="100">
        <f>IS!H38</f>
        <v>574.0497230251957</v>
      </c>
      <c r="J13" s="100">
        <f>IS!I38</f>
        <v>589.37685062996832</v>
      </c>
      <c r="K13" s="100">
        <f>IS!J38</f>
        <v>604.81852411647344</v>
      </c>
      <c r="L13" s="100">
        <f>IS!K38</f>
        <v>620.4228420386786</v>
      </c>
      <c r="M13" s="100">
        <f>IS!L38</f>
        <v>636.18158222646105</v>
      </c>
      <c r="N13" s="100">
        <f>IS!M38</f>
        <v>652.21335809856782</v>
      </c>
      <c r="O13" s="100">
        <f>IS!N38</f>
        <v>668.51869205103185</v>
      </c>
      <c r="P13" s="100">
        <f>IS!O38</f>
        <v>685.43221495992304</v>
      </c>
      <c r="Q13" s="100">
        <f>IS!P38</f>
        <v>703.0478228843931</v>
      </c>
      <c r="R13" s="100">
        <f>IS!Q38</f>
        <v>721.3973710616757</v>
      </c>
      <c r="S13" s="100">
        <f>IS!R38</f>
        <v>740.65868086902253</v>
      </c>
      <c r="T13" s="100">
        <f>IS!S38</f>
        <v>760.730531120573</v>
      </c>
      <c r="U13" s="100">
        <f>IS!T38</f>
        <v>781.34632851394031</v>
      </c>
      <c r="V13" s="100">
        <f>IS!U38</f>
        <v>802.52081401666806</v>
      </c>
      <c r="W13" s="100">
        <f>IS!V38</f>
        <v>824.26912807651979</v>
      </c>
      <c r="X13" s="100">
        <f>IS!W38</f>
        <v>846.60682144739349</v>
      </c>
      <c r="Y13" s="100">
        <f>IS!X38</f>
        <v>869.54986630861777</v>
      </c>
      <c r="Z13" s="100">
        <f>IS!Y38</f>
        <v>893.11466768558125</v>
      </c>
      <c r="AA13" s="100">
        <f>IS!Z38</f>
        <v>917.31807517986033</v>
      </c>
      <c r="AB13" s="100">
        <f>IS!AA38</f>
        <v>942.1773950172344</v>
      </c>
      <c r="AC13" s="100">
        <f>IS!AB38</f>
        <v>967.71040242220147</v>
      </c>
    </row>
    <row r="14" spans="1:30" s="14" customFormat="1">
      <c r="A14" s="14" t="s">
        <v>1006</v>
      </c>
      <c r="B14" s="672">
        <f ca="1">XNPV(CF!$B$71,Sum!C14:T14,Sum!$C$6:$T$6)</f>
        <v>12277.323765407134</v>
      </c>
      <c r="C14" s="100">
        <v>0</v>
      </c>
      <c r="D14" s="100">
        <f ca="1">IS!C46</f>
        <v>748.22285463906917</v>
      </c>
      <c r="E14" s="100">
        <f ca="1">IS!D46</f>
        <v>1321.1477833341278</v>
      </c>
      <c r="F14" s="100">
        <f ca="1">IS!E46</f>
        <v>1359.4610690508173</v>
      </c>
      <c r="G14" s="100">
        <f ca="1">IS!F46</f>
        <v>1398.2057095187654</v>
      </c>
      <c r="H14" s="100">
        <f ca="1">IS!G46</f>
        <v>1437.3554693852911</v>
      </c>
      <c r="I14" s="100">
        <f ca="1">IS!H46</f>
        <v>1476.4515381525709</v>
      </c>
      <c r="J14" s="100">
        <f ca="1">IS!I46</f>
        <v>1515.8727942212442</v>
      </c>
      <c r="K14" s="100">
        <f ca="1">IS!J46</f>
        <v>1555.5886614298408</v>
      </c>
      <c r="L14" s="100">
        <f ca="1">IS!K46</f>
        <v>1595.7228488947308</v>
      </c>
      <c r="M14" s="100">
        <f ca="1">IS!L46</f>
        <v>1636.2542092566573</v>
      </c>
      <c r="N14" s="100">
        <f ca="1">IS!M46</f>
        <v>1677.4878153299246</v>
      </c>
      <c r="O14" s="100">
        <f ca="1">IS!N46</f>
        <v>1719.4250107131727</v>
      </c>
      <c r="P14" s="100">
        <f ca="1">IS!O46</f>
        <v>1762.9264634842161</v>
      </c>
      <c r="Q14" s="100">
        <f ca="1">IS!P46</f>
        <v>1808.2336735957604</v>
      </c>
      <c r="R14" s="100">
        <f ca="1">IS!Q46</f>
        <v>1855.42857247661</v>
      </c>
      <c r="S14" s="100">
        <f ca="1">IS!R46</f>
        <v>1904.9685153617356</v>
      </c>
      <c r="T14" s="100">
        <f ca="1">IS!S46</f>
        <v>1956.5931621280383</v>
      </c>
      <c r="U14" s="100">
        <f ca="1">IS!T46</f>
        <v>2009.6168368217079</v>
      </c>
      <c r="V14" s="100">
        <f ca="1">IS!U46</f>
        <v>2064.0774530995759</v>
      </c>
      <c r="W14" s="100">
        <f ca="1">IS!V46</f>
        <v>2120.0139520785742</v>
      </c>
      <c r="X14" s="100">
        <f ca="1">IS!W46</f>
        <v>2177.4663301799037</v>
      </c>
      <c r="Y14" s="100">
        <f ca="1">IS!X46</f>
        <v>2236.4756677277792</v>
      </c>
      <c r="Z14" s="100">
        <f ca="1">IS!Y46</f>
        <v>2297.0841583232018</v>
      </c>
      <c r="AA14" s="100">
        <f ca="1">IS!Z46</f>
        <v>2359.33513901376</v>
      </c>
      <c r="AB14" s="100">
        <f ca="1">IS!AA46</f>
        <v>2423.2731212810327</v>
      </c>
      <c r="AC14" s="100">
        <f ca="1">IS!AB46</f>
        <v>2488.9438228677486</v>
      </c>
    </row>
    <row r="15" spans="1:30" s="14" customFormat="1">
      <c r="A15" s="14" t="s">
        <v>1233</v>
      </c>
      <c r="B15" s="672">
        <f>XNPV(CF!$B$71,Sum!C15:T15,Sum!$C$6:$T$6)</f>
        <v>0</v>
      </c>
      <c r="C15" s="100">
        <v>0</v>
      </c>
      <c r="D15" s="100">
        <f>IS!C54</f>
        <v>0</v>
      </c>
      <c r="E15" s="100">
        <f>IS!D54</f>
        <v>0</v>
      </c>
      <c r="F15" s="100">
        <f>IS!E54</f>
        <v>0</v>
      </c>
      <c r="G15" s="100">
        <f>IS!F54</f>
        <v>0</v>
      </c>
      <c r="H15" s="100">
        <f>IS!G54</f>
        <v>0</v>
      </c>
      <c r="I15" s="100">
        <f>IS!H54</f>
        <v>0</v>
      </c>
      <c r="J15" s="100">
        <f>IS!I54</f>
        <v>0</v>
      </c>
      <c r="K15" s="100">
        <f>IS!J54</f>
        <v>0</v>
      </c>
      <c r="L15" s="100">
        <f>IS!K54</f>
        <v>0</v>
      </c>
      <c r="M15" s="100">
        <f>IS!L54</f>
        <v>0</v>
      </c>
      <c r="N15" s="100">
        <f>IS!M54</f>
        <v>0</v>
      </c>
      <c r="O15" s="100">
        <f>IS!N54</f>
        <v>0</v>
      </c>
      <c r="P15" s="100">
        <f>IS!O54</f>
        <v>0</v>
      </c>
      <c r="Q15" s="100">
        <f>IS!P54</f>
        <v>0</v>
      </c>
      <c r="R15" s="100">
        <f>IS!Q54</f>
        <v>0</v>
      </c>
      <c r="S15" s="100">
        <f>IS!R54</f>
        <v>0</v>
      </c>
      <c r="T15" s="100">
        <f>IS!S54</f>
        <v>0</v>
      </c>
      <c r="U15" s="100">
        <f>IS!T54</f>
        <v>0</v>
      </c>
      <c r="V15" s="100">
        <f>IS!U54</f>
        <v>0</v>
      </c>
      <c r="W15" s="100">
        <f>IS!V54</f>
        <v>0</v>
      </c>
      <c r="X15" s="100">
        <f>IS!W54</f>
        <v>0</v>
      </c>
      <c r="Y15" s="100">
        <f>IS!X54</f>
        <v>0</v>
      </c>
      <c r="Z15" s="100">
        <f>IS!Y54</f>
        <v>0</v>
      </c>
      <c r="AA15" s="100">
        <f>IS!Z54</f>
        <v>0</v>
      </c>
      <c r="AB15" s="100">
        <f>IS!AA54</f>
        <v>0</v>
      </c>
      <c r="AC15" s="100">
        <f>IS!AB54</f>
        <v>0</v>
      </c>
    </row>
    <row r="16" spans="1:30" s="14" customFormat="1">
      <c r="A16" s="14" t="s">
        <v>1409</v>
      </c>
      <c r="B16" s="673">
        <f ca="1">XNPV(CF!$B$71,Sum!C16:T16,Sum!$C$6:$T$6)</f>
        <v>5221.2653572585068</v>
      </c>
      <c r="C16" s="123">
        <v>0</v>
      </c>
      <c r="D16" s="123">
        <f ca="1">IS!C62</f>
        <v>581.40115536277699</v>
      </c>
      <c r="E16" s="123">
        <f ca="1">IS!D62</f>
        <v>524.20852014084221</v>
      </c>
      <c r="F16" s="123">
        <f ca="1">IS!E62</f>
        <v>536.23460216596686</v>
      </c>
      <c r="G16" s="123">
        <f ca="1">IS!F62</f>
        <v>549.71117701675507</v>
      </c>
      <c r="H16" s="123">
        <f ca="1">IS!G62</f>
        <v>564.64319935243304</v>
      </c>
      <c r="I16" s="123">
        <f ca="1">IS!H62</f>
        <v>581.04384819060135</v>
      </c>
      <c r="J16" s="123">
        <f ca="1">IS!I62</f>
        <v>598.76182439527145</v>
      </c>
      <c r="K16" s="123">
        <f ca="1">IS!J62</f>
        <v>617.66527012544555</v>
      </c>
      <c r="L16" s="123">
        <f ca="1">IS!K62</f>
        <v>637.82547561334252</v>
      </c>
      <c r="M16" s="123">
        <f ca="1">IS!L62</f>
        <v>659.29449732376895</v>
      </c>
      <c r="N16" s="123">
        <f ca="1">IS!M62</f>
        <v>685.21563711289377</v>
      </c>
      <c r="O16" s="123">
        <f ca="1">IS!N62</f>
        <v>712.58138583029358</v>
      </c>
      <c r="P16" s="123">
        <f ca="1">IS!O62</f>
        <v>741.47558831682852</v>
      </c>
      <c r="Q16" s="123">
        <f ca="1">IS!P62</f>
        <v>771.9634035353771</v>
      </c>
      <c r="R16" s="123">
        <f ca="1">IS!Q62</f>
        <v>801.07012745237694</v>
      </c>
      <c r="S16" s="123">
        <f ca="1">IS!R62</f>
        <v>833.58164491187586</v>
      </c>
      <c r="T16" s="123">
        <f ca="1">IS!S62</f>
        <v>869.5862710811956</v>
      </c>
      <c r="U16" s="123">
        <f ca="1">IS!T62</f>
        <v>907.53550330939527</v>
      </c>
      <c r="V16" s="123">
        <f ca="1">IS!U62</f>
        <v>947.52704400117864</v>
      </c>
      <c r="W16" s="123">
        <f ca="1">IS!V62</f>
        <v>989.6634934754436</v>
      </c>
      <c r="X16" s="123">
        <f ca="1">IS!W62</f>
        <v>1034.0525952077071</v>
      </c>
      <c r="Y16" s="123">
        <f ca="1">IS!X62</f>
        <v>1080.807493344048</v>
      </c>
      <c r="Z16" s="123">
        <f ca="1">IS!Y62</f>
        <v>1130.0470031003988</v>
      </c>
      <c r="AA16" s="123">
        <f ca="1">IS!Z62</f>
        <v>1181.8958946917135</v>
      </c>
      <c r="AB16" s="123">
        <f ca="1">IS!AA62</f>
        <v>1236.4851914677729</v>
      </c>
      <c r="AC16" s="123">
        <f ca="1">IS!AB62</f>
        <v>1293.9524829662416</v>
      </c>
    </row>
    <row r="17" spans="1:30" s="622" customFormat="1">
      <c r="A17" s="622" t="s">
        <v>1410</v>
      </c>
      <c r="B17" s="672">
        <f ca="1">XNPV(CF!$B$71,Sum!C17:T17,Sum!$C$6:$T$6)</f>
        <v>23496.932800043036</v>
      </c>
      <c r="C17" s="623">
        <f>SUM(C12:C16)</f>
        <v>0</v>
      </c>
      <c r="D17" s="623">
        <f ca="1">SUM(D12:D16)</f>
        <v>1933.3613953547874</v>
      </c>
      <c r="E17" s="623">
        <f t="shared" ref="E17:T17" ca="1" si="2">SUM(E12:E16)</f>
        <v>2467.2058103884992</v>
      </c>
      <c r="F17" s="623">
        <f t="shared" ca="1" si="2"/>
        <v>2535.5788138308058</v>
      </c>
      <c r="G17" s="623">
        <f t="shared" ca="1" si="2"/>
        <v>2606.0366987140414</v>
      </c>
      <c r="H17" s="623">
        <f t="shared" ca="1" si="2"/>
        <v>2678.545835657244</v>
      </c>
      <c r="I17" s="623">
        <f t="shared" ca="1" si="2"/>
        <v>2752.444636202903</v>
      </c>
      <c r="J17" s="623">
        <f t="shared" ca="1" si="2"/>
        <v>2828.1390134475014</v>
      </c>
      <c r="K17" s="623">
        <f t="shared" ca="1" si="2"/>
        <v>2905.4521415308441</v>
      </c>
      <c r="L17" s="623">
        <f t="shared" ca="1" si="2"/>
        <v>2984.637248301</v>
      </c>
      <c r="M17" s="623">
        <f t="shared" ca="1" si="2"/>
        <v>3065.7152890376938</v>
      </c>
      <c r="N17" s="623">
        <f t="shared" ca="1" si="2"/>
        <v>3152.2782327780087</v>
      </c>
      <c r="O17" s="623">
        <f t="shared" ca="1" si="2"/>
        <v>3241.3205463870363</v>
      </c>
      <c r="P17" s="623">
        <f t="shared" ca="1" si="2"/>
        <v>3334.191849635657</v>
      </c>
      <c r="Q17" s="623">
        <f t="shared" ca="1" si="2"/>
        <v>3431.3124727700992</v>
      </c>
      <c r="R17" s="623">
        <f t="shared" ca="1" si="2"/>
        <v>3529.8282073941255</v>
      </c>
      <c r="S17" s="623">
        <f t="shared" ca="1" si="2"/>
        <v>3635.1975655880697</v>
      </c>
      <c r="T17" s="623">
        <f t="shared" ca="1" si="2"/>
        <v>3747.1259832077139</v>
      </c>
      <c r="U17" s="623">
        <f t="shared" ref="U17:AC17" ca="1" si="3">SUM(U12:U16)</f>
        <v>3863.0565416345416</v>
      </c>
      <c r="V17" s="623">
        <f t="shared" ca="1" si="3"/>
        <v>3983.1427024649361</v>
      </c>
      <c r="W17" s="623">
        <f t="shared" ca="1" si="3"/>
        <v>4107.5443362835686</v>
      </c>
      <c r="X17" s="623">
        <f t="shared" ca="1" si="3"/>
        <v>4236.4280088559326</v>
      </c>
      <c r="Y17" s="623">
        <f t="shared" ca="1" si="3"/>
        <v>4369.9672807021398</v>
      </c>
      <c r="Z17" s="623">
        <f t="shared" ca="1" si="3"/>
        <v>4508.3430206958947</v>
      </c>
      <c r="AA17" s="623">
        <f t="shared" ca="1" si="3"/>
        <v>4651.7437343640468</v>
      </c>
      <c r="AB17" s="623">
        <f t="shared" ca="1" si="3"/>
        <v>4800.3659075952264</v>
      </c>
      <c r="AC17" s="623">
        <f t="shared" ca="1" si="3"/>
        <v>4954.4143665007487</v>
      </c>
      <c r="AD17" s="623"/>
    </row>
    <row r="18" spans="1:30">
      <c r="B18" s="8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</row>
    <row r="19" spans="1:30">
      <c r="B19" s="8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</row>
    <row r="20" spans="1:30" s="13" customFormat="1">
      <c r="A20" s="13" t="s">
        <v>1016</v>
      </c>
      <c r="B20" s="672">
        <f ca="1">XNPV(CF!$B$71,Sum!C20:T20,Sum!$C$6:$T$6)</f>
        <v>122062.46232324597</v>
      </c>
      <c r="C20" s="153">
        <v>0</v>
      </c>
      <c r="D20" s="153">
        <f ca="1">D10-D17</f>
        <v>9045.607764645214</v>
      </c>
      <c r="E20" s="153">
        <f t="shared" ref="E20:T20" ca="1" si="4">E10-E17</f>
        <v>15475.2824244115</v>
      </c>
      <c r="F20" s="153">
        <f t="shared" ca="1" si="4"/>
        <v>15445.261579778395</v>
      </c>
      <c r="G20" s="153">
        <f t="shared" ca="1" si="4"/>
        <v>15413.587646113021</v>
      </c>
      <c r="H20" s="153">
        <f t="shared" ca="1" si="4"/>
        <v>15380.267990824976</v>
      </c>
      <c r="I20" s="153">
        <f t="shared" ca="1" si="4"/>
        <v>15345.504926359632</v>
      </c>
      <c r="J20" s="153">
        <f t="shared" ca="1" si="4"/>
        <v>15309.271802435454</v>
      </c>
      <c r="K20" s="153">
        <f t="shared" ca="1" si="4"/>
        <v>15271.714837728243</v>
      </c>
      <c r="L20" s="153">
        <f t="shared" ca="1" si="4"/>
        <v>15232.704639022975</v>
      </c>
      <c r="M20" s="153">
        <f t="shared" ca="1" si="4"/>
        <v>15192.199082224313</v>
      </c>
      <c r="N20" s="153">
        <f t="shared" ca="1" si="4"/>
        <v>15146.911580639797</v>
      </c>
      <c r="O20" s="153">
        <f t="shared" ca="1" si="4"/>
        <v>15099.849012366216</v>
      </c>
      <c r="P20" s="153">
        <f t="shared" ca="1" si="4"/>
        <v>15050.523298954051</v>
      </c>
      <c r="Q20" s="153">
        <f t="shared" ca="1" si="4"/>
        <v>14998.755855138363</v>
      </c>
      <c r="R20" s="153">
        <f t="shared" ca="1" si="4"/>
        <v>14947.482903872748</v>
      </c>
      <c r="S20" s="153">
        <f t="shared" ca="1" si="4"/>
        <v>14891.703752349629</v>
      </c>
      <c r="T20" s="153">
        <f t="shared" ca="1" si="4"/>
        <v>14831.452360446097</v>
      </c>
      <c r="U20" s="153">
        <f t="shared" ref="U20:AC20" ca="1" si="5">U10-U17</f>
        <v>14768.599275132285</v>
      </c>
      <c r="V20" s="153">
        <f t="shared" ca="1" si="5"/>
        <v>14703.028986936273</v>
      </c>
      <c r="W20" s="153">
        <f t="shared" ca="1" si="5"/>
        <v>14634.620605900411</v>
      </c>
      <c r="X20" s="153">
        <f t="shared" ca="1" si="5"/>
        <v>14563.247603261236</v>
      </c>
      <c r="Y20" s="153">
        <f t="shared" ca="1" si="5"/>
        <v>14488.777540503406</v>
      </c>
      <c r="Z20" s="153">
        <f t="shared" ca="1" si="5"/>
        <v>14411.071785164317</v>
      </c>
      <c r="AA20" s="153">
        <f t="shared" ca="1" si="5"/>
        <v>14329.985212734979</v>
      </c>
      <c r="AB20" s="153">
        <f t="shared" ca="1" si="5"/>
        <v>14245.365893970182</v>
      </c>
      <c r="AC20" s="153">
        <f t="shared" ca="1" si="5"/>
        <v>13759.622471229135</v>
      </c>
    </row>
    <row r="21" spans="1:30" s="14" customFormat="1">
      <c r="A21" s="14" t="s">
        <v>1193</v>
      </c>
      <c r="B21" s="672">
        <f ca="1">XNPV(CF!$B$71,Sum!C21:T21,Sum!$C$6:$T$6)</f>
        <v>387.41949452081275</v>
      </c>
      <c r="C21" s="100">
        <v>0</v>
      </c>
      <c r="D21" s="100">
        <f>IS!C74</f>
        <v>0</v>
      </c>
      <c r="E21" s="100">
        <f ca="1">IS!D74</f>
        <v>0</v>
      </c>
      <c r="F21" s="100">
        <f ca="1">IS!E74</f>
        <v>0</v>
      </c>
      <c r="G21" s="100">
        <f ca="1">IS!F74</f>
        <v>0</v>
      </c>
      <c r="H21" s="100">
        <f ca="1">IS!G74</f>
        <v>0</v>
      </c>
      <c r="I21" s="100">
        <f ca="1">IS!H74</f>
        <v>0</v>
      </c>
      <c r="J21" s="100">
        <f ca="1">IS!I74</f>
        <v>0</v>
      </c>
      <c r="K21" s="100">
        <f ca="1">IS!J74</f>
        <v>0</v>
      </c>
      <c r="L21" s="100">
        <f ca="1">IS!K74</f>
        <v>0</v>
      </c>
      <c r="M21" s="100">
        <f ca="1">IS!L74</f>
        <v>0</v>
      </c>
      <c r="N21" s="100">
        <f ca="1">IS!M74</f>
        <v>61.318776540242432</v>
      </c>
      <c r="O21" s="100">
        <f ca="1">IS!N74</f>
        <v>183.9563296207273</v>
      </c>
      <c r="P21" s="100">
        <f ca="1">IS!O74</f>
        <v>306.59388270121218</v>
      </c>
      <c r="Q21" s="100">
        <f ca="1">IS!P74</f>
        <v>429.23143578169709</v>
      </c>
      <c r="R21" s="100">
        <f ca="1">IS!Q74</f>
        <v>245.27510616096973</v>
      </c>
      <c r="S21" s="100">
        <f ca="1">IS!R74</f>
        <v>0</v>
      </c>
      <c r="T21" s="100">
        <f ca="1">IS!S74</f>
        <v>0</v>
      </c>
      <c r="U21" s="100">
        <f ca="1">IS!T74</f>
        <v>0</v>
      </c>
      <c r="V21" s="100">
        <f ca="1">IS!U74</f>
        <v>0</v>
      </c>
      <c r="W21" s="100">
        <f ca="1">IS!V74</f>
        <v>0</v>
      </c>
      <c r="X21" s="100">
        <f ca="1">IS!W74</f>
        <v>0</v>
      </c>
      <c r="Y21" s="100">
        <f ca="1">IS!X74</f>
        <v>0</v>
      </c>
      <c r="Z21" s="100">
        <f ca="1">IS!Y74</f>
        <v>0</v>
      </c>
      <c r="AA21" s="100">
        <f ca="1">IS!Z74</f>
        <v>0</v>
      </c>
      <c r="AB21" s="100">
        <f ca="1">IS!AA74</f>
        <v>0</v>
      </c>
      <c r="AC21" s="100">
        <f ca="1">IS!AB74</f>
        <v>0</v>
      </c>
    </row>
    <row r="22" spans="1:30" s="14" customFormat="1">
      <c r="A22" s="14" t="s">
        <v>1456</v>
      </c>
      <c r="B22" s="672">
        <f ca="1">XNPV(CF!$B$71,Sum!C22:T22,Sum!$C$6:$T$6)</f>
        <v>0</v>
      </c>
      <c r="C22" s="100">
        <v>0</v>
      </c>
      <c r="D22" s="100">
        <f>-Debt!C88</f>
        <v>0</v>
      </c>
      <c r="E22" s="100">
        <f ca="1">-Debt!D88</f>
        <v>0</v>
      </c>
      <c r="F22" s="100">
        <f ca="1">-Debt!E88</f>
        <v>0</v>
      </c>
      <c r="G22" s="100">
        <f ca="1">-Debt!F88</f>
        <v>0</v>
      </c>
      <c r="H22" s="100">
        <f ca="1">-Debt!G88</f>
        <v>0</v>
      </c>
      <c r="I22" s="100">
        <f ca="1">-Debt!H88</f>
        <v>0</v>
      </c>
      <c r="J22" s="100">
        <f ca="1">-Debt!I88</f>
        <v>0</v>
      </c>
      <c r="K22" s="100">
        <f ca="1">-Debt!J88</f>
        <v>0</v>
      </c>
      <c r="L22" s="100">
        <f ca="1">-Debt!K88</f>
        <v>0</v>
      </c>
      <c r="M22" s="100">
        <f ca="1">-Debt!L88</f>
        <v>0</v>
      </c>
      <c r="N22" s="100">
        <f ca="1">-Debt!M88</f>
        <v>0</v>
      </c>
      <c r="O22" s="100">
        <f ca="1">-Debt!N88</f>
        <v>0</v>
      </c>
      <c r="P22" s="100">
        <f ca="1">-Debt!O88</f>
        <v>0</v>
      </c>
      <c r="Q22" s="100">
        <f ca="1">-Debt!P88</f>
        <v>0</v>
      </c>
      <c r="R22" s="100">
        <f ca="1">-Debt!Q88</f>
        <v>0</v>
      </c>
      <c r="S22" s="100">
        <f ca="1">-Debt!R88</f>
        <v>0</v>
      </c>
      <c r="T22" s="100">
        <f>-Debt!S88</f>
        <v>0</v>
      </c>
      <c r="U22" s="100">
        <f>-Debt!T88</f>
        <v>0</v>
      </c>
      <c r="V22" s="100">
        <f>-Debt!U88</f>
        <v>0</v>
      </c>
      <c r="W22" s="100">
        <f>-Debt!V88</f>
        <v>0</v>
      </c>
      <c r="X22" s="100">
        <f>-Debt!W88</f>
        <v>0</v>
      </c>
      <c r="Y22" s="100">
        <f>-Debt!X88</f>
        <v>0</v>
      </c>
      <c r="Z22" s="100">
        <f>-Debt!Y88</f>
        <v>0</v>
      </c>
      <c r="AA22" s="100">
        <f>-Debt!Z88</f>
        <v>0</v>
      </c>
      <c r="AB22" s="100">
        <f>-Debt!AA88</f>
        <v>0</v>
      </c>
      <c r="AC22" s="100">
        <f>-Debt!AB88</f>
        <v>0</v>
      </c>
    </row>
    <row r="23" spans="1:30" s="14" customFormat="1">
      <c r="A23" s="14" t="s">
        <v>1399</v>
      </c>
      <c r="B23" s="672">
        <f>XNPV(CF!$B$71,Sum!C23:T23,Sum!$C$6:$T$6)</f>
        <v>0</v>
      </c>
      <c r="C23" s="100">
        <v>0</v>
      </c>
      <c r="D23" s="100">
        <f>-CF!C94</f>
        <v>0</v>
      </c>
      <c r="E23" s="100">
        <f>-CF!D94</f>
        <v>0</v>
      </c>
      <c r="F23" s="100">
        <f>-CF!E94</f>
        <v>0</v>
      </c>
      <c r="G23" s="100">
        <f>-CF!F94</f>
        <v>0</v>
      </c>
      <c r="H23" s="100">
        <f>-CF!G94</f>
        <v>0</v>
      </c>
      <c r="I23" s="100">
        <f>-CF!H94</f>
        <v>0</v>
      </c>
      <c r="J23" s="100">
        <f>-CF!I94</f>
        <v>0</v>
      </c>
      <c r="K23" s="100">
        <f>-CF!J94</f>
        <v>0</v>
      </c>
      <c r="L23" s="100">
        <f>-CF!K94</f>
        <v>0</v>
      </c>
      <c r="M23" s="100">
        <f>-CF!L94</f>
        <v>0</v>
      </c>
      <c r="N23" s="100">
        <f>-CF!M94</f>
        <v>0</v>
      </c>
      <c r="O23" s="100">
        <f>-CF!N94</f>
        <v>0</v>
      </c>
      <c r="P23" s="100">
        <f>-CF!O94</f>
        <v>0</v>
      </c>
      <c r="Q23" s="100">
        <f>-CF!P94</f>
        <v>0</v>
      </c>
      <c r="R23" s="100">
        <f>-CF!Q94</f>
        <v>0</v>
      </c>
      <c r="S23" s="100">
        <f>-CF!R94</f>
        <v>0</v>
      </c>
      <c r="T23" s="100">
        <f>-CF!S94</f>
        <v>0</v>
      </c>
      <c r="U23" s="100">
        <f>-CF!T94</f>
        <v>0</v>
      </c>
      <c r="V23" s="100">
        <f>-CF!U94</f>
        <v>0</v>
      </c>
      <c r="W23" s="100">
        <f>-CF!V94</f>
        <v>0</v>
      </c>
      <c r="X23" s="100">
        <f>-CF!W94</f>
        <v>0</v>
      </c>
      <c r="Y23" s="100">
        <f>-CF!X94</f>
        <v>0</v>
      </c>
      <c r="Z23" s="100">
        <f>-CF!Y94</f>
        <v>0</v>
      </c>
      <c r="AA23" s="100">
        <f>-CF!Z94</f>
        <v>0</v>
      </c>
      <c r="AB23" s="100">
        <f>-CF!AA94</f>
        <v>0</v>
      </c>
      <c r="AC23" s="100">
        <f>-CF!AB94</f>
        <v>0</v>
      </c>
    </row>
    <row r="24" spans="1:30" s="14" customFormat="1">
      <c r="A24" s="14" t="s">
        <v>1370</v>
      </c>
      <c r="B24" s="672">
        <f>XNPV(CF!$B$71,Sum!C24:T24,Sum!$C$6:$T$6)</f>
        <v>0</v>
      </c>
      <c r="C24" s="100">
        <v>0</v>
      </c>
      <c r="D24" s="100">
        <f>-CF!C95</f>
        <v>0</v>
      </c>
      <c r="E24" s="100">
        <f>-CF!D95</f>
        <v>0</v>
      </c>
      <c r="F24" s="100">
        <f>-CF!E95</f>
        <v>0</v>
      </c>
      <c r="G24" s="100">
        <f>-CF!F95</f>
        <v>0</v>
      </c>
      <c r="H24" s="100">
        <f>-CF!G95</f>
        <v>0</v>
      </c>
      <c r="I24" s="100">
        <f>-CF!H95</f>
        <v>0</v>
      </c>
      <c r="J24" s="100">
        <f>-CF!I95</f>
        <v>0</v>
      </c>
      <c r="K24" s="100">
        <f>-CF!J95</f>
        <v>0</v>
      </c>
      <c r="L24" s="100">
        <f>-CF!K95</f>
        <v>0</v>
      </c>
      <c r="M24" s="100">
        <f>-CF!L95</f>
        <v>0</v>
      </c>
      <c r="N24" s="100">
        <f>-CF!M95</f>
        <v>0</v>
      </c>
      <c r="O24" s="100">
        <f>-CF!N95</f>
        <v>0</v>
      </c>
      <c r="P24" s="100">
        <f>-CF!O95</f>
        <v>0</v>
      </c>
      <c r="Q24" s="100">
        <f>-CF!P95</f>
        <v>0</v>
      </c>
      <c r="R24" s="100">
        <f>-CF!Q95</f>
        <v>0</v>
      </c>
      <c r="S24" s="100">
        <f>-CF!R95</f>
        <v>0</v>
      </c>
      <c r="T24" s="100">
        <f>-CF!S95</f>
        <v>0</v>
      </c>
      <c r="U24" s="100">
        <f>-CF!T95</f>
        <v>0</v>
      </c>
      <c r="V24" s="100">
        <f>-CF!U95</f>
        <v>0</v>
      </c>
      <c r="W24" s="100">
        <f>-CF!V95</f>
        <v>0</v>
      </c>
      <c r="X24" s="100">
        <f>-CF!W95</f>
        <v>0</v>
      </c>
      <c r="Y24" s="100">
        <f>-CF!X95</f>
        <v>0</v>
      </c>
      <c r="Z24" s="100">
        <f>-CF!Y95</f>
        <v>0</v>
      </c>
      <c r="AA24" s="100">
        <f>-CF!Z95</f>
        <v>0</v>
      </c>
      <c r="AB24" s="100">
        <f>-CF!AA95</f>
        <v>0</v>
      </c>
      <c r="AC24" s="100">
        <f>-CF!AB95</f>
        <v>0</v>
      </c>
    </row>
    <row r="25" spans="1:30" s="14" customFormat="1">
      <c r="A25" s="14" t="s">
        <v>1412</v>
      </c>
      <c r="B25" s="672">
        <f>XNPV(CF!$B$71,Sum!C25:T25,Sum!$C$6:$T$6)</f>
        <v>-3413.5138027836369</v>
      </c>
      <c r="C25" s="100">
        <v>0</v>
      </c>
      <c r="D25" s="100">
        <f>CF!C88</f>
        <v>0</v>
      </c>
      <c r="E25" s="100">
        <f>CF!D88</f>
        <v>0</v>
      </c>
      <c r="F25" s="100">
        <f>CF!E88</f>
        <v>0</v>
      </c>
      <c r="G25" s="100">
        <f>CF!F88</f>
        <v>0</v>
      </c>
      <c r="H25" s="100">
        <f>CF!G88</f>
        <v>0</v>
      </c>
      <c r="I25" s="100">
        <f>CF!H88</f>
        <v>0</v>
      </c>
      <c r="J25" s="100">
        <f>CF!I88</f>
        <v>0</v>
      </c>
      <c r="K25" s="100">
        <f>CF!J88</f>
        <v>0</v>
      </c>
      <c r="L25" s="100">
        <f>CF!K88</f>
        <v>0</v>
      </c>
      <c r="M25" s="100">
        <f>CF!L88</f>
        <v>0</v>
      </c>
      <c r="N25" s="100">
        <f>CF!M88</f>
        <v>0</v>
      </c>
      <c r="O25" s="100">
        <f>CF!N88</f>
        <v>0</v>
      </c>
      <c r="P25" s="100">
        <f>CF!O88</f>
        <v>0</v>
      </c>
      <c r="Q25" s="100">
        <f>CF!P88</f>
        <v>0</v>
      </c>
      <c r="R25" s="100">
        <f>CF!Q88</f>
        <v>-12263.755308048487</v>
      </c>
      <c r="S25" s="100">
        <f>CF!R88</f>
        <v>0</v>
      </c>
      <c r="T25" s="100">
        <f>CF!S88</f>
        <v>0</v>
      </c>
      <c r="U25" s="100">
        <f>CF!T88</f>
        <v>0</v>
      </c>
      <c r="V25" s="100">
        <f>CF!U88</f>
        <v>0</v>
      </c>
      <c r="W25" s="100">
        <f>CF!V88</f>
        <v>0</v>
      </c>
      <c r="X25" s="100">
        <f>CF!W88</f>
        <v>0</v>
      </c>
      <c r="Y25" s="100">
        <f>CF!X88</f>
        <v>0</v>
      </c>
      <c r="Z25" s="100">
        <f>CF!Y88</f>
        <v>0</v>
      </c>
      <c r="AA25" s="100">
        <f>CF!Z88</f>
        <v>0</v>
      </c>
      <c r="AB25" s="100">
        <f>CF!AA88</f>
        <v>0</v>
      </c>
      <c r="AC25" s="100">
        <f>CF!AB88</f>
        <v>0</v>
      </c>
    </row>
    <row r="26" spans="1:30" s="14" customFormat="1">
      <c r="A26" s="14" t="s">
        <v>1413</v>
      </c>
      <c r="B26" s="672">
        <f>XNPV(CF!$B$71,Sum!C26:T26,Sum!$C$6:$T$6)</f>
        <v>-4203.4713935781956</v>
      </c>
      <c r="C26" s="100">
        <v>0</v>
      </c>
      <c r="D26" s="100">
        <f>CF!C89</f>
        <v>0</v>
      </c>
      <c r="E26" s="100">
        <f>CF!D89</f>
        <v>0</v>
      </c>
      <c r="F26" s="100">
        <f>CF!E89</f>
        <v>0</v>
      </c>
      <c r="G26" s="100">
        <f>CF!F89</f>
        <v>0</v>
      </c>
      <c r="H26" s="100">
        <f>CF!G89</f>
        <v>0</v>
      </c>
      <c r="I26" s="100">
        <f>CF!H89</f>
        <v>0</v>
      </c>
      <c r="J26" s="100">
        <f>CF!I89</f>
        <v>0</v>
      </c>
      <c r="K26" s="100">
        <f>CF!J89</f>
        <v>0</v>
      </c>
      <c r="L26" s="100">
        <f>CF!K89</f>
        <v>0</v>
      </c>
      <c r="M26" s="100">
        <f>CF!L89</f>
        <v>0</v>
      </c>
      <c r="N26" s="100">
        <f>CF!M89</f>
        <v>-3065.9388270121217</v>
      </c>
      <c r="O26" s="100">
        <f>CF!N89</f>
        <v>-3065.9388270121217</v>
      </c>
      <c r="P26" s="100">
        <f>CF!O89</f>
        <v>-3065.9388270121217</v>
      </c>
      <c r="Q26" s="100">
        <f>CF!P89</f>
        <v>-3065.9388270121217</v>
      </c>
      <c r="R26" s="100">
        <f>CF!Q89</f>
        <v>0</v>
      </c>
      <c r="S26" s="100">
        <f>CF!R89</f>
        <v>0</v>
      </c>
      <c r="T26" s="100">
        <f>CF!S89</f>
        <v>0</v>
      </c>
      <c r="U26" s="100">
        <f>CF!T89</f>
        <v>0</v>
      </c>
      <c r="V26" s="100">
        <f>CF!U89</f>
        <v>0</v>
      </c>
      <c r="W26" s="100">
        <f>CF!V89</f>
        <v>0</v>
      </c>
      <c r="X26" s="100">
        <f>CF!W89</f>
        <v>0</v>
      </c>
      <c r="Y26" s="100">
        <f>CF!X89</f>
        <v>0</v>
      </c>
      <c r="Z26" s="100">
        <f>CF!Y89</f>
        <v>0</v>
      </c>
      <c r="AA26" s="100">
        <f>CF!Z89</f>
        <v>0</v>
      </c>
      <c r="AB26" s="100">
        <f>CF!AA89</f>
        <v>0</v>
      </c>
      <c r="AC26" s="100">
        <f>CF!AB89</f>
        <v>0</v>
      </c>
    </row>
    <row r="27" spans="1:30" s="14" customFormat="1">
      <c r="A27" s="14" t="s">
        <v>1400</v>
      </c>
      <c r="B27" s="672">
        <f>XNPV(CF!$B$71,Sum!C27:T27,Sum!$C$6:$T$6)</f>
        <v>4954.8186825202501</v>
      </c>
      <c r="C27" s="100">
        <v>0</v>
      </c>
      <c r="D27" s="100">
        <f>CF!C87</f>
        <v>498.70588235294122</v>
      </c>
      <c r="E27" s="100">
        <f>CF!D87</f>
        <v>513.66705882352949</v>
      </c>
      <c r="F27" s="100">
        <f>CF!E87</f>
        <v>528.56340352941174</v>
      </c>
      <c r="G27" s="100">
        <f>CF!F87</f>
        <v>543.62746053000001</v>
      </c>
      <c r="H27" s="100">
        <f>CF!G87</f>
        <v>558.84902942484007</v>
      </c>
      <c r="I27" s="100">
        <f>CF!H87</f>
        <v>574.0497230251957</v>
      </c>
      <c r="J27" s="100">
        <f>CF!I87</f>
        <v>589.37685062996832</v>
      </c>
      <c r="K27" s="100">
        <f>CF!J87</f>
        <v>604.81852411647344</v>
      </c>
      <c r="L27" s="100">
        <f>CF!K87</f>
        <v>620.4228420386786</v>
      </c>
      <c r="M27" s="100">
        <f>CF!L87</f>
        <v>636.18158222646105</v>
      </c>
      <c r="N27" s="100">
        <f>CF!M87</f>
        <v>652.21335809856782</v>
      </c>
      <c r="O27" s="100">
        <f>CF!N87</f>
        <v>668.51869205103185</v>
      </c>
      <c r="P27" s="100">
        <f>CF!O87</f>
        <v>685.43221495992304</v>
      </c>
      <c r="Q27" s="100">
        <f>CF!P87</f>
        <v>703.0478228843931</v>
      </c>
      <c r="R27" s="100">
        <f>CF!Q87</f>
        <v>721.3973710616757</v>
      </c>
      <c r="S27" s="100">
        <f>CF!R87</f>
        <v>740.65868086902253</v>
      </c>
      <c r="T27" s="100">
        <f>CF!S87</f>
        <v>760.730531120573</v>
      </c>
      <c r="U27" s="100">
        <f>CF!T87</f>
        <v>781.34632851394031</v>
      </c>
      <c r="V27" s="100">
        <f>CF!U87</f>
        <v>802.52081401666806</v>
      </c>
      <c r="W27" s="100">
        <f>CF!V87</f>
        <v>824.26912807651979</v>
      </c>
      <c r="X27" s="100">
        <f>CF!W87</f>
        <v>846.60682144739349</v>
      </c>
      <c r="Y27" s="100">
        <f>CF!X87</f>
        <v>869.54986630861777</v>
      </c>
      <c r="Z27" s="100">
        <f>CF!Y87</f>
        <v>893.11466768558125</v>
      </c>
      <c r="AA27" s="100">
        <f>CF!Z87</f>
        <v>917.31807517986033</v>
      </c>
      <c r="AB27" s="100">
        <f>CF!AA87</f>
        <v>942.1773950172344</v>
      </c>
      <c r="AC27" s="100">
        <f>CF!AB87</f>
        <v>967.71040242220147</v>
      </c>
    </row>
    <row r="28" spans="1:30" s="14" customFormat="1">
      <c r="A28" s="14" t="s">
        <v>1414</v>
      </c>
      <c r="B28" s="672">
        <f>XNPV(CF!$B$71,Sum!C28:T28,Sum!$C$6:$T$6)</f>
        <v>3413.5138027836369</v>
      </c>
      <c r="C28" s="100">
        <v>0</v>
      </c>
      <c r="D28" s="100">
        <f>CF!C90</f>
        <v>0</v>
      </c>
      <c r="E28" s="100">
        <f>CF!D90</f>
        <v>0</v>
      </c>
      <c r="F28" s="100">
        <f>CF!E90</f>
        <v>0</v>
      </c>
      <c r="G28" s="100">
        <f>CF!F90</f>
        <v>0</v>
      </c>
      <c r="H28" s="100">
        <f>CF!G90</f>
        <v>0</v>
      </c>
      <c r="I28" s="100">
        <f>CF!H90</f>
        <v>0</v>
      </c>
      <c r="J28" s="100">
        <f>CF!I90</f>
        <v>0</v>
      </c>
      <c r="K28" s="100">
        <f>CF!J90</f>
        <v>0</v>
      </c>
      <c r="L28" s="100">
        <f>CF!K90</f>
        <v>0</v>
      </c>
      <c r="M28" s="100">
        <f>CF!L90</f>
        <v>0</v>
      </c>
      <c r="N28" s="100">
        <f>CF!M90</f>
        <v>0</v>
      </c>
      <c r="O28" s="100">
        <f>CF!N90</f>
        <v>0</v>
      </c>
      <c r="P28" s="100">
        <f>CF!O90</f>
        <v>0</v>
      </c>
      <c r="Q28" s="100">
        <f>CF!P90</f>
        <v>0</v>
      </c>
      <c r="R28" s="100">
        <f>CF!Q90</f>
        <v>12263.755308048487</v>
      </c>
      <c r="S28" s="100">
        <f>CF!R90</f>
        <v>0</v>
      </c>
      <c r="T28" s="100">
        <f>CF!S90</f>
        <v>0</v>
      </c>
      <c r="U28" s="100">
        <f>CF!T90</f>
        <v>0</v>
      </c>
      <c r="V28" s="100">
        <f>CF!U90</f>
        <v>0</v>
      </c>
      <c r="W28" s="100">
        <f>CF!V90</f>
        <v>0</v>
      </c>
      <c r="X28" s="100">
        <f>CF!W90</f>
        <v>0</v>
      </c>
      <c r="Y28" s="100">
        <f>CF!X90</f>
        <v>0</v>
      </c>
      <c r="Z28" s="100">
        <f>CF!Y90</f>
        <v>0</v>
      </c>
      <c r="AA28" s="100">
        <f>CF!Z90</f>
        <v>0</v>
      </c>
      <c r="AB28" s="100">
        <f>CF!AA90</f>
        <v>0</v>
      </c>
      <c r="AC28" s="100">
        <f>CF!AB90</f>
        <v>0</v>
      </c>
    </row>
    <row r="29" spans="1:30" s="14" customFormat="1">
      <c r="A29" s="14" t="s">
        <v>1403</v>
      </c>
      <c r="B29" s="673">
        <f ca="1">XNPV(CF!$B$71,Sum!C29:T29,Sum!$C$6:$T$6)</f>
        <v>-18913.994239183241</v>
      </c>
      <c r="C29" s="123">
        <v>0</v>
      </c>
      <c r="D29" s="123">
        <f ca="1">-Taxes!B57</f>
        <v>-805.84886428056541</v>
      </c>
      <c r="E29" s="123">
        <f ca="1">-Taxes!C57</f>
        <v>-852.26278062094877</v>
      </c>
      <c r="F29" s="123">
        <f ca="1">-Taxes!D57</f>
        <v>-1368.9861620478353</v>
      </c>
      <c r="G29" s="123">
        <f ca="1">-Taxes!E57</f>
        <v>-1829.4083652941652</v>
      </c>
      <c r="H29" s="123">
        <f ca="1">-Taxes!F57</f>
        <v>-2244.6614022612534</v>
      </c>
      <c r="I29" s="123">
        <f ca="1">-Taxes!G57</f>
        <v>-2620.3900689623119</v>
      </c>
      <c r="J29" s="123">
        <f ca="1">-Taxes!H57</f>
        <v>-2789.6474519669346</v>
      </c>
      <c r="K29" s="123">
        <f ca="1">-Taxes!I57</f>
        <v>-2769.1851860436382</v>
      </c>
      <c r="L29" s="123">
        <f ca="1">-Taxes!J57</f>
        <v>-2759.2755552618178</v>
      </c>
      <c r="M29" s="123">
        <f ca="1">-Taxes!K57</f>
        <v>-2737.6436713148605</v>
      </c>
      <c r="N29" s="123">
        <f ca="1">-Taxes!L57</f>
        <v>-2749.5673418915167</v>
      </c>
      <c r="O29" s="123">
        <f ca="1">-Taxes!M57</f>
        <v>-2773.9811263847264</v>
      </c>
      <c r="P29" s="123">
        <f ca="1">-Taxes!N57</f>
        <v>-2808.626278567529</v>
      </c>
      <c r="Q29" s="123">
        <f ca="1">-Taxes!O57</f>
        <v>-2831.1737800811648</v>
      </c>
      <c r="R29" s="123">
        <f ca="1">-Taxes!P57</f>
        <v>-2743.4299259753789</v>
      </c>
      <c r="S29" s="123">
        <f ca="1">-Taxes!Q57</f>
        <v>-4265.5514305443894</v>
      </c>
      <c r="T29" s="123">
        <f ca="1">-Taxes!R57</f>
        <v>-5883.1922078835423</v>
      </c>
      <c r="U29" s="123">
        <f ca="1">-Taxes!S57</f>
        <v>-5858.2602745429749</v>
      </c>
      <c r="V29" s="123">
        <f ca="1">-Taxes!T57</f>
        <v>-5832.2505083360911</v>
      </c>
      <c r="W29" s="123">
        <f ca="1">-Taxes!U57</f>
        <v>-5805.1149558433835</v>
      </c>
      <c r="X29" s="123">
        <f ca="1">-Taxes!V57</f>
        <v>-5776.803426900251</v>
      </c>
      <c r="Y29" s="123">
        <f ca="1">-Taxes!W57</f>
        <v>-5747.2633871208091</v>
      </c>
      <c r="Z29" s="123">
        <f ca="1">-Taxes!X57</f>
        <v>-5716.4398451661136</v>
      </c>
      <c r="AA29" s="123">
        <f ca="1">-Taxes!Y57</f>
        <v>-5684.2752344971823</v>
      </c>
      <c r="AB29" s="123">
        <f ca="1">-Taxes!Z57</f>
        <v>-5650.7092893403178</v>
      </c>
      <c r="AC29" s="123">
        <f ca="1">-Taxes!AA57</f>
        <v>-5458.029445860142</v>
      </c>
    </row>
    <row r="30" spans="1:30" s="14" customFormat="1">
      <c r="A30" s="14" t="s">
        <v>1411</v>
      </c>
      <c r="B30" s="672">
        <f ca="1">XNPV(CF!$B$71,Sum!C30:T30,Sum!$C$6:$T$6)</f>
        <v>104287.23486752558</v>
      </c>
      <c r="C30" s="100">
        <f t="shared" ref="C30:T30" si="6">SUM(C20:C29)</f>
        <v>0</v>
      </c>
      <c r="D30" s="100">
        <f t="shared" ca="1" si="6"/>
        <v>8738.4647827175886</v>
      </c>
      <c r="E30" s="100">
        <f t="shared" ca="1" si="6"/>
        <v>15136.686702614081</v>
      </c>
      <c r="F30" s="100">
        <f t="shared" ca="1" si="6"/>
        <v>14604.838821259971</v>
      </c>
      <c r="G30" s="100">
        <f t="shared" ca="1" si="6"/>
        <v>14127.806741348857</v>
      </c>
      <c r="H30" s="100">
        <f t="shared" ca="1" si="6"/>
        <v>13694.455617988562</v>
      </c>
      <c r="I30" s="100">
        <f t="shared" ca="1" si="6"/>
        <v>13299.164580422515</v>
      </c>
      <c r="J30" s="100">
        <f t="shared" ca="1" si="6"/>
        <v>13109.001201098486</v>
      </c>
      <c r="K30" s="100">
        <f t="shared" ca="1" si="6"/>
        <v>13107.348175801078</v>
      </c>
      <c r="L30" s="100">
        <f t="shared" ca="1" si="6"/>
        <v>13093.851925799836</v>
      </c>
      <c r="M30" s="100">
        <f t="shared" ca="1" si="6"/>
        <v>13090.736993135914</v>
      </c>
      <c r="N30" s="100">
        <f t="shared" ca="1" si="6"/>
        <v>10044.937546374967</v>
      </c>
      <c r="O30" s="100">
        <f t="shared" ca="1" si="6"/>
        <v>10112.404080641127</v>
      </c>
      <c r="P30" s="100">
        <f t="shared" ca="1" si="6"/>
        <v>10167.984291035536</v>
      </c>
      <c r="Q30" s="100">
        <f t="shared" ca="1" si="6"/>
        <v>10233.922506711167</v>
      </c>
      <c r="R30" s="100">
        <f t="shared" ca="1" si="6"/>
        <v>13170.725455120015</v>
      </c>
      <c r="S30" s="100">
        <f t="shared" ca="1" si="6"/>
        <v>11366.811002674262</v>
      </c>
      <c r="T30" s="100">
        <f t="shared" ca="1" si="6"/>
        <v>9708.9906836831287</v>
      </c>
      <c r="U30" s="100">
        <f t="shared" ref="U30:AC30" ca="1" si="7">SUM(U20:U29)</f>
        <v>9691.6853291032494</v>
      </c>
      <c r="V30" s="100">
        <f t="shared" ca="1" si="7"/>
        <v>9673.2992926168517</v>
      </c>
      <c r="W30" s="100">
        <f t="shared" ca="1" si="7"/>
        <v>9653.7747781335456</v>
      </c>
      <c r="X30" s="100">
        <f t="shared" ca="1" si="7"/>
        <v>9633.0509978083774</v>
      </c>
      <c r="Y30" s="100">
        <f t="shared" ca="1" si="7"/>
        <v>9611.0640196912154</v>
      </c>
      <c r="Z30" s="100">
        <f t="shared" ca="1" si="7"/>
        <v>9587.7466076837845</v>
      </c>
      <c r="AA30" s="100">
        <f t="shared" ca="1" si="7"/>
        <v>9563.0280534176563</v>
      </c>
      <c r="AB30" s="100">
        <f t="shared" ca="1" si="7"/>
        <v>9536.8339996470968</v>
      </c>
      <c r="AC30" s="100">
        <f t="shared" ca="1" si="7"/>
        <v>9269.3034277911938</v>
      </c>
    </row>
    <row r="31" spans="1:30" s="14" customFormat="1"/>
    <row r="32" spans="1:30" s="14" customFormat="1">
      <c r="A32" s="14" t="s">
        <v>1404</v>
      </c>
      <c r="C32" s="20"/>
      <c r="D32" s="20">
        <f ca="1">D30-CF!C99</f>
        <v>-3.9653968997299671E-10</v>
      </c>
      <c r="E32" s="20">
        <f ca="1">E30-CF!D99</f>
        <v>-7.9489836934953928E-10</v>
      </c>
      <c r="F32" s="20">
        <f ca="1">F30-CF!E99</f>
        <v>-1.8862920114770532E-9</v>
      </c>
      <c r="G32" s="20">
        <f ca="1">G30-CF!F99</f>
        <v>-3.7362042348831892E-9</v>
      </c>
      <c r="H32" s="20">
        <f ca="1">H30-CF!G99</f>
        <v>-6.5119820646941662E-9</v>
      </c>
      <c r="I32" s="20">
        <f ca="1">I30-CF!H99</f>
        <v>-1.036460162140429E-8</v>
      </c>
      <c r="J32" s="20">
        <f ca="1">J30-CF!I99</f>
        <v>-1.543958205729723E-8</v>
      </c>
      <c r="K32" s="20">
        <f ca="1">K30-CF!J99</f>
        <v>-2.1882442524656653E-8</v>
      </c>
      <c r="L32" s="20">
        <f ca="1">L30-CF!K99</f>
        <v>-2.983870217576623E-8</v>
      </c>
      <c r="M32" s="20">
        <f ca="1">M30-CF!L99</f>
        <v>-3.9444785215891898E-8</v>
      </c>
      <c r="N32" s="20">
        <f ca="1">N30-CF!M99</f>
        <v>-5.0853486754931509E-8</v>
      </c>
      <c r="O32" s="20">
        <f ca="1">O30-CF!N99</f>
        <v>-6.4210325945168734E-8</v>
      </c>
      <c r="P32" s="20">
        <f ca="1">P30-CF!O99</f>
        <v>-7.9653545981273055E-8</v>
      </c>
      <c r="Q32" s="20">
        <f ca="1">Q30-CF!P99</f>
        <v>-9.7332303994335234E-8</v>
      </c>
      <c r="R32" s="20">
        <f ca="1">R30-CF!Q99</f>
        <v>-1.1739030014723539E-7</v>
      </c>
      <c r="S32" s="20">
        <f ca="1">S30-CF!R99</f>
        <v>-1.3989847502671182E-7</v>
      </c>
      <c r="T32" s="20">
        <f ca="1">T30-CF!S99</f>
        <v>-1.6484591469634324E-7</v>
      </c>
      <c r="U32" s="20">
        <f ca="1">U30-CF!T99</f>
        <v>-1.9223080016672611E-7</v>
      </c>
      <c r="V32" s="20">
        <f ca="1">V30-CF!U99</f>
        <v>-2.2204767446964979E-7</v>
      </c>
      <c r="W32" s="20">
        <f ca="1">W30-CF!V99</f>
        <v>-2.542892616475001E-7</v>
      </c>
      <c r="X32" s="20">
        <f ca="1">X30-CF!W99</f>
        <v>-2.8894828574266285E-7</v>
      </c>
      <c r="Y32" s="20">
        <f ca="1">Y30-CF!X99</f>
        <v>-3.2602292776573449E-7</v>
      </c>
      <c r="Z32" s="20">
        <f ca="1">Z30-CF!Y99</f>
        <v>-3.6550227378029376E-7</v>
      </c>
      <c r="AA32" s="20">
        <f ca="1">AA30-CF!Z99</f>
        <v>-4.0739178075455129E-7</v>
      </c>
      <c r="AB32" s="20">
        <f ca="1">AB30-CF!AA99</f>
        <v>-4.5167871576268226E-7</v>
      </c>
      <c r="AC32" s="20">
        <f ca="1">AC30-CF!AB99</f>
        <v>-4.9835216486826539E-7</v>
      </c>
    </row>
    <row r="33" spans="1:30"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</row>
    <row r="34" spans="1:30">
      <c r="C34" s="294"/>
      <c r="D34" s="294"/>
      <c r="E34" s="294"/>
      <c r="F34" s="62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</row>
    <row r="35" spans="1:30"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</row>
    <row r="36" spans="1:30" ht="13.5">
      <c r="A36" s="467" t="s">
        <v>1459</v>
      </c>
      <c r="B36" s="690" t="s">
        <v>1463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</row>
    <row r="37" spans="1:30">
      <c r="A37" s="14" t="s">
        <v>1145</v>
      </c>
      <c r="B37" s="20">
        <f>B7</f>
        <v>132802.70905467457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</row>
    <row r="38" spans="1:30">
      <c r="A38" s="14" t="s">
        <v>1146</v>
      </c>
      <c r="B38" s="20">
        <f>B8</f>
        <v>4709.0506288522402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</row>
    <row r="39" spans="1:30">
      <c r="A39" s="14" t="s">
        <v>1406</v>
      </c>
      <c r="B39" s="20">
        <f>B9</f>
        <v>8047.6354397621899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</row>
    <row r="40" spans="1:30">
      <c r="A40" s="14" t="s">
        <v>1007</v>
      </c>
      <c r="B40" s="20">
        <f>-B12</f>
        <v>-1043.5249948571463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</row>
    <row r="41" spans="1:30">
      <c r="A41" s="14" t="s">
        <v>1006</v>
      </c>
      <c r="B41" s="20">
        <f ca="1">-B14</f>
        <v>-12277.323765407134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4"/>
      <c r="AC41" s="294"/>
      <c r="AD41" s="294"/>
    </row>
    <row r="42" spans="1:30">
      <c r="A42" s="14" t="s">
        <v>1233</v>
      </c>
      <c r="B42" s="20">
        <f>-B15</f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</row>
    <row r="43" spans="1:30">
      <c r="A43" s="14" t="s">
        <v>1409</v>
      </c>
      <c r="B43" s="20">
        <f ca="1">-B16</f>
        <v>-5221.2653572585068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</row>
    <row r="44" spans="1:30">
      <c r="A44" s="14" t="s">
        <v>1193</v>
      </c>
      <c r="B44" s="20">
        <f t="shared" ref="B44:B49" ca="1" si="8">B21</f>
        <v>387.41949452081275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</row>
    <row r="45" spans="1:30">
      <c r="A45" s="14" t="s">
        <v>1456</v>
      </c>
      <c r="B45" s="20">
        <f t="shared" ca="1" si="8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</row>
    <row r="46" spans="1:30">
      <c r="A46" s="14" t="s">
        <v>1399</v>
      </c>
      <c r="B46" s="20">
        <f t="shared" si="8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</row>
    <row r="47" spans="1:30">
      <c r="A47" s="14" t="s">
        <v>1370</v>
      </c>
      <c r="B47" s="20">
        <f t="shared" si="8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</row>
    <row r="48" spans="1:30">
      <c r="A48" s="14" t="s">
        <v>1412</v>
      </c>
      <c r="B48" s="20">
        <f t="shared" si="8"/>
        <v>-3413.5138027836369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</row>
    <row r="49" spans="1:30">
      <c r="A49" s="14" t="s">
        <v>1413</v>
      </c>
      <c r="B49" s="20">
        <f t="shared" si="8"/>
        <v>-4203.4713935781956</v>
      </c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</row>
    <row r="50" spans="1:30">
      <c r="A50" s="14" t="s">
        <v>1414</v>
      </c>
      <c r="B50" s="20">
        <f>B28</f>
        <v>3413.5138027836369</v>
      </c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</row>
    <row r="51" spans="1:30">
      <c r="A51" s="14" t="s">
        <v>1403</v>
      </c>
      <c r="B51" s="20">
        <f ca="1">B29</f>
        <v>-18913.994239183241</v>
      </c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4"/>
    </row>
    <row r="52" spans="1:30">
      <c r="A52" s="14" t="s">
        <v>1460</v>
      </c>
      <c r="B52" s="20">
        <f ca="1">SUM(B37:B51)</f>
        <v>104287.23486752558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  <c r="AA52" s="294"/>
      <c r="AB52" s="294"/>
      <c r="AC52" s="294"/>
      <c r="AD52" s="294"/>
    </row>
    <row r="53" spans="1:30">
      <c r="A53" s="14" t="s">
        <v>1461</v>
      </c>
      <c r="B53" s="671">
        <f ca="1">-Assum!C10</f>
        <v>-140281.46155350332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  <c r="AA53" s="294"/>
      <c r="AB53" s="294"/>
      <c r="AC53" s="294"/>
      <c r="AD53" s="294"/>
    </row>
    <row r="54" spans="1:30">
      <c r="A54" s="674" t="s">
        <v>1465</v>
      </c>
      <c r="B54" s="675">
        <f ca="1">B52+B53</f>
        <v>-35994.226685977745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  <c r="AA54" s="294"/>
      <c r="AB54" s="294"/>
      <c r="AC54" s="294"/>
      <c r="AD54" s="294"/>
    </row>
    <row r="55" spans="1:30">
      <c r="A55" s="14" t="s">
        <v>1462</v>
      </c>
      <c r="B55" s="671">
        <f>XNPV(CF!B71,CF!B63:R63,Sum!C6:S6)</f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  <c r="AA55" s="294"/>
      <c r="AB55" s="294"/>
      <c r="AC55" s="294"/>
      <c r="AD55" s="294"/>
    </row>
    <row r="56" spans="1:30">
      <c r="A56" s="674" t="s">
        <v>1464</v>
      </c>
      <c r="B56" s="675">
        <f ca="1">SUM(B54:B55)</f>
        <v>-35994.226685977745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  <c r="AA56" s="294"/>
      <c r="AB56" s="294"/>
      <c r="AC56" s="294"/>
      <c r="AD56" s="294"/>
    </row>
    <row r="57" spans="1:30">
      <c r="A57" s="14"/>
      <c r="B57" s="20"/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  <c r="AA57" s="294"/>
      <c r="AB57" s="294"/>
      <c r="AC57" s="294"/>
      <c r="AD57" s="294"/>
    </row>
    <row r="58" spans="1:30">
      <c r="A58" s="14"/>
      <c r="B58" s="20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  <c r="AA58" s="294"/>
      <c r="AB58" s="294"/>
      <c r="AC58" s="294"/>
      <c r="AD58" s="294"/>
    </row>
    <row r="59" spans="1:30">
      <c r="A59" s="14" t="s">
        <v>1404</v>
      </c>
      <c r="B59" s="20">
        <f ca="1">B54-CF!B72</f>
        <v>2.5622721295803785E-6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  <c r="AA59" s="294"/>
      <c r="AB59" s="294"/>
      <c r="AC59" s="294"/>
      <c r="AD59" s="294"/>
    </row>
    <row r="60" spans="1:30">
      <c r="A60" s="14" t="s">
        <v>1404</v>
      </c>
      <c r="B60" s="20">
        <f ca="1">B56-CF!B73</f>
        <v>2.5622721295803785E-6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  <c r="AA60" s="294"/>
      <c r="AB60" s="294"/>
      <c r="AC60" s="294"/>
      <c r="AD60" s="294"/>
    </row>
    <row r="61" spans="1:30"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  <c r="AA61" s="294"/>
      <c r="AB61" s="294"/>
      <c r="AC61" s="294"/>
      <c r="AD61" s="294"/>
    </row>
    <row r="62" spans="1:30"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  <c r="AA62" s="294"/>
      <c r="AB62" s="294"/>
      <c r="AC62" s="294"/>
      <c r="AD62" s="294"/>
    </row>
    <row r="63" spans="1:30"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  <c r="AA63" s="294"/>
      <c r="AB63" s="294"/>
      <c r="AC63" s="294"/>
      <c r="AD63" s="294"/>
    </row>
    <row r="64" spans="1:30"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  <c r="AA64" s="294"/>
      <c r="AB64" s="294"/>
      <c r="AC64" s="294"/>
      <c r="AD64" s="294"/>
    </row>
    <row r="65" spans="3:30"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  <c r="AA65" s="294"/>
      <c r="AB65" s="294"/>
      <c r="AC65" s="294"/>
      <c r="AD65" s="294"/>
    </row>
    <row r="66" spans="3:30"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  <c r="AA66" s="294"/>
      <c r="AB66" s="294"/>
      <c r="AC66" s="294"/>
      <c r="AD66" s="294"/>
    </row>
    <row r="67" spans="3:30"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  <c r="AA67" s="294"/>
      <c r="AB67" s="294"/>
      <c r="AC67" s="294"/>
      <c r="AD67" s="294"/>
    </row>
    <row r="68" spans="3:30"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  <c r="AA68" s="294"/>
      <c r="AB68" s="294"/>
      <c r="AC68" s="294"/>
      <c r="AD68" s="294"/>
    </row>
    <row r="69" spans="3:30"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  <c r="AA69" s="294"/>
      <c r="AB69" s="294"/>
      <c r="AC69" s="294"/>
      <c r="AD69" s="294"/>
    </row>
    <row r="70" spans="3:30"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  <c r="AA70" s="294"/>
      <c r="AB70" s="294"/>
      <c r="AC70" s="294"/>
      <c r="AD70" s="294"/>
    </row>
    <row r="71" spans="3:30"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  <c r="AA71" s="294"/>
      <c r="AB71" s="294"/>
      <c r="AC71" s="294"/>
      <c r="AD71" s="294"/>
    </row>
    <row r="72" spans="3:30"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  <c r="AA72" s="294"/>
      <c r="AB72" s="294"/>
      <c r="AC72" s="294"/>
      <c r="AD72" s="294"/>
    </row>
    <row r="73" spans="3:30"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  <c r="AA73" s="294"/>
      <c r="AB73" s="294"/>
      <c r="AC73" s="294"/>
      <c r="AD73" s="294"/>
    </row>
    <row r="74" spans="3:30"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  <c r="Z74" s="294"/>
      <c r="AA74" s="294"/>
      <c r="AB74" s="294"/>
      <c r="AC74" s="294"/>
      <c r="AD74" s="294"/>
    </row>
    <row r="75" spans="3:30"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4"/>
      <c r="AA75" s="294"/>
      <c r="AB75" s="294"/>
      <c r="AC75" s="294"/>
      <c r="AD75" s="294"/>
    </row>
    <row r="76" spans="3:30"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  <c r="Z76" s="294"/>
      <c r="AA76" s="294"/>
      <c r="AB76" s="294"/>
      <c r="AC76" s="294"/>
      <c r="AD76" s="294"/>
    </row>
    <row r="77" spans="3:30"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  <c r="Z77" s="294"/>
      <c r="AA77" s="294"/>
      <c r="AB77" s="294"/>
      <c r="AC77" s="294"/>
      <c r="AD77" s="294"/>
    </row>
    <row r="78" spans="3:30"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  <c r="Z78" s="294"/>
      <c r="AA78" s="294"/>
      <c r="AB78" s="294"/>
      <c r="AC78" s="294"/>
      <c r="AD78" s="294"/>
    </row>
    <row r="79" spans="3:30"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  <c r="Z79" s="294"/>
      <c r="AA79" s="294"/>
      <c r="AB79" s="294"/>
      <c r="AC79" s="294"/>
      <c r="AD79" s="294"/>
    </row>
    <row r="80" spans="3:30"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  <c r="Z80" s="294"/>
      <c r="AA80" s="294"/>
      <c r="AB80" s="294"/>
      <c r="AC80" s="294"/>
      <c r="AD80" s="294"/>
    </row>
    <row r="81" spans="3:30"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4"/>
      <c r="U81" s="294"/>
      <c r="V81" s="294"/>
      <c r="W81" s="294"/>
      <c r="X81" s="294"/>
      <c r="Y81" s="294"/>
      <c r="Z81" s="294"/>
      <c r="AA81" s="294"/>
      <c r="AB81" s="294"/>
      <c r="AC81" s="294"/>
      <c r="AD81" s="294"/>
    </row>
    <row r="82" spans="3:30">
      <c r="C82" s="294"/>
      <c r="D82" s="294"/>
      <c r="E82" s="294"/>
      <c r="F82" s="294"/>
      <c r="G82" s="294"/>
      <c r="H82" s="294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4"/>
      <c r="U82" s="294"/>
      <c r="V82" s="294"/>
      <c r="W82" s="294"/>
      <c r="X82" s="294"/>
      <c r="Y82" s="294"/>
      <c r="Z82" s="294"/>
      <c r="AA82" s="294"/>
      <c r="AB82" s="294"/>
      <c r="AC82" s="294"/>
      <c r="AD82" s="294"/>
    </row>
    <row r="83" spans="3:30">
      <c r="C83" s="294"/>
      <c r="D83" s="294"/>
      <c r="E83" s="294"/>
      <c r="F83" s="294"/>
      <c r="G83" s="294"/>
      <c r="H83" s="294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4"/>
      <c r="U83" s="294"/>
      <c r="V83" s="294"/>
      <c r="W83" s="294"/>
      <c r="X83" s="294"/>
      <c r="Y83" s="294"/>
      <c r="Z83" s="294"/>
      <c r="AA83" s="294"/>
      <c r="AB83" s="294"/>
      <c r="AC83" s="294"/>
      <c r="AD83" s="294"/>
    </row>
    <row r="84" spans="3:30"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  <c r="Z84" s="294"/>
      <c r="AA84" s="294"/>
      <c r="AB84" s="294"/>
      <c r="AC84" s="294"/>
      <c r="AD84" s="294"/>
    </row>
    <row r="85" spans="3:30"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  <c r="Z85" s="294"/>
      <c r="AA85" s="294"/>
      <c r="AB85" s="294"/>
      <c r="AC85" s="294"/>
      <c r="AD85" s="294"/>
    </row>
    <row r="86" spans="3:30"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  <c r="Z86" s="294"/>
      <c r="AA86" s="294"/>
      <c r="AB86" s="294"/>
      <c r="AC86" s="294"/>
      <c r="AD86" s="294"/>
    </row>
    <row r="87" spans="3:30"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  <c r="Z87" s="294"/>
      <c r="AA87" s="294"/>
      <c r="AB87" s="294"/>
      <c r="AC87" s="294"/>
      <c r="AD87" s="294"/>
    </row>
    <row r="88" spans="3:30"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  <c r="Z88" s="294"/>
      <c r="AA88" s="294"/>
      <c r="AB88" s="294"/>
      <c r="AC88" s="294"/>
      <c r="AD88" s="294"/>
    </row>
    <row r="89" spans="3:30"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  <c r="Z89" s="294"/>
      <c r="AA89" s="294"/>
      <c r="AB89" s="294"/>
      <c r="AC89" s="294"/>
      <c r="AD89" s="294"/>
    </row>
    <row r="90" spans="3:30"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  <c r="Z90" s="294"/>
      <c r="AA90" s="294"/>
      <c r="AB90" s="294"/>
      <c r="AC90" s="294"/>
      <c r="AD90" s="294"/>
    </row>
    <row r="91" spans="3:30"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  <c r="Z91" s="294"/>
      <c r="AA91" s="294"/>
      <c r="AB91" s="294"/>
      <c r="AC91" s="294"/>
      <c r="AD91" s="294"/>
    </row>
    <row r="92" spans="3:30"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  <c r="Z92" s="294"/>
      <c r="AA92" s="294"/>
      <c r="AB92" s="294"/>
      <c r="AC92" s="294"/>
      <c r="AD92" s="294"/>
    </row>
    <row r="93" spans="3:30"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  <c r="Z93" s="294"/>
      <c r="AA93" s="294"/>
      <c r="AB93" s="294"/>
      <c r="AC93" s="294"/>
      <c r="AD93" s="294"/>
    </row>
    <row r="94" spans="3:30"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294"/>
      <c r="N94" s="294"/>
      <c r="O94" s="294"/>
      <c r="P94" s="294"/>
      <c r="Q94" s="294"/>
      <c r="R94" s="294"/>
      <c r="S94" s="294"/>
      <c r="T94" s="294"/>
      <c r="U94" s="294"/>
      <c r="V94" s="294"/>
      <c r="W94" s="294"/>
      <c r="X94" s="294"/>
      <c r="Y94" s="294"/>
      <c r="Z94" s="294"/>
      <c r="AA94" s="294"/>
      <c r="AB94" s="294"/>
      <c r="AC94" s="294"/>
      <c r="AD94" s="294"/>
    </row>
    <row r="95" spans="3:30"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294"/>
      <c r="N95" s="294"/>
      <c r="O95" s="294"/>
      <c r="P95" s="294"/>
      <c r="Q95" s="294"/>
      <c r="R95" s="294"/>
      <c r="S95" s="294"/>
      <c r="T95" s="294"/>
      <c r="U95" s="294"/>
      <c r="V95" s="294"/>
      <c r="W95" s="294"/>
      <c r="X95" s="294"/>
      <c r="Y95" s="294"/>
      <c r="Z95" s="294"/>
      <c r="AA95" s="294"/>
      <c r="AB95" s="294"/>
      <c r="AC95" s="294"/>
      <c r="AD95" s="294"/>
    </row>
    <row r="96" spans="3:30"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294"/>
      <c r="N96" s="294"/>
      <c r="O96" s="294"/>
      <c r="P96" s="294"/>
      <c r="Q96" s="294"/>
      <c r="R96" s="294"/>
      <c r="S96" s="294"/>
      <c r="T96" s="294"/>
      <c r="U96" s="294"/>
      <c r="V96" s="294"/>
      <c r="W96" s="294"/>
      <c r="X96" s="294"/>
      <c r="Y96" s="294"/>
      <c r="Z96" s="294"/>
      <c r="AA96" s="294"/>
      <c r="AB96" s="294"/>
      <c r="AC96" s="294"/>
      <c r="AD96" s="294"/>
    </row>
    <row r="97" spans="3:30"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  <c r="Z97" s="294"/>
      <c r="AA97" s="294"/>
      <c r="AB97" s="294"/>
      <c r="AC97" s="294"/>
      <c r="AD97" s="294"/>
    </row>
    <row r="98" spans="3:30"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  <c r="Z98" s="294"/>
      <c r="AA98" s="294"/>
      <c r="AB98" s="294"/>
      <c r="AC98" s="294"/>
      <c r="AD98" s="294"/>
    </row>
    <row r="99" spans="3:30"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  <c r="Z99" s="294"/>
      <c r="AA99" s="294"/>
      <c r="AB99" s="294"/>
      <c r="AC99" s="294"/>
      <c r="AD99" s="294"/>
    </row>
    <row r="100" spans="3:30"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  <c r="Z100" s="294"/>
      <c r="AA100" s="294"/>
      <c r="AB100" s="294"/>
      <c r="AC100" s="294"/>
      <c r="AD100" s="294"/>
    </row>
    <row r="101" spans="3:30"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  <c r="Z101" s="294"/>
      <c r="AA101" s="294"/>
      <c r="AB101" s="294"/>
      <c r="AC101" s="294"/>
      <c r="AD101" s="294"/>
    </row>
    <row r="102" spans="3:30"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  <c r="Z102" s="294"/>
      <c r="AA102" s="294"/>
      <c r="AB102" s="294"/>
      <c r="AC102" s="294"/>
      <c r="AD102" s="294"/>
    </row>
    <row r="103" spans="3:30"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  <c r="Z103" s="294"/>
      <c r="AA103" s="294"/>
      <c r="AB103" s="294"/>
      <c r="AC103" s="294"/>
      <c r="AD103" s="294"/>
    </row>
    <row r="104" spans="3:30"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  <c r="Z104" s="294"/>
      <c r="AA104" s="294"/>
      <c r="AB104" s="294"/>
      <c r="AC104" s="294"/>
      <c r="AD104" s="294"/>
    </row>
    <row r="105" spans="3:30"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  <c r="Z105" s="294"/>
      <c r="AA105" s="294"/>
      <c r="AB105" s="294"/>
      <c r="AC105" s="294"/>
      <c r="AD105" s="294"/>
    </row>
    <row r="106" spans="3:30"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  <c r="Z106" s="294"/>
      <c r="AA106" s="294"/>
      <c r="AB106" s="294"/>
      <c r="AC106" s="294"/>
      <c r="AD106" s="294"/>
    </row>
    <row r="107" spans="3:30">
      <c r="C107" s="294"/>
      <c r="D107" s="294"/>
      <c r="E107" s="294"/>
      <c r="F107" s="294"/>
      <c r="G107" s="294"/>
      <c r="H107" s="294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4"/>
      <c r="U107" s="294"/>
      <c r="V107" s="294"/>
      <c r="W107" s="294"/>
      <c r="X107" s="294"/>
      <c r="Y107" s="294"/>
      <c r="Z107" s="294"/>
      <c r="AA107" s="294"/>
      <c r="AB107" s="294"/>
      <c r="AC107" s="294"/>
      <c r="AD107" s="294"/>
    </row>
    <row r="108" spans="3:30">
      <c r="C108" s="294"/>
      <c r="D108" s="294"/>
      <c r="E108" s="294"/>
      <c r="F108" s="294"/>
      <c r="G108" s="294"/>
      <c r="H108" s="294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4"/>
      <c r="U108" s="294"/>
      <c r="V108" s="294"/>
      <c r="W108" s="294"/>
      <c r="X108" s="294"/>
      <c r="Y108" s="294"/>
      <c r="Z108" s="294"/>
      <c r="AA108" s="294"/>
      <c r="AB108" s="294"/>
      <c r="AC108" s="294"/>
      <c r="AD108" s="294"/>
    </row>
    <row r="109" spans="3:30">
      <c r="C109" s="294"/>
      <c r="D109" s="294"/>
      <c r="E109" s="294"/>
      <c r="F109" s="294"/>
      <c r="G109" s="294"/>
      <c r="H109" s="294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4"/>
      <c r="U109" s="294"/>
      <c r="V109" s="294"/>
      <c r="W109" s="294"/>
      <c r="X109" s="294"/>
      <c r="Y109" s="294"/>
      <c r="Z109" s="294"/>
      <c r="AA109" s="294"/>
      <c r="AB109" s="294"/>
      <c r="AC109" s="294"/>
      <c r="AD109" s="294"/>
    </row>
    <row r="110" spans="3:30"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  <c r="Z110" s="294"/>
      <c r="AA110" s="294"/>
      <c r="AB110" s="294"/>
      <c r="AC110" s="294"/>
      <c r="AD110" s="294"/>
    </row>
    <row r="111" spans="3:30"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  <c r="Z111" s="294"/>
      <c r="AA111" s="294"/>
      <c r="AB111" s="294"/>
      <c r="AC111" s="294"/>
      <c r="AD111" s="294"/>
    </row>
    <row r="112" spans="3:30"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  <c r="Z112" s="294"/>
      <c r="AA112" s="294"/>
      <c r="AB112" s="294"/>
      <c r="AC112" s="294"/>
      <c r="AD112" s="294"/>
    </row>
    <row r="113" spans="3:30"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  <c r="Z113" s="294"/>
      <c r="AA113" s="294"/>
      <c r="AB113" s="294"/>
      <c r="AC113" s="294"/>
      <c r="AD113" s="294"/>
    </row>
    <row r="114" spans="3:30"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  <c r="Z114" s="294"/>
      <c r="AA114" s="294"/>
      <c r="AB114" s="294"/>
      <c r="AC114" s="294"/>
      <c r="AD114" s="294"/>
    </row>
    <row r="115" spans="3:30"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  <c r="Z115" s="294"/>
      <c r="AA115" s="294"/>
      <c r="AB115" s="294"/>
      <c r="AC115" s="294"/>
      <c r="AD115" s="294"/>
    </row>
    <row r="116" spans="3:30"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  <c r="Z116" s="294"/>
      <c r="AA116" s="294"/>
      <c r="AB116" s="294"/>
      <c r="AC116" s="294"/>
      <c r="AD116" s="294"/>
    </row>
    <row r="117" spans="3:30"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  <c r="Z117" s="294"/>
      <c r="AA117" s="294"/>
      <c r="AB117" s="294"/>
      <c r="AC117" s="294"/>
      <c r="AD117" s="294"/>
    </row>
    <row r="118" spans="3:30"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  <c r="Z118" s="294"/>
      <c r="AA118" s="294"/>
      <c r="AB118" s="294"/>
      <c r="AC118" s="294"/>
      <c r="AD118" s="294"/>
    </row>
    <row r="119" spans="3:30"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4"/>
      <c r="AB119" s="294"/>
      <c r="AC119" s="294"/>
      <c r="AD119" s="294"/>
    </row>
    <row r="120" spans="3:30">
      <c r="C120" s="294"/>
      <c r="D120" s="294"/>
      <c r="E120" s="294"/>
      <c r="F120" s="294"/>
      <c r="G120" s="294"/>
      <c r="H120" s="294"/>
      <c r="I120" s="294"/>
      <c r="J120" s="294"/>
      <c r="K120" s="294"/>
      <c r="L120" s="294"/>
      <c r="M120" s="294"/>
      <c r="N120" s="294"/>
      <c r="O120" s="294"/>
      <c r="P120" s="294"/>
      <c r="Q120" s="294"/>
      <c r="R120" s="294"/>
      <c r="S120" s="294"/>
      <c r="T120" s="294"/>
      <c r="U120" s="294"/>
      <c r="V120" s="294"/>
      <c r="W120" s="294"/>
      <c r="X120" s="294"/>
      <c r="Y120" s="294"/>
      <c r="Z120" s="294"/>
      <c r="AA120" s="294"/>
      <c r="AB120" s="294"/>
      <c r="AC120" s="294"/>
      <c r="AD120" s="294"/>
    </row>
    <row r="121" spans="3:30">
      <c r="C121" s="294"/>
      <c r="D121" s="294"/>
      <c r="E121" s="294"/>
      <c r="F121" s="294"/>
      <c r="G121" s="294"/>
      <c r="H121" s="294"/>
      <c r="I121" s="294"/>
      <c r="J121" s="294"/>
      <c r="K121" s="294"/>
      <c r="L121" s="294"/>
      <c r="M121" s="294"/>
      <c r="N121" s="294"/>
      <c r="O121" s="294"/>
      <c r="P121" s="294"/>
      <c r="Q121" s="294"/>
      <c r="R121" s="294"/>
      <c r="S121" s="294"/>
      <c r="T121" s="294"/>
      <c r="U121" s="294"/>
      <c r="V121" s="294"/>
      <c r="W121" s="294"/>
      <c r="X121" s="294"/>
      <c r="Y121" s="294"/>
      <c r="Z121" s="294"/>
      <c r="AA121" s="294"/>
      <c r="AB121" s="294"/>
      <c r="AC121" s="294"/>
      <c r="AD121" s="294"/>
    </row>
    <row r="122" spans="3:30">
      <c r="C122" s="294"/>
      <c r="D122" s="294"/>
      <c r="E122" s="294"/>
      <c r="F122" s="294"/>
      <c r="G122" s="294"/>
      <c r="H122" s="294"/>
      <c r="I122" s="294"/>
      <c r="J122" s="294"/>
      <c r="K122" s="294"/>
      <c r="L122" s="294"/>
      <c r="M122" s="294"/>
      <c r="N122" s="294"/>
      <c r="O122" s="294"/>
      <c r="P122" s="294"/>
      <c r="Q122" s="294"/>
      <c r="R122" s="294"/>
      <c r="S122" s="294"/>
      <c r="T122" s="294"/>
      <c r="U122" s="294"/>
      <c r="V122" s="294"/>
      <c r="W122" s="294"/>
      <c r="X122" s="294"/>
      <c r="Y122" s="294"/>
      <c r="Z122" s="294"/>
      <c r="AA122" s="294"/>
      <c r="AB122" s="294"/>
      <c r="AC122" s="294"/>
      <c r="AD122" s="294"/>
    </row>
    <row r="123" spans="3:30"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  <c r="Z123" s="294"/>
      <c r="AA123" s="294"/>
      <c r="AB123" s="294"/>
      <c r="AC123" s="294"/>
      <c r="AD123" s="294"/>
    </row>
    <row r="124" spans="3:30"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  <c r="Z124" s="294"/>
      <c r="AA124" s="294"/>
      <c r="AB124" s="294"/>
      <c r="AC124" s="294"/>
      <c r="AD124" s="294"/>
    </row>
    <row r="125" spans="3:30"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  <c r="Z125" s="294"/>
      <c r="AA125" s="294"/>
      <c r="AB125" s="294"/>
      <c r="AC125" s="294"/>
      <c r="AD125" s="294"/>
    </row>
    <row r="126" spans="3:30"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  <c r="Z126" s="294"/>
      <c r="AA126" s="294"/>
      <c r="AB126" s="294"/>
      <c r="AC126" s="294"/>
      <c r="AD126" s="294"/>
    </row>
    <row r="127" spans="3:30"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  <c r="Z127" s="294"/>
      <c r="AA127" s="294"/>
      <c r="AB127" s="294"/>
      <c r="AC127" s="294"/>
      <c r="AD127" s="294"/>
    </row>
    <row r="128" spans="3:30"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  <c r="Z128" s="294"/>
      <c r="AA128" s="294"/>
      <c r="AB128" s="294"/>
      <c r="AC128" s="294"/>
      <c r="AD128" s="294"/>
    </row>
    <row r="129" spans="3:30"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  <c r="Z129" s="294"/>
      <c r="AA129" s="294"/>
      <c r="AB129" s="294"/>
      <c r="AC129" s="294"/>
      <c r="AD129" s="294"/>
    </row>
    <row r="130" spans="3:30"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  <c r="Z130" s="294"/>
      <c r="AA130" s="294"/>
      <c r="AB130" s="294"/>
      <c r="AC130" s="294"/>
      <c r="AD130" s="294"/>
    </row>
    <row r="131" spans="3:30"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  <c r="Z131" s="294"/>
      <c r="AA131" s="294"/>
      <c r="AB131" s="294"/>
      <c r="AC131" s="294"/>
      <c r="AD131" s="294"/>
    </row>
    <row r="132" spans="3:30"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  <c r="Z132" s="294"/>
      <c r="AA132" s="294"/>
      <c r="AB132" s="294"/>
      <c r="AC132" s="294"/>
      <c r="AD132" s="294"/>
    </row>
    <row r="133" spans="3:30">
      <c r="C133" s="294"/>
      <c r="D133" s="294"/>
      <c r="E133" s="294"/>
      <c r="F133" s="294"/>
      <c r="G133" s="294"/>
      <c r="H133" s="294"/>
      <c r="I133" s="294"/>
      <c r="J133" s="294"/>
      <c r="K133" s="294"/>
      <c r="L133" s="294"/>
      <c r="M133" s="294"/>
      <c r="N133" s="294"/>
      <c r="O133" s="294"/>
      <c r="P133" s="294"/>
      <c r="Q133" s="294"/>
      <c r="R133" s="294"/>
      <c r="S133" s="294"/>
      <c r="T133" s="294"/>
      <c r="U133" s="294"/>
      <c r="V133" s="294"/>
      <c r="W133" s="294"/>
      <c r="X133" s="294"/>
      <c r="Y133" s="294"/>
      <c r="Z133" s="294"/>
      <c r="AA133" s="294"/>
      <c r="AB133" s="294"/>
      <c r="AC133" s="294"/>
      <c r="AD133" s="294"/>
    </row>
    <row r="134" spans="3:30">
      <c r="C134" s="294"/>
      <c r="D134" s="294"/>
      <c r="E134" s="294"/>
      <c r="F134" s="294"/>
      <c r="G134" s="294"/>
      <c r="H134" s="294"/>
      <c r="I134" s="294"/>
      <c r="J134" s="294"/>
      <c r="K134" s="294"/>
      <c r="L134" s="294"/>
      <c r="M134" s="294"/>
      <c r="N134" s="294"/>
      <c r="O134" s="294"/>
      <c r="P134" s="294"/>
      <c r="Q134" s="294"/>
      <c r="R134" s="294"/>
      <c r="S134" s="294"/>
      <c r="T134" s="294"/>
      <c r="U134" s="294"/>
      <c r="V134" s="294"/>
      <c r="W134" s="294"/>
      <c r="X134" s="294"/>
      <c r="Y134" s="294"/>
      <c r="Z134" s="294"/>
      <c r="AA134" s="294"/>
      <c r="AB134" s="294"/>
      <c r="AC134" s="294"/>
      <c r="AD134" s="294"/>
    </row>
    <row r="135" spans="3:30">
      <c r="C135" s="294"/>
      <c r="D135" s="294"/>
      <c r="E135" s="294"/>
      <c r="F135" s="294"/>
      <c r="G135" s="294"/>
      <c r="H135" s="294"/>
      <c r="I135" s="294"/>
      <c r="J135" s="294"/>
      <c r="K135" s="294"/>
      <c r="L135" s="294"/>
      <c r="M135" s="294"/>
      <c r="N135" s="294"/>
      <c r="O135" s="294"/>
      <c r="P135" s="294"/>
      <c r="Q135" s="294"/>
      <c r="R135" s="294"/>
      <c r="S135" s="294"/>
      <c r="T135" s="294"/>
      <c r="U135" s="294"/>
      <c r="V135" s="294"/>
      <c r="W135" s="294"/>
      <c r="X135" s="294"/>
      <c r="Y135" s="294"/>
      <c r="Z135" s="294"/>
      <c r="AA135" s="294"/>
      <c r="AB135" s="294"/>
      <c r="AC135" s="294"/>
      <c r="AD135" s="294"/>
    </row>
    <row r="136" spans="3:30">
      <c r="C136" s="294"/>
      <c r="D136" s="294"/>
      <c r="E136" s="294"/>
      <c r="F136" s="294"/>
      <c r="G136" s="294"/>
      <c r="H136" s="294"/>
      <c r="I136" s="294"/>
      <c r="J136" s="294"/>
      <c r="K136" s="294"/>
      <c r="L136" s="294"/>
      <c r="M136" s="294"/>
      <c r="N136" s="294"/>
      <c r="O136" s="294"/>
      <c r="P136" s="294"/>
      <c r="Q136" s="294"/>
      <c r="R136" s="294"/>
      <c r="S136" s="294"/>
      <c r="T136" s="294"/>
      <c r="U136" s="294"/>
      <c r="V136" s="294"/>
      <c r="W136" s="294"/>
      <c r="X136" s="294"/>
      <c r="Y136" s="294"/>
      <c r="Z136" s="294"/>
      <c r="AA136" s="294"/>
      <c r="AB136" s="294"/>
      <c r="AC136" s="294"/>
      <c r="AD136" s="294"/>
    </row>
    <row r="137" spans="3:30">
      <c r="C137" s="294"/>
      <c r="D137" s="294"/>
      <c r="E137" s="294"/>
      <c r="F137" s="294"/>
      <c r="G137" s="294"/>
      <c r="H137" s="294"/>
      <c r="I137" s="294"/>
      <c r="J137" s="294"/>
      <c r="K137" s="294"/>
      <c r="L137" s="294"/>
      <c r="M137" s="294"/>
      <c r="N137" s="294"/>
      <c r="O137" s="294"/>
      <c r="P137" s="294"/>
      <c r="Q137" s="294"/>
      <c r="R137" s="294"/>
      <c r="S137" s="294"/>
      <c r="T137" s="294"/>
      <c r="U137" s="294"/>
      <c r="V137" s="294"/>
      <c r="W137" s="294"/>
      <c r="X137" s="294"/>
      <c r="Y137" s="294"/>
      <c r="Z137" s="294"/>
      <c r="AA137" s="294"/>
      <c r="AB137" s="294"/>
      <c r="AC137" s="294"/>
      <c r="AD137" s="294"/>
    </row>
    <row r="138" spans="3:30">
      <c r="C138" s="294"/>
      <c r="D138" s="294"/>
      <c r="E138" s="294"/>
      <c r="F138" s="294"/>
      <c r="G138" s="294"/>
      <c r="H138" s="294"/>
      <c r="I138" s="294"/>
      <c r="J138" s="294"/>
      <c r="K138" s="294"/>
      <c r="L138" s="294"/>
      <c r="M138" s="294"/>
      <c r="N138" s="294"/>
      <c r="O138" s="294"/>
      <c r="P138" s="294"/>
      <c r="Q138" s="294"/>
      <c r="R138" s="294"/>
      <c r="S138" s="294"/>
      <c r="T138" s="294"/>
      <c r="U138" s="294"/>
      <c r="V138" s="294"/>
      <c r="W138" s="294"/>
      <c r="X138" s="294"/>
      <c r="Y138" s="294"/>
      <c r="Z138" s="294"/>
      <c r="AA138" s="294"/>
      <c r="AB138" s="294"/>
      <c r="AC138" s="294"/>
      <c r="AD138" s="294"/>
    </row>
    <row r="139" spans="3:30">
      <c r="C139" s="294"/>
      <c r="D139" s="294"/>
      <c r="E139" s="294"/>
      <c r="F139" s="294"/>
      <c r="G139" s="294"/>
      <c r="H139" s="294"/>
      <c r="I139" s="294"/>
      <c r="J139" s="294"/>
      <c r="K139" s="294"/>
      <c r="L139" s="294"/>
      <c r="M139" s="294"/>
      <c r="N139" s="294"/>
      <c r="O139" s="294"/>
      <c r="P139" s="294"/>
      <c r="Q139" s="294"/>
      <c r="R139" s="294"/>
      <c r="S139" s="294"/>
      <c r="T139" s="294"/>
      <c r="U139" s="294"/>
      <c r="V139" s="294"/>
      <c r="W139" s="294"/>
      <c r="X139" s="294"/>
      <c r="Y139" s="294"/>
      <c r="Z139" s="294"/>
      <c r="AA139" s="294"/>
      <c r="AB139" s="294"/>
      <c r="AC139" s="294"/>
      <c r="AD139" s="294"/>
    </row>
    <row r="140" spans="3:30">
      <c r="C140" s="294"/>
      <c r="D140" s="294"/>
      <c r="E140" s="294"/>
      <c r="F140" s="294"/>
      <c r="G140" s="294"/>
      <c r="H140" s="294"/>
      <c r="I140" s="294"/>
      <c r="J140" s="294"/>
      <c r="K140" s="294"/>
      <c r="L140" s="294"/>
      <c r="M140" s="294"/>
      <c r="N140" s="294"/>
      <c r="O140" s="294"/>
      <c r="P140" s="294"/>
      <c r="Q140" s="294"/>
      <c r="R140" s="294"/>
      <c r="S140" s="294"/>
      <c r="T140" s="294"/>
      <c r="U140" s="294"/>
      <c r="V140" s="294"/>
      <c r="W140" s="294"/>
      <c r="X140" s="294"/>
      <c r="Y140" s="294"/>
      <c r="Z140" s="294"/>
      <c r="AA140" s="294"/>
      <c r="AB140" s="294"/>
      <c r="AC140" s="294"/>
      <c r="AD140" s="294"/>
    </row>
    <row r="141" spans="3:30">
      <c r="C141" s="294"/>
      <c r="D141" s="294"/>
      <c r="E141" s="294"/>
      <c r="F141" s="294"/>
      <c r="G141" s="294"/>
      <c r="H141" s="294"/>
      <c r="I141" s="294"/>
      <c r="J141" s="294"/>
      <c r="K141" s="294"/>
      <c r="L141" s="294"/>
      <c r="M141" s="294"/>
      <c r="N141" s="294"/>
      <c r="O141" s="294"/>
      <c r="P141" s="294"/>
      <c r="Q141" s="294"/>
      <c r="R141" s="294"/>
      <c r="S141" s="294"/>
      <c r="T141" s="294"/>
      <c r="U141" s="294"/>
      <c r="V141" s="294"/>
      <c r="W141" s="294"/>
      <c r="X141" s="294"/>
      <c r="Y141" s="294"/>
      <c r="Z141" s="294"/>
      <c r="AA141" s="294"/>
      <c r="AB141" s="294"/>
      <c r="AC141" s="294"/>
      <c r="AD141" s="294"/>
    </row>
    <row r="142" spans="3:30"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  <c r="Z142" s="294"/>
      <c r="AA142" s="294"/>
      <c r="AB142" s="294"/>
      <c r="AC142" s="294"/>
      <c r="AD142" s="294"/>
    </row>
    <row r="143" spans="3:30"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  <c r="Z143" s="294"/>
      <c r="AA143" s="294"/>
      <c r="AB143" s="294"/>
      <c r="AC143" s="294"/>
      <c r="AD143" s="294"/>
    </row>
    <row r="144" spans="3:30"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  <c r="Z144" s="294"/>
      <c r="AA144" s="294"/>
      <c r="AB144" s="294"/>
      <c r="AC144" s="294"/>
      <c r="AD144" s="294"/>
    </row>
    <row r="145" spans="3:30"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  <c r="Z145" s="294"/>
      <c r="AA145" s="294"/>
      <c r="AB145" s="294"/>
      <c r="AC145" s="294"/>
      <c r="AD145" s="294"/>
    </row>
    <row r="146" spans="3:30"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  <c r="Z146" s="294"/>
      <c r="AA146" s="294"/>
      <c r="AB146" s="294"/>
      <c r="AC146" s="294"/>
      <c r="AD146" s="294"/>
    </row>
    <row r="147" spans="3:30"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  <c r="Z147" s="294"/>
      <c r="AA147" s="294"/>
      <c r="AB147" s="294"/>
      <c r="AC147" s="294"/>
      <c r="AD147" s="294"/>
    </row>
    <row r="148" spans="3:30"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  <c r="Z148" s="294"/>
      <c r="AA148" s="294"/>
      <c r="AB148" s="294"/>
      <c r="AC148" s="294"/>
      <c r="AD148" s="294"/>
    </row>
    <row r="149" spans="3:30"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  <c r="Z149" s="294"/>
      <c r="AA149" s="294"/>
      <c r="AB149" s="294"/>
      <c r="AC149" s="294"/>
      <c r="AD149" s="294"/>
    </row>
    <row r="150" spans="3:30"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  <c r="Z150" s="294"/>
      <c r="AA150" s="294"/>
      <c r="AB150" s="294"/>
      <c r="AC150" s="294"/>
      <c r="AD150" s="294"/>
    </row>
    <row r="151" spans="3:30"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  <c r="Z151" s="294"/>
      <c r="AA151" s="294"/>
      <c r="AB151" s="294"/>
      <c r="AC151" s="294"/>
      <c r="AD151" s="294"/>
    </row>
    <row r="152" spans="3:30">
      <c r="C152" s="294"/>
      <c r="D152" s="294"/>
      <c r="E152" s="294"/>
      <c r="F152" s="294"/>
      <c r="G152" s="294"/>
      <c r="H152" s="294"/>
      <c r="I152" s="294"/>
      <c r="J152" s="294"/>
      <c r="K152" s="294"/>
      <c r="L152" s="294"/>
      <c r="M152" s="294"/>
      <c r="N152" s="294"/>
      <c r="O152" s="294"/>
      <c r="P152" s="294"/>
      <c r="Q152" s="294"/>
      <c r="R152" s="294"/>
      <c r="S152" s="294"/>
      <c r="T152" s="294"/>
      <c r="U152" s="294"/>
      <c r="V152" s="294"/>
      <c r="W152" s="294"/>
      <c r="X152" s="294"/>
      <c r="Y152" s="294"/>
      <c r="Z152" s="294"/>
      <c r="AA152" s="294"/>
      <c r="AB152" s="294"/>
      <c r="AC152" s="294"/>
      <c r="AD152" s="294"/>
    </row>
    <row r="153" spans="3:30">
      <c r="C153" s="294"/>
      <c r="D153" s="294"/>
      <c r="E153" s="294"/>
      <c r="F153" s="294"/>
      <c r="G153" s="294"/>
      <c r="H153" s="294"/>
      <c r="I153" s="294"/>
      <c r="J153" s="294"/>
      <c r="K153" s="294"/>
      <c r="L153" s="294"/>
      <c r="M153" s="294"/>
      <c r="N153" s="294"/>
      <c r="O153" s="294"/>
      <c r="P153" s="294"/>
      <c r="Q153" s="294"/>
      <c r="R153" s="294"/>
      <c r="S153" s="294"/>
      <c r="T153" s="294"/>
      <c r="U153" s="294"/>
      <c r="V153" s="294"/>
      <c r="W153" s="294"/>
      <c r="X153" s="294"/>
      <c r="Y153" s="294"/>
      <c r="Z153" s="294"/>
      <c r="AA153" s="294"/>
      <c r="AB153" s="294"/>
      <c r="AC153" s="294"/>
      <c r="AD153" s="294"/>
    </row>
    <row r="154" spans="3:30">
      <c r="C154" s="294"/>
      <c r="D154" s="294"/>
      <c r="E154" s="294"/>
      <c r="F154" s="294"/>
      <c r="G154" s="294"/>
      <c r="H154" s="294"/>
      <c r="I154" s="294"/>
      <c r="J154" s="294"/>
      <c r="K154" s="294"/>
      <c r="L154" s="294"/>
      <c r="M154" s="294"/>
      <c r="N154" s="294"/>
      <c r="O154" s="294"/>
      <c r="P154" s="294"/>
      <c r="Q154" s="294"/>
      <c r="R154" s="294"/>
      <c r="S154" s="294"/>
      <c r="T154" s="294"/>
      <c r="U154" s="294"/>
      <c r="V154" s="294"/>
      <c r="W154" s="294"/>
      <c r="X154" s="294"/>
      <c r="Y154" s="294"/>
      <c r="Z154" s="294"/>
      <c r="AA154" s="294"/>
      <c r="AB154" s="294"/>
      <c r="AC154" s="294"/>
      <c r="AD154" s="294"/>
    </row>
    <row r="155" spans="3:30"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  <c r="Z155" s="294"/>
      <c r="AA155" s="294"/>
      <c r="AB155" s="294"/>
      <c r="AC155" s="294"/>
      <c r="AD155" s="294"/>
    </row>
    <row r="156" spans="3:30"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  <c r="Z156" s="294"/>
      <c r="AA156" s="294"/>
      <c r="AB156" s="294"/>
      <c r="AC156" s="294"/>
      <c r="AD156" s="294"/>
    </row>
    <row r="157" spans="3:30"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  <c r="Z157" s="294"/>
      <c r="AA157" s="294"/>
      <c r="AB157" s="294"/>
      <c r="AC157" s="294"/>
      <c r="AD157" s="294"/>
    </row>
    <row r="158" spans="3:30"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  <c r="Z158" s="294"/>
      <c r="AA158" s="294"/>
      <c r="AB158" s="294"/>
      <c r="AC158" s="294"/>
      <c r="AD158" s="294"/>
    </row>
    <row r="159" spans="3:30"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  <c r="Z159" s="294"/>
      <c r="AA159" s="294"/>
      <c r="AB159" s="294"/>
      <c r="AC159" s="294"/>
      <c r="AD159" s="294"/>
    </row>
    <row r="160" spans="3:30"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  <c r="Z160" s="294"/>
      <c r="AA160" s="294"/>
      <c r="AB160" s="294"/>
      <c r="AC160" s="294"/>
      <c r="AD160" s="294"/>
    </row>
    <row r="161" spans="3:30"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  <c r="Z161" s="294"/>
      <c r="AA161" s="294"/>
      <c r="AB161" s="294"/>
      <c r="AC161" s="294"/>
      <c r="AD161" s="294"/>
    </row>
    <row r="162" spans="3:30"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  <c r="Z162" s="294"/>
      <c r="AA162" s="294"/>
      <c r="AB162" s="294"/>
      <c r="AC162" s="294"/>
      <c r="AD162" s="294"/>
    </row>
    <row r="163" spans="3:30"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  <c r="Z163" s="294"/>
      <c r="AA163" s="294"/>
      <c r="AB163" s="294"/>
      <c r="AC163" s="294"/>
      <c r="AD163" s="294"/>
    </row>
    <row r="164" spans="3:30"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  <c r="Z164" s="294"/>
      <c r="AA164" s="294"/>
      <c r="AB164" s="294"/>
      <c r="AC164" s="294"/>
      <c r="AD164" s="294"/>
    </row>
    <row r="165" spans="3:30">
      <c r="C165" s="294"/>
      <c r="D165" s="294"/>
      <c r="E165" s="294"/>
      <c r="F165" s="294"/>
      <c r="G165" s="294"/>
      <c r="H165" s="294"/>
      <c r="I165" s="294"/>
      <c r="J165" s="294"/>
      <c r="K165" s="294"/>
      <c r="L165" s="294"/>
      <c r="M165" s="294"/>
      <c r="N165" s="294"/>
      <c r="O165" s="294"/>
      <c r="P165" s="294"/>
      <c r="Q165" s="294"/>
      <c r="R165" s="294"/>
      <c r="S165" s="294"/>
      <c r="T165" s="294"/>
      <c r="U165" s="294"/>
      <c r="V165" s="294"/>
      <c r="W165" s="294"/>
      <c r="X165" s="294"/>
      <c r="Y165" s="294"/>
      <c r="Z165" s="294"/>
      <c r="AA165" s="294"/>
      <c r="AB165" s="294"/>
      <c r="AC165" s="294"/>
      <c r="AD165" s="294"/>
    </row>
    <row r="166" spans="3:30">
      <c r="C166" s="294"/>
      <c r="D166" s="294"/>
      <c r="E166" s="294"/>
      <c r="F166" s="294"/>
      <c r="G166" s="294"/>
      <c r="H166" s="294"/>
      <c r="I166" s="294"/>
      <c r="J166" s="294"/>
      <c r="K166" s="294"/>
      <c r="L166" s="294"/>
      <c r="M166" s="294"/>
      <c r="N166" s="294"/>
      <c r="O166" s="294"/>
      <c r="P166" s="294"/>
      <c r="Q166" s="294"/>
      <c r="R166" s="294"/>
      <c r="S166" s="294"/>
      <c r="T166" s="294"/>
      <c r="U166" s="294"/>
      <c r="V166" s="294"/>
      <c r="W166" s="294"/>
      <c r="X166" s="294"/>
      <c r="Y166" s="294"/>
      <c r="Z166" s="294"/>
      <c r="AA166" s="294"/>
      <c r="AB166" s="294"/>
      <c r="AC166" s="294"/>
      <c r="AD166" s="294"/>
    </row>
    <row r="167" spans="3:30">
      <c r="C167" s="294"/>
      <c r="D167" s="294"/>
      <c r="E167" s="294"/>
      <c r="F167" s="294"/>
      <c r="G167" s="294"/>
      <c r="H167" s="294"/>
      <c r="I167" s="294"/>
      <c r="J167" s="294"/>
      <c r="K167" s="294"/>
      <c r="L167" s="294"/>
      <c r="M167" s="294"/>
      <c r="N167" s="294"/>
      <c r="O167" s="294"/>
      <c r="P167" s="294"/>
      <c r="Q167" s="294"/>
      <c r="R167" s="294"/>
      <c r="S167" s="294"/>
      <c r="T167" s="294"/>
      <c r="U167" s="294"/>
      <c r="V167" s="294"/>
      <c r="W167" s="294"/>
      <c r="X167" s="294"/>
      <c r="Y167" s="294"/>
      <c r="Z167" s="294"/>
      <c r="AA167" s="294"/>
      <c r="AB167" s="294"/>
      <c r="AC167" s="294"/>
      <c r="AD167" s="294"/>
    </row>
    <row r="168" spans="3:30"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  <c r="Z168" s="294"/>
      <c r="AA168" s="294"/>
      <c r="AB168" s="294"/>
      <c r="AC168" s="294"/>
      <c r="AD168" s="294"/>
    </row>
    <row r="169" spans="3:30"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  <c r="Z169" s="294"/>
      <c r="AA169" s="294"/>
      <c r="AB169" s="294"/>
      <c r="AC169" s="294"/>
      <c r="AD169" s="294"/>
    </row>
    <row r="170" spans="3:30"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  <c r="Z170" s="294"/>
      <c r="AA170" s="294"/>
      <c r="AB170" s="294"/>
      <c r="AC170" s="294"/>
      <c r="AD170" s="294"/>
    </row>
    <row r="171" spans="3:30"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  <c r="Z171" s="294"/>
      <c r="AA171" s="294"/>
      <c r="AB171" s="294"/>
      <c r="AC171" s="294"/>
      <c r="AD171" s="294"/>
    </row>
    <row r="172" spans="3:30"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  <c r="Z172" s="294"/>
      <c r="AA172" s="294"/>
      <c r="AB172" s="294"/>
      <c r="AC172" s="294"/>
      <c r="AD172" s="294"/>
    </row>
    <row r="173" spans="3:30"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  <c r="Z173" s="294"/>
      <c r="AA173" s="294"/>
      <c r="AB173" s="294"/>
      <c r="AC173" s="294"/>
      <c r="AD173" s="294"/>
    </row>
    <row r="174" spans="3:30"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  <c r="Z174" s="294"/>
      <c r="AA174" s="294"/>
      <c r="AB174" s="294"/>
      <c r="AC174" s="294"/>
      <c r="AD174" s="294"/>
    </row>
    <row r="175" spans="3:30"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  <c r="Z175" s="294"/>
      <c r="AA175" s="294"/>
      <c r="AB175" s="294"/>
      <c r="AC175" s="294"/>
      <c r="AD175" s="294"/>
    </row>
    <row r="176" spans="3:30"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  <c r="Z176" s="294"/>
      <c r="AA176" s="294"/>
      <c r="AB176" s="294"/>
      <c r="AC176" s="294"/>
      <c r="AD176" s="294"/>
    </row>
    <row r="177" spans="3:30"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  <c r="Z177" s="294"/>
      <c r="AA177" s="294"/>
      <c r="AB177" s="294"/>
      <c r="AC177" s="294"/>
      <c r="AD177" s="294"/>
    </row>
    <row r="178" spans="3:30">
      <c r="C178" s="294"/>
      <c r="D178" s="294"/>
      <c r="E178" s="294"/>
      <c r="F178" s="294"/>
      <c r="G178" s="294"/>
      <c r="H178" s="294"/>
      <c r="I178" s="294"/>
      <c r="J178" s="294"/>
      <c r="K178" s="294"/>
      <c r="L178" s="294"/>
      <c r="M178" s="294"/>
      <c r="N178" s="294"/>
      <c r="O178" s="294"/>
      <c r="P178" s="294"/>
      <c r="Q178" s="294"/>
      <c r="R178" s="294"/>
      <c r="S178" s="294"/>
      <c r="T178" s="294"/>
      <c r="U178" s="294"/>
      <c r="V178" s="294"/>
      <c r="W178" s="294"/>
      <c r="X178" s="294"/>
      <c r="Y178" s="294"/>
      <c r="Z178" s="294"/>
      <c r="AA178" s="294"/>
      <c r="AB178" s="294"/>
      <c r="AC178" s="294"/>
      <c r="AD178" s="294"/>
    </row>
    <row r="179" spans="3:30">
      <c r="C179" s="294"/>
      <c r="D179" s="294"/>
      <c r="E179" s="294"/>
      <c r="F179" s="294"/>
      <c r="G179" s="294"/>
      <c r="H179" s="294"/>
      <c r="I179" s="294"/>
      <c r="J179" s="294"/>
      <c r="K179" s="294"/>
      <c r="L179" s="294"/>
      <c r="M179" s="294"/>
      <c r="N179" s="294"/>
      <c r="O179" s="294"/>
      <c r="P179" s="294"/>
      <c r="Q179" s="294"/>
      <c r="R179" s="294"/>
      <c r="S179" s="294"/>
      <c r="T179" s="294"/>
      <c r="U179" s="294"/>
      <c r="V179" s="294"/>
      <c r="W179" s="294"/>
      <c r="X179" s="294"/>
      <c r="Y179" s="294"/>
      <c r="Z179" s="294"/>
      <c r="AA179" s="294"/>
      <c r="AB179" s="294"/>
      <c r="AC179" s="294"/>
      <c r="AD179" s="294"/>
    </row>
    <row r="180" spans="3:30">
      <c r="C180" s="294"/>
      <c r="D180" s="294"/>
      <c r="E180" s="294"/>
      <c r="F180" s="294"/>
      <c r="G180" s="294"/>
      <c r="H180" s="294"/>
      <c r="I180" s="294"/>
      <c r="J180" s="294"/>
      <c r="K180" s="294"/>
      <c r="L180" s="294"/>
      <c r="M180" s="294"/>
      <c r="N180" s="294"/>
      <c r="O180" s="294"/>
      <c r="P180" s="294"/>
      <c r="Q180" s="294"/>
      <c r="R180" s="294"/>
      <c r="S180" s="294"/>
      <c r="T180" s="294"/>
      <c r="U180" s="294"/>
      <c r="V180" s="294"/>
      <c r="W180" s="294"/>
      <c r="X180" s="294"/>
      <c r="Y180" s="294"/>
      <c r="Z180" s="294"/>
      <c r="AA180" s="294"/>
      <c r="AB180" s="294"/>
      <c r="AC180" s="294"/>
      <c r="AD180" s="294"/>
    </row>
    <row r="181" spans="3:30"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  <c r="Z181" s="294"/>
      <c r="AA181" s="294"/>
      <c r="AB181" s="294"/>
      <c r="AC181" s="294"/>
      <c r="AD181" s="294"/>
    </row>
    <row r="182" spans="3:30"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  <c r="Z182" s="294"/>
      <c r="AA182" s="294"/>
      <c r="AB182" s="294"/>
      <c r="AC182" s="294"/>
      <c r="AD182" s="294"/>
    </row>
    <row r="183" spans="3:30"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  <c r="Z183" s="294"/>
      <c r="AA183" s="294"/>
      <c r="AB183" s="294"/>
      <c r="AC183" s="294"/>
      <c r="AD183" s="294"/>
    </row>
    <row r="184" spans="3:30"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  <c r="Z184" s="294"/>
      <c r="AA184" s="294"/>
      <c r="AB184" s="294"/>
      <c r="AC184" s="294"/>
      <c r="AD184" s="294"/>
    </row>
    <row r="185" spans="3:30"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  <c r="Z185" s="294"/>
      <c r="AA185" s="294"/>
      <c r="AB185" s="294"/>
      <c r="AC185" s="294"/>
      <c r="AD185" s="294"/>
    </row>
    <row r="186" spans="3:30"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  <c r="Z186" s="294"/>
      <c r="AA186" s="294"/>
      <c r="AB186" s="294"/>
      <c r="AC186" s="294"/>
      <c r="AD186" s="294"/>
    </row>
    <row r="187" spans="3:30"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  <c r="Z187" s="294"/>
      <c r="AA187" s="294"/>
      <c r="AB187" s="294"/>
      <c r="AC187" s="294"/>
      <c r="AD187" s="294"/>
    </row>
    <row r="188" spans="3:30"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  <c r="Z188" s="294"/>
      <c r="AA188" s="294"/>
      <c r="AB188" s="294"/>
      <c r="AC188" s="294"/>
      <c r="AD188" s="294"/>
    </row>
    <row r="189" spans="3:30"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  <c r="Z189" s="294"/>
      <c r="AA189" s="294"/>
      <c r="AB189" s="294"/>
      <c r="AC189" s="294"/>
      <c r="AD189" s="294"/>
    </row>
    <row r="190" spans="3:30"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  <c r="Z190" s="294"/>
      <c r="AA190" s="294"/>
      <c r="AB190" s="294"/>
      <c r="AC190" s="294"/>
      <c r="AD190" s="294"/>
    </row>
    <row r="191" spans="3:30">
      <c r="C191" s="294"/>
      <c r="D191" s="294"/>
      <c r="E191" s="294"/>
      <c r="F191" s="294"/>
      <c r="G191" s="294"/>
      <c r="H191" s="294"/>
      <c r="I191" s="294"/>
      <c r="J191" s="294"/>
      <c r="K191" s="294"/>
      <c r="L191" s="294"/>
      <c r="M191" s="294"/>
      <c r="N191" s="294"/>
      <c r="O191" s="294"/>
      <c r="P191" s="294"/>
      <c r="Q191" s="294"/>
      <c r="R191" s="294"/>
      <c r="S191" s="294"/>
      <c r="T191" s="294"/>
      <c r="U191" s="294"/>
      <c r="V191" s="294"/>
      <c r="W191" s="294"/>
      <c r="X191" s="294"/>
      <c r="Y191" s="294"/>
      <c r="Z191" s="294"/>
      <c r="AA191" s="294"/>
      <c r="AB191" s="294"/>
      <c r="AC191" s="294"/>
      <c r="AD191" s="294"/>
    </row>
    <row r="192" spans="3:30">
      <c r="C192" s="294"/>
      <c r="D192" s="294"/>
      <c r="E192" s="294"/>
      <c r="F192" s="294"/>
      <c r="G192" s="294"/>
      <c r="H192" s="294"/>
      <c r="I192" s="294"/>
      <c r="J192" s="294"/>
      <c r="K192" s="294"/>
      <c r="L192" s="294"/>
      <c r="M192" s="294"/>
      <c r="N192" s="294"/>
      <c r="O192" s="294"/>
      <c r="P192" s="294"/>
      <c r="Q192" s="294"/>
      <c r="R192" s="294"/>
      <c r="S192" s="294"/>
      <c r="T192" s="294"/>
      <c r="U192" s="294"/>
      <c r="V192" s="294"/>
      <c r="W192" s="294"/>
      <c r="X192" s="294"/>
      <c r="Y192" s="294"/>
      <c r="Z192" s="294"/>
      <c r="AA192" s="294"/>
      <c r="AB192" s="294"/>
      <c r="AC192" s="294"/>
      <c r="AD192" s="294"/>
    </row>
    <row r="193" spans="3:30">
      <c r="C193" s="294"/>
      <c r="D193" s="294"/>
      <c r="E193" s="294"/>
      <c r="F193" s="294"/>
      <c r="G193" s="294"/>
      <c r="H193" s="294"/>
      <c r="I193" s="294"/>
      <c r="J193" s="294"/>
      <c r="K193" s="294"/>
      <c r="L193" s="294"/>
      <c r="M193" s="294"/>
      <c r="N193" s="294"/>
      <c r="O193" s="294"/>
      <c r="P193" s="294"/>
      <c r="Q193" s="294"/>
      <c r="R193" s="294"/>
      <c r="S193" s="294"/>
      <c r="T193" s="294"/>
      <c r="U193" s="294"/>
      <c r="V193" s="294"/>
      <c r="W193" s="294"/>
      <c r="X193" s="294"/>
      <c r="Y193" s="294"/>
      <c r="Z193" s="294"/>
      <c r="AA193" s="294"/>
      <c r="AB193" s="294"/>
      <c r="AC193" s="294"/>
      <c r="AD193" s="294"/>
    </row>
    <row r="194" spans="3:30"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  <c r="Z194" s="294"/>
      <c r="AA194" s="294"/>
      <c r="AB194" s="294"/>
      <c r="AC194" s="294"/>
      <c r="AD194" s="294"/>
    </row>
    <row r="195" spans="3:30"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  <c r="Z195" s="294"/>
      <c r="AA195" s="294"/>
      <c r="AB195" s="294"/>
      <c r="AC195" s="294"/>
      <c r="AD195" s="294"/>
    </row>
    <row r="196" spans="3:30"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  <c r="Z196" s="294"/>
      <c r="AA196" s="294"/>
      <c r="AB196" s="294"/>
      <c r="AC196" s="294"/>
      <c r="AD196" s="294"/>
    </row>
    <row r="197" spans="3:30"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  <c r="Z197" s="294"/>
      <c r="AA197" s="294"/>
      <c r="AB197" s="294"/>
      <c r="AC197" s="294"/>
      <c r="AD197" s="294"/>
    </row>
    <row r="198" spans="3:30"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  <c r="Z198" s="294"/>
      <c r="AA198" s="294"/>
      <c r="AB198" s="294"/>
      <c r="AC198" s="294"/>
      <c r="AD198" s="294"/>
    </row>
    <row r="199" spans="3:30"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  <c r="Z199" s="294"/>
      <c r="AA199" s="294"/>
      <c r="AB199" s="294"/>
      <c r="AC199" s="294"/>
      <c r="AD199" s="294"/>
    </row>
    <row r="200" spans="3:30"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  <c r="Z200" s="294"/>
      <c r="AA200" s="294"/>
      <c r="AB200" s="294"/>
      <c r="AC200" s="294"/>
      <c r="AD200" s="294"/>
    </row>
    <row r="201" spans="3:30"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  <c r="Z201" s="294"/>
      <c r="AA201" s="294"/>
      <c r="AB201" s="294"/>
      <c r="AC201" s="294"/>
      <c r="AD201" s="294"/>
    </row>
    <row r="202" spans="3:30"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  <c r="Z202" s="294"/>
      <c r="AA202" s="294"/>
      <c r="AB202" s="294"/>
      <c r="AC202" s="294"/>
      <c r="AD202" s="294"/>
    </row>
    <row r="203" spans="3:30"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  <c r="Z203" s="294"/>
      <c r="AA203" s="294"/>
      <c r="AB203" s="294"/>
      <c r="AC203" s="294"/>
      <c r="AD203" s="294"/>
    </row>
    <row r="204" spans="3:30">
      <c r="C204" s="294"/>
      <c r="D204" s="294"/>
      <c r="E204" s="294"/>
      <c r="F204" s="294"/>
      <c r="G204" s="294"/>
      <c r="H204" s="294"/>
      <c r="I204" s="294"/>
      <c r="J204" s="294"/>
      <c r="K204" s="294"/>
      <c r="L204" s="294"/>
      <c r="M204" s="294"/>
      <c r="N204" s="294"/>
      <c r="O204" s="294"/>
      <c r="P204" s="294"/>
      <c r="Q204" s="294"/>
      <c r="R204" s="294"/>
      <c r="S204" s="294"/>
      <c r="T204" s="294"/>
      <c r="U204" s="294"/>
      <c r="V204" s="294"/>
      <c r="W204" s="294"/>
      <c r="X204" s="294"/>
      <c r="Y204" s="294"/>
      <c r="Z204" s="294"/>
      <c r="AA204" s="294"/>
      <c r="AB204" s="294"/>
      <c r="AC204" s="294"/>
      <c r="AD204" s="294"/>
    </row>
    <row r="205" spans="3:30">
      <c r="C205" s="294"/>
      <c r="D205" s="294"/>
      <c r="E205" s="294"/>
      <c r="F205" s="294"/>
      <c r="G205" s="294"/>
      <c r="H205" s="294"/>
      <c r="I205" s="294"/>
      <c r="J205" s="294"/>
      <c r="K205" s="294"/>
      <c r="L205" s="294"/>
      <c r="M205" s="294"/>
      <c r="N205" s="294"/>
      <c r="O205" s="294"/>
      <c r="P205" s="294"/>
      <c r="Q205" s="294"/>
      <c r="R205" s="294"/>
      <c r="S205" s="294"/>
      <c r="T205" s="294"/>
      <c r="U205" s="294"/>
      <c r="V205" s="294"/>
      <c r="W205" s="294"/>
      <c r="X205" s="294"/>
      <c r="Y205" s="294"/>
      <c r="Z205" s="294"/>
      <c r="AA205" s="294"/>
      <c r="AB205" s="294"/>
      <c r="AC205" s="294"/>
      <c r="AD205" s="294"/>
    </row>
    <row r="206" spans="3:30">
      <c r="C206" s="294"/>
      <c r="D206" s="294"/>
      <c r="E206" s="294"/>
      <c r="F206" s="294"/>
      <c r="G206" s="294"/>
      <c r="H206" s="294"/>
      <c r="I206" s="294"/>
      <c r="J206" s="294"/>
      <c r="K206" s="294"/>
      <c r="L206" s="294"/>
      <c r="M206" s="294"/>
      <c r="N206" s="294"/>
      <c r="O206" s="294"/>
      <c r="P206" s="294"/>
      <c r="Q206" s="294"/>
      <c r="R206" s="294"/>
      <c r="S206" s="294"/>
      <c r="T206" s="294"/>
      <c r="U206" s="294"/>
      <c r="V206" s="294"/>
      <c r="W206" s="294"/>
      <c r="X206" s="294"/>
      <c r="Y206" s="294"/>
      <c r="Z206" s="294"/>
      <c r="AA206" s="294"/>
      <c r="AB206" s="294"/>
      <c r="AC206" s="294"/>
      <c r="AD206" s="294"/>
    </row>
    <row r="207" spans="3:30"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  <c r="Z207" s="294"/>
      <c r="AA207" s="294"/>
      <c r="AB207" s="294"/>
      <c r="AC207" s="294"/>
      <c r="AD207" s="294"/>
    </row>
    <row r="208" spans="3:30"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  <c r="Z208" s="294"/>
      <c r="AA208" s="294"/>
      <c r="AB208" s="294"/>
      <c r="AC208" s="294"/>
      <c r="AD208" s="294"/>
    </row>
    <row r="209" spans="3:30"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  <c r="Z209" s="294"/>
      <c r="AA209" s="294"/>
      <c r="AB209" s="294"/>
      <c r="AC209" s="294"/>
      <c r="AD209" s="294"/>
    </row>
    <row r="210" spans="3:30"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  <c r="Z210" s="294"/>
      <c r="AA210" s="294"/>
      <c r="AB210" s="294"/>
      <c r="AC210" s="294"/>
      <c r="AD210" s="294"/>
    </row>
    <row r="211" spans="3:30"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  <c r="Z211" s="294"/>
      <c r="AA211" s="294"/>
      <c r="AB211" s="294"/>
      <c r="AC211" s="294"/>
      <c r="AD211" s="294"/>
    </row>
    <row r="212" spans="3:30"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  <c r="Z212" s="294"/>
      <c r="AA212" s="294"/>
      <c r="AB212" s="294"/>
      <c r="AC212" s="294"/>
      <c r="AD212" s="294"/>
    </row>
    <row r="213" spans="3:30"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  <c r="Z213" s="294"/>
      <c r="AA213" s="294"/>
      <c r="AB213" s="294"/>
      <c r="AC213" s="294"/>
      <c r="AD213" s="294"/>
    </row>
    <row r="214" spans="3:30"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  <c r="Z214" s="294"/>
      <c r="AA214" s="294"/>
      <c r="AB214" s="294"/>
      <c r="AC214" s="294"/>
      <c r="AD214" s="294"/>
    </row>
    <row r="215" spans="3:30"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  <c r="Z215" s="294"/>
      <c r="AA215" s="294"/>
      <c r="AB215" s="294"/>
      <c r="AC215" s="294"/>
      <c r="AD215" s="294"/>
    </row>
    <row r="216" spans="3:30"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  <c r="Z216" s="294"/>
      <c r="AA216" s="294"/>
      <c r="AB216" s="294"/>
      <c r="AC216" s="294"/>
      <c r="AD216" s="294"/>
    </row>
    <row r="217" spans="3:30">
      <c r="C217" s="294"/>
      <c r="D217" s="294"/>
      <c r="E217" s="294"/>
      <c r="F217" s="294"/>
      <c r="G217" s="294"/>
      <c r="H217" s="294"/>
      <c r="I217" s="294"/>
      <c r="J217" s="294"/>
      <c r="K217" s="294"/>
      <c r="L217" s="294"/>
      <c r="M217" s="294"/>
      <c r="N217" s="294"/>
      <c r="O217" s="294"/>
      <c r="P217" s="294"/>
      <c r="Q217" s="294"/>
      <c r="R217" s="294"/>
      <c r="S217" s="294"/>
      <c r="T217" s="294"/>
      <c r="U217" s="294"/>
      <c r="V217" s="294"/>
      <c r="W217" s="294"/>
      <c r="X217" s="294"/>
      <c r="Y217" s="294"/>
      <c r="Z217" s="294"/>
      <c r="AA217" s="294"/>
      <c r="AB217" s="294"/>
      <c r="AC217" s="294"/>
      <c r="AD217" s="294"/>
    </row>
    <row r="218" spans="3:30">
      <c r="C218" s="294"/>
      <c r="D218" s="294"/>
      <c r="E218" s="294"/>
      <c r="F218" s="294"/>
      <c r="G218" s="294"/>
      <c r="H218" s="294"/>
      <c r="I218" s="294"/>
      <c r="J218" s="294"/>
      <c r="K218" s="294"/>
      <c r="L218" s="294"/>
      <c r="M218" s="294"/>
      <c r="N218" s="294"/>
      <c r="O218" s="294"/>
      <c r="P218" s="294"/>
      <c r="Q218" s="294"/>
      <c r="R218" s="294"/>
      <c r="S218" s="294"/>
      <c r="T218" s="294"/>
      <c r="U218" s="294"/>
      <c r="V218" s="294"/>
      <c r="W218" s="294"/>
      <c r="X218" s="294"/>
      <c r="Y218" s="294"/>
      <c r="Z218" s="294"/>
      <c r="AA218" s="294"/>
      <c r="AB218" s="294"/>
      <c r="AC218" s="294"/>
      <c r="AD218" s="294"/>
    </row>
    <row r="219" spans="3:30">
      <c r="C219" s="294"/>
      <c r="D219" s="294"/>
      <c r="E219" s="294"/>
      <c r="F219" s="294"/>
      <c r="G219" s="294"/>
      <c r="H219" s="294"/>
      <c r="I219" s="294"/>
      <c r="J219" s="294"/>
      <c r="K219" s="294"/>
      <c r="L219" s="294"/>
      <c r="M219" s="294"/>
      <c r="N219" s="294"/>
      <c r="O219" s="294"/>
      <c r="P219" s="294"/>
      <c r="Q219" s="294"/>
      <c r="R219" s="294"/>
      <c r="S219" s="294"/>
      <c r="T219" s="294"/>
      <c r="U219" s="294"/>
      <c r="V219" s="294"/>
      <c r="W219" s="294"/>
      <c r="X219" s="294"/>
      <c r="Y219" s="294"/>
      <c r="Z219" s="294"/>
      <c r="AA219" s="294"/>
      <c r="AB219" s="294"/>
      <c r="AC219" s="294"/>
      <c r="AD219" s="294"/>
    </row>
    <row r="220" spans="3:30"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  <c r="Z220" s="294"/>
      <c r="AA220" s="294"/>
      <c r="AB220" s="294"/>
      <c r="AC220" s="294"/>
      <c r="AD220" s="294"/>
    </row>
    <row r="221" spans="3:30"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  <c r="Z221" s="294"/>
      <c r="AA221" s="294"/>
      <c r="AB221" s="294"/>
      <c r="AC221" s="294"/>
      <c r="AD221" s="294"/>
    </row>
    <row r="222" spans="3:30"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  <c r="Z222" s="294"/>
      <c r="AA222" s="294"/>
      <c r="AB222" s="294"/>
      <c r="AC222" s="294"/>
      <c r="AD222" s="294"/>
    </row>
    <row r="223" spans="3:30"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  <c r="Z223" s="294"/>
      <c r="AA223" s="294"/>
      <c r="AB223" s="294"/>
      <c r="AC223" s="294"/>
      <c r="AD223" s="294"/>
    </row>
    <row r="224" spans="3:30"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  <c r="Z224" s="294"/>
      <c r="AA224" s="294"/>
      <c r="AB224" s="294"/>
      <c r="AC224" s="294"/>
      <c r="AD224" s="294"/>
    </row>
    <row r="225" spans="3:30"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  <c r="Z225" s="294"/>
      <c r="AA225" s="294"/>
      <c r="AB225" s="294"/>
      <c r="AC225" s="294"/>
      <c r="AD225" s="294"/>
    </row>
    <row r="226" spans="3:30"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  <c r="Z226" s="294"/>
      <c r="AA226" s="294"/>
      <c r="AB226" s="294"/>
      <c r="AC226" s="294"/>
      <c r="AD226" s="294"/>
    </row>
    <row r="227" spans="3:30"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  <c r="Z227" s="294"/>
      <c r="AA227" s="294"/>
      <c r="AB227" s="294"/>
      <c r="AC227" s="294"/>
      <c r="AD227" s="294"/>
    </row>
    <row r="228" spans="3:30"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  <c r="Z228" s="294"/>
      <c r="AA228" s="294"/>
      <c r="AB228" s="294"/>
      <c r="AC228" s="294"/>
      <c r="AD228" s="294"/>
    </row>
    <row r="229" spans="3:30"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  <c r="Z229" s="294"/>
      <c r="AA229" s="294"/>
      <c r="AB229" s="294"/>
      <c r="AC229" s="294"/>
      <c r="AD229" s="294"/>
    </row>
    <row r="230" spans="3:30">
      <c r="C230" s="294"/>
      <c r="D230" s="294"/>
      <c r="E230" s="294"/>
      <c r="F230" s="294"/>
      <c r="G230" s="294"/>
      <c r="H230" s="294"/>
      <c r="I230" s="294"/>
      <c r="J230" s="294"/>
      <c r="K230" s="294"/>
      <c r="L230" s="294"/>
      <c r="M230" s="294"/>
      <c r="N230" s="294"/>
      <c r="O230" s="294"/>
      <c r="P230" s="294"/>
      <c r="Q230" s="294"/>
      <c r="R230" s="294"/>
      <c r="S230" s="294"/>
      <c r="T230" s="294"/>
      <c r="U230" s="294"/>
      <c r="V230" s="294"/>
      <c r="W230" s="294"/>
      <c r="X230" s="294"/>
      <c r="Y230" s="294"/>
      <c r="Z230" s="294"/>
      <c r="AA230" s="294"/>
      <c r="AB230" s="294"/>
      <c r="AC230" s="294"/>
      <c r="AD230" s="294"/>
    </row>
    <row r="231" spans="3:30">
      <c r="C231" s="294"/>
      <c r="D231" s="294"/>
      <c r="E231" s="294"/>
      <c r="F231" s="294"/>
      <c r="G231" s="294"/>
      <c r="H231" s="294"/>
      <c r="I231" s="294"/>
      <c r="J231" s="294"/>
      <c r="K231" s="294"/>
      <c r="L231" s="294"/>
      <c r="M231" s="294"/>
      <c r="N231" s="294"/>
      <c r="O231" s="294"/>
      <c r="P231" s="294"/>
      <c r="Q231" s="294"/>
      <c r="R231" s="294"/>
      <c r="S231" s="294"/>
      <c r="T231" s="294"/>
      <c r="U231" s="294"/>
      <c r="V231" s="294"/>
      <c r="W231" s="294"/>
      <c r="X231" s="294"/>
      <c r="Y231" s="294"/>
      <c r="Z231" s="294"/>
      <c r="AA231" s="294"/>
      <c r="AB231" s="294"/>
      <c r="AC231" s="294"/>
      <c r="AD231" s="294"/>
    </row>
    <row r="232" spans="3:30">
      <c r="C232" s="294"/>
      <c r="D232" s="294"/>
      <c r="E232" s="294"/>
      <c r="F232" s="294"/>
      <c r="G232" s="294"/>
      <c r="H232" s="294"/>
      <c r="I232" s="294"/>
      <c r="J232" s="294"/>
      <c r="K232" s="294"/>
      <c r="L232" s="294"/>
      <c r="M232" s="294"/>
      <c r="N232" s="294"/>
      <c r="O232" s="294"/>
      <c r="P232" s="294"/>
      <c r="Q232" s="294"/>
      <c r="R232" s="294"/>
      <c r="S232" s="294"/>
      <c r="T232" s="294"/>
      <c r="U232" s="294"/>
      <c r="V232" s="294"/>
      <c r="W232" s="294"/>
      <c r="X232" s="294"/>
      <c r="Y232" s="294"/>
      <c r="Z232" s="294"/>
      <c r="AA232" s="294"/>
      <c r="AB232" s="294"/>
      <c r="AC232" s="294"/>
      <c r="AD232" s="294"/>
    </row>
    <row r="233" spans="3:30"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  <c r="Z233" s="294"/>
      <c r="AA233" s="294"/>
      <c r="AB233" s="294"/>
      <c r="AC233" s="294"/>
      <c r="AD233" s="294"/>
    </row>
    <row r="234" spans="3:30"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  <c r="Z234" s="294"/>
      <c r="AA234" s="294"/>
      <c r="AB234" s="294"/>
      <c r="AC234" s="294"/>
      <c r="AD234" s="294"/>
    </row>
    <row r="235" spans="3:30"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  <c r="Z235" s="294"/>
      <c r="AA235" s="294"/>
      <c r="AB235" s="294"/>
      <c r="AC235" s="294"/>
      <c r="AD235" s="294"/>
    </row>
    <row r="236" spans="3:30"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  <c r="Z236" s="294"/>
      <c r="AA236" s="294"/>
      <c r="AB236" s="294"/>
      <c r="AC236" s="294"/>
      <c r="AD236" s="294"/>
    </row>
    <row r="237" spans="3:30"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  <c r="Z237" s="294"/>
      <c r="AA237" s="294"/>
      <c r="AB237" s="294"/>
      <c r="AC237" s="294"/>
      <c r="AD237" s="294"/>
    </row>
    <row r="238" spans="3:30"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  <c r="Z238" s="294"/>
      <c r="AA238" s="294"/>
      <c r="AB238" s="294"/>
      <c r="AC238" s="294"/>
      <c r="AD238" s="294"/>
    </row>
    <row r="239" spans="3:30"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  <c r="Z239" s="294"/>
      <c r="AA239" s="294"/>
      <c r="AB239" s="294"/>
      <c r="AC239" s="294"/>
      <c r="AD239" s="294"/>
    </row>
    <row r="240" spans="3:30"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  <c r="Z240" s="294"/>
      <c r="AA240" s="294"/>
      <c r="AB240" s="294"/>
      <c r="AC240" s="294"/>
      <c r="AD240" s="294"/>
    </row>
    <row r="241" spans="3:30"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  <c r="Z241" s="294"/>
      <c r="AA241" s="294"/>
      <c r="AB241" s="294"/>
      <c r="AC241" s="294"/>
      <c r="AD241" s="294"/>
    </row>
    <row r="242" spans="3:30"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  <c r="Z242" s="294"/>
      <c r="AA242" s="294"/>
      <c r="AB242" s="294"/>
      <c r="AC242" s="294"/>
      <c r="AD242" s="294"/>
    </row>
    <row r="243" spans="3:30">
      <c r="C243" s="294"/>
      <c r="D243" s="294"/>
      <c r="E243" s="294"/>
      <c r="F243" s="294"/>
      <c r="G243" s="294"/>
      <c r="H243" s="294"/>
      <c r="I243" s="294"/>
      <c r="J243" s="294"/>
      <c r="K243" s="294"/>
      <c r="L243" s="294"/>
      <c r="M243" s="294"/>
      <c r="N243" s="294"/>
      <c r="O243" s="294"/>
      <c r="P243" s="294"/>
      <c r="Q243" s="294"/>
      <c r="R243" s="294"/>
      <c r="S243" s="294"/>
      <c r="T243" s="294"/>
      <c r="U243" s="294"/>
      <c r="V243" s="294"/>
      <c r="W243" s="294"/>
      <c r="X243" s="294"/>
      <c r="Y243" s="294"/>
      <c r="Z243" s="294"/>
      <c r="AA243" s="294"/>
      <c r="AB243" s="294"/>
      <c r="AC243" s="294"/>
      <c r="AD243" s="294"/>
    </row>
    <row r="244" spans="3:30">
      <c r="C244" s="294"/>
      <c r="D244" s="294"/>
      <c r="E244" s="294"/>
      <c r="F244" s="294"/>
      <c r="G244" s="294"/>
      <c r="H244" s="294"/>
      <c r="I244" s="294"/>
      <c r="J244" s="294"/>
      <c r="K244" s="294"/>
      <c r="L244" s="294"/>
      <c r="M244" s="294"/>
      <c r="N244" s="294"/>
      <c r="O244" s="294"/>
      <c r="P244" s="294"/>
      <c r="Q244" s="294"/>
      <c r="R244" s="294"/>
      <c r="S244" s="294"/>
      <c r="T244" s="294"/>
      <c r="U244" s="294"/>
      <c r="V244" s="294"/>
      <c r="W244" s="294"/>
      <c r="X244" s="294"/>
      <c r="Y244" s="294"/>
      <c r="Z244" s="294"/>
      <c r="AA244" s="294"/>
      <c r="AB244" s="294"/>
      <c r="AC244" s="294"/>
      <c r="AD244" s="294"/>
    </row>
    <row r="245" spans="3:30">
      <c r="C245" s="294"/>
      <c r="D245" s="294"/>
      <c r="E245" s="294"/>
      <c r="F245" s="294"/>
      <c r="G245" s="294"/>
      <c r="H245" s="294"/>
      <c r="I245" s="294"/>
      <c r="J245" s="294"/>
      <c r="K245" s="294"/>
      <c r="L245" s="294"/>
      <c r="M245" s="294"/>
      <c r="N245" s="294"/>
      <c r="O245" s="294"/>
      <c r="P245" s="294"/>
      <c r="Q245" s="294"/>
      <c r="R245" s="294"/>
      <c r="S245" s="294"/>
      <c r="T245" s="294"/>
      <c r="U245" s="294"/>
      <c r="V245" s="294"/>
      <c r="W245" s="294"/>
      <c r="X245" s="294"/>
      <c r="Y245" s="294"/>
      <c r="Z245" s="294"/>
      <c r="AA245" s="294"/>
      <c r="AB245" s="294"/>
      <c r="AC245" s="294"/>
      <c r="AD245" s="294"/>
    </row>
    <row r="246" spans="3:30"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  <c r="Z246" s="294"/>
      <c r="AA246" s="294"/>
      <c r="AB246" s="294"/>
      <c r="AC246" s="294"/>
      <c r="AD246" s="294"/>
    </row>
    <row r="247" spans="3:30"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  <c r="Z247" s="294"/>
      <c r="AA247" s="294"/>
      <c r="AB247" s="294"/>
      <c r="AC247" s="294"/>
      <c r="AD247" s="294"/>
    </row>
    <row r="248" spans="3:30"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  <c r="Z248" s="294"/>
      <c r="AA248" s="294"/>
      <c r="AB248" s="294"/>
      <c r="AC248" s="294"/>
      <c r="AD248" s="294"/>
    </row>
    <row r="249" spans="3:30"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  <c r="Z249" s="294"/>
      <c r="AA249" s="294"/>
      <c r="AB249" s="294"/>
      <c r="AC249" s="294"/>
      <c r="AD249" s="294"/>
    </row>
    <row r="250" spans="3:30"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  <c r="Z250" s="294"/>
      <c r="AA250" s="294"/>
      <c r="AB250" s="294"/>
      <c r="AC250" s="294"/>
      <c r="AD250" s="294"/>
    </row>
    <row r="251" spans="3:30"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  <c r="Z251" s="294"/>
      <c r="AA251" s="294"/>
      <c r="AB251" s="294"/>
      <c r="AC251" s="294"/>
      <c r="AD251" s="294"/>
    </row>
    <row r="252" spans="3:30"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  <c r="Z252" s="294"/>
      <c r="AA252" s="294"/>
      <c r="AB252" s="294"/>
      <c r="AC252" s="294"/>
      <c r="AD252" s="294"/>
    </row>
    <row r="253" spans="3:30"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  <c r="Z253" s="294"/>
      <c r="AA253" s="294"/>
      <c r="AB253" s="294"/>
      <c r="AC253" s="294"/>
      <c r="AD253" s="294"/>
    </row>
    <row r="254" spans="3:30"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  <c r="Z254" s="294"/>
      <c r="AA254" s="294"/>
      <c r="AB254" s="294"/>
      <c r="AC254" s="294"/>
      <c r="AD254" s="294"/>
    </row>
    <row r="255" spans="3:30"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  <c r="Z255" s="294"/>
      <c r="AA255" s="294"/>
      <c r="AB255" s="294"/>
      <c r="AC255" s="294"/>
      <c r="AD255" s="294"/>
    </row>
    <row r="256" spans="3:30">
      <c r="C256" s="294"/>
      <c r="D256" s="294"/>
      <c r="E256" s="294"/>
      <c r="F256" s="294"/>
      <c r="G256" s="294"/>
      <c r="H256" s="294"/>
      <c r="I256" s="294"/>
      <c r="J256" s="294"/>
      <c r="K256" s="294"/>
      <c r="L256" s="294"/>
      <c r="M256" s="294"/>
      <c r="N256" s="294"/>
      <c r="O256" s="294"/>
      <c r="P256" s="294"/>
      <c r="Q256" s="294"/>
      <c r="R256" s="294"/>
      <c r="S256" s="294"/>
      <c r="T256" s="294"/>
      <c r="U256" s="294"/>
      <c r="V256" s="294"/>
      <c r="W256" s="294"/>
      <c r="X256" s="294"/>
      <c r="Y256" s="294"/>
      <c r="Z256" s="294"/>
      <c r="AA256" s="294"/>
      <c r="AB256" s="294"/>
      <c r="AC256" s="294"/>
      <c r="AD256" s="294"/>
    </row>
    <row r="257" spans="3:30">
      <c r="C257" s="294"/>
      <c r="D257" s="294"/>
      <c r="E257" s="294"/>
      <c r="F257" s="294"/>
      <c r="G257" s="294"/>
      <c r="H257" s="294"/>
      <c r="I257" s="294"/>
      <c r="J257" s="294"/>
      <c r="K257" s="294"/>
      <c r="L257" s="294"/>
      <c r="M257" s="294"/>
      <c r="N257" s="294"/>
      <c r="O257" s="294"/>
      <c r="P257" s="294"/>
      <c r="Q257" s="294"/>
      <c r="R257" s="294"/>
      <c r="S257" s="294"/>
      <c r="T257" s="294"/>
      <c r="U257" s="294"/>
      <c r="V257" s="294"/>
      <c r="W257" s="294"/>
      <c r="X257" s="294"/>
      <c r="Y257" s="294"/>
      <c r="Z257" s="294"/>
      <c r="AA257" s="294"/>
      <c r="AB257" s="294"/>
      <c r="AC257" s="294"/>
      <c r="AD257" s="294"/>
    </row>
    <row r="258" spans="3:30">
      <c r="C258" s="294"/>
      <c r="D258" s="294"/>
      <c r="E258" s="294"/>
      <c r="F258" s="294"/>
      <c r="G258" s="294"/>
      <c r="H258" s="294"/>
      <c r="I258" s="294"/>
      <c r="J258" s="294"/>
      <c r="K258" s="294"/>
      <c r="L258" s="294"/>
      <c r="M258" s="294"/>
      <c r="N258" s="294"/>
      <c r="O258" s="294"/>
      <c r="P258" s="294"/>
      <c r="Q258" s="294"/>
      <c r="R258" s="294"/>
      <c r="S258" s="294"/>
      <c r="T258" s="294"/>
      <c r="U258" s="294"/>
      <c r="V258" s="294"/>
      <c r="W258" s="294"/>
      <c r="X258" s="294"/>
      <c r="Y258" s="294"/>
      <c r="Z258" s="294"/>
      <c r="AA258" s="294"/>
      <c r="AB258" s="294"/>
      <c r="AC258" s="294"/>
      <c r="AD258" s="294"/>
    </row>
    <row r="259" spans="3:30"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  <c r="Z259" s="294"/>
      <c r="AA259" s="294"/>
      <c r="AB259" s="294"/>
      <c r="AC259" s="294"/>
      <c r="AD259" s="294"/>
    </row>
    <row r="260" spans="3:30"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  <c r="Z260" s="294"/>
      <c r="AA260" s="294"/>
      <c r="AB260" s="294"/>
      <c r="AC260" s="294"/>
      <c r="AD260" s="294"/>
    </row>
    <row r="261" spans="3:30"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  <c r="Z261" s="294"/>
      <c r="AA261" s="294"/>
      <c r="AB261" s="294"/>
      <c r="AC261" s="294"/>
      <c r="AD261" s="294"/>
    </row>
    <row r="262" spans="3:30"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  <c r="Z262" s="294"/>
      <c r="AA262" s="294"/>
      <c r="AB262" s="294"/>
      <c r="AC262" s="294"/>
      <c r="AD262" s="294"/>
    </row>
    <row r="263" spans="3:30"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  <c r="Z263" s="294"/>
      <c r="AA263" s="294"/>
      <c r="AB263" s="294"/>
      <c r="AC263" s="294"/>
      <c r="AD263" s="294"/>
    </row>
    <row r="264" spans="3:30"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  <c r="Z264" s="294"/>
      <c r="AA264" s="294"/>
      <c r="AB264" s="294"/>
      <c r="AC264" s="294"/>
      <c r="AD264" s="294"/>
    </row>
    <row r="265" spans="3:30"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  <c r="Z265" s="294"/>
      <c r="AA265" s="294"/>
      <c r="AB265" s="294"/>
      <c r="AC265" s="294"/>
      <c r="AD265" s="294"/>
    </row>
    <row r="266" spans="3:30"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  <c r="Z266" s="294"/>
      <c r="AA266" s="294"/>
      <c r="AB266" s="294"/>
      <c r="AC266" s="294"/>
      <c r="AD266" s="294"/>
    </row>
    <row r="267" spans="3:30"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  <c r="Z267" s="294"/>
      <c r="AA267" s="294"/>
      <c r="AB267" s="294"/>
      <c r="AC267" s="294"/>
      <c r="AD267" s="294"/>
    </row>
    <row r="268" spans="3:30"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  <c r="Z268" s="294"/>
      <c r="AA268" s="294"/>
      <c r="AB268" s="294"/>
      <c r="AC268" s="294"/>
      <c r="AD268" s="294"/>
    </row>
    <row r="269" spans="3:30">
      <c r="C269" s="294"/>
      <c r="D269" s="294"/>
      <c r="E269" s="294"/>
      <c r="F269" s="294"/>
      <c r="G269" s="294"/>
      <c r="H269" s="294"/>
      <c r="I269" s="294"/>
      <c r="J269" s="294"/>
      <c r="K269" s="294"/>
      <c r="L269" s="294"/>
      <c r="M269" s="294"/>
      <c r="N269" s="294"/>
      <c r="O269" s="294"/>
      <c r="P269" s="294"/>
      <c r="Q269" s="294"/>
      <c r="R269" s="294"/>
      <c r="S269" s="294"/>
      <c r="T269" s="294"/>
      <c r="U269" s="294"/>
      <c r="V269" s="294"/>
      <c r="W269" s="294"/>
      <c r="X269" s="294"/>
      <c r="Y269" s="294"/>
      <c r="Z269" s="294"/>
      <c r="AA269" s="294"/>
      <c r="AB269" s="294"/>
      <c r="AC269" s="294"/>
      <c r="AD269" s="294"/>
    </row>
    <row r="270" spans="3:30">
      <c r="C270" s="294"/>
      <c r="D270" s="294"/>
      <c r="E270" s="294"/>
      <c r="F270" s="294"/>
      <c r="G270" s="294"/>
      <c r="H270" s="294"/>
      <c r="I270" s="294"/>
      <c r="J270" s="294"/>
      <c r="K270" s="294"/>
      <c r="L270" s="294"/>
      <c r="M270" s="294"/>
      <c r="N270" s="294"/>
      <c r="O270" s="294"/>
      <c r="P270" s="294"/>
      <c r="Q270" s="294"/>
      <c r="R270" s="294"/>
      <c r="S270" s="294"/>
      <c r="T270" s="294"/>
      <c r="U270" s="294"/>
      <c r="V270" s="294"/>
      <c r="W270" s="294"/>
      <c r="X270" s="294"/>
      <c r="Y270" s="294"/>
      <c r="Z270" s="294"/>
      <c r="AA270" s="294"/>
      <c r="AB270" s="294"/>
      <c r="AC270" s="294"/>
      <c r="AD270" s="294"/>
    </row>
    <row r="271" spans="3:30">
      <c r="C271" s="294"/>
      <c r="D271" s="294"/>
      <c r="E271" s="294"/>
      <c r="F271" s="294"/>
      <c r="G271" s="294"/>
      <c r="H271" s="294"/>
      <c r="I271" s="294"/>
      <c r="J271" s="294"/>
      <c r="K271" s="294"/>
      <c r="L271" s="294"/>
      <c r="M271" s="294"/>
      <c r="N271" s="294"/>
      <c r="O271" s="294"/>
      <c r="P271" s="294"/>
      <c r="Q271" s="294"/>
      <c r="R271" s="294"/>
      <c r="S271" s="294"/>
      <c r="T271" s="294"/>
      <c r="U271" s="294"/>
      <c r="V271" s="294"/>
      <c r="W271" s="294"/>
      <c r="X271" s="294"/>
      <c r="Y271" s="294"/>
      <c r="Z271" s="294"/>
      <c r="AA271" s="294"/>
      <c r="AB271" s="294"/>
      <c r="AC271" s="294"/>
      <c r="AD271" s="294"/>
    </row>
    <row r="272" spans="3:30">
      <c r="C272" s="294"/>
      <c r="D272" s="294"/>
      <c r="E272" s="294"/>
      <c r="F272" s="294"/>
      <c r="G272" s="294"/>
      <c r="H272" s="294"/>
      <c r="I272" s="294"/>
      <c r="J272" s="294"/>
      <c r="K272" s="294"/>
      <c r="L272" s="294"/>
      <c r="M272" s="294"/>
      <c r="N272" s="294"/>
      <c r="O272" s="294"/>
      <c r="P272" s="294"/>
      <c r="Q272" s="294"/>
      <c r="R272" s="294"/>
      <c r="S272" s="294"/>
      <c r="T272" s="294"/>
      <c r="U272" s="294"/>
      <c r="V272" s="294"/>
      <c r="W272" s="294"/>
      <c r="X272" s="294"/>
      <c r="Y272" s="294"/>
      <c r="Z272" s="294"/>
      <c r="AA272" s="294"/>
      <c r="AB272" s="294"/>
      <c r="AC272" s="294"/>
      <c r="AD272" s="294"/>
    </row>
    <row r="273" spans="3:30">
      <c r="C273" s="294"/>
      <c r="D273" s="294"/>
      <c r="E273" s="294"/>
      <c r="F273" s="294"/>
      <c r="G273" s="294"/>
      <c r="H273" s="294"/>
      <c r="I273" s="294"/>
      <c r="J273" s="294"/>
      <c r="K273" s="294"/>
      <c r="L273" s="294"/>
      <c r="M273" s="294"/>
      <c r="N273" s="294"/>
      <c r="O273" s="294"/>
      <c r="P273" s="294"/>
      <c r="Q273" s="294"/>
      <c r="R273" s="294"/>
      <c r="S273" s="294"/>
      <c r="T273" s="294"/>
      <c r="U273" s="294"/>
      <c r="V273" s="294"/>
      <c r="W273" s="294"/>
      <c r="X273" s="294"/>
      <c r="Y273" s="294"/>
      <c r="Z273" s="294"/>
      <c r="AA273" s="294"/>
      <c r="AB273" s="294"/>
      <c r="AC273" s="294"/>
      <c r="AD273" s="294"/>
    </row>
    <row r="274" spans="3:30">
      <c r="C274" s="294"/>
      <c r="D274" s="294"/>
      <c r="E274" s="294"/>
      <c r="F274" s="294"/>
      <c r="G274" s="294"/>
      <c r="H274" s="294"/>
      <c r="I274" s="294"/>
      <c r="J274" s="294"/>
      <c r="K274" s="294"/>
      <c r="L274" s="294"/>
      <c r="M274" s="294"/>
      <c r="N274" s="294"/>
      <c r="O274" s="294"/>
      <c r="P274" s="294"/>
      <c r="Q274" s="294"/>
      <c r="R274" s="294"/>
      <c r="S274" s="294"/>
      <c r="T274" s="294"/>
      <c r="U274" s="294"/>
      <c r="V274" s="294"/>
      <c r="W274" s="294"/>
      <c r="X274" s="294"/>
      <c r="Y274" s="294"/>
      <c r="Z274" s="294"/>
      <c r="AA274" s="294"/>
      <c r="AB274" s="294"/>
      <c r="AC274" s="294"/>
      <c r="AD274" s="294"/>
    </row>
    <row r="275" spans="3:30">
      <c r="C275" s="294"/>
      <c r="D275" s="294"/>
      <c r="E275" s="294"/>
      <c r="F275" s="294"/>
      <c r="G275" s="294"/>
      <c r="H275" s="294"/>
      <c r="I275" s="294"/>
      <c r="J275" s="294"/>
      <c r="K275" s="294"/>
      <c r="L275" s="294"/>
      <c r="M275" s="294"/>
      <c r="N275" s="294"/>
      <c r="O275" s="294"/>
      <c r="P275" s="294"/>
      <c r="Q275" s="294"/>
      <c r="R275" s="294"/>
      <c r="S275" s="294"/>
      <c r="T275" s="294"/>
      <c r="U275" s="294"/>
      <c r="V275" s="294"/>
      <c r="W275" s="294"/>
      <c r="X275" s="294"/>
      <c r="Y275" s="294"/>
      <c r="Z275" s="294"/>
      <c r="AA275" s="294"/>
      <c r="AB275" s="294"/>
      <c r="AC275" s="294"/>
      <c r="AD275" s="294"/>
    </row>
    <row r="276" spans="3:30">
      <c r="C276" s="294"/>
      <c r="D276" s="294"/>
      <c r="E276" s="294"/>
      <c r="F276" s="294"/>
      <c r="G276" s="294"/>
      <c r="H276" s="294"/>
      <c r="I276" s="294"/>
      <c r="J276" s="294"/>
      <c r="K276" s="294"/>
      <c r="L276" s="294"/>
      <c r="M276" s="294"/>
      <c r="N276" s="294"/>
      <c r="O276" s="294"/>
      <c r="P276" s="294"/>
      <c r="Q276" s="294"/>
      <c r="R276" s="294"/>
      <c r="S276" s="294"/>
      <c r="T276" s="294"/>
      <c r="U276" s="294"/>
      <c r="V276" s="294"/>
      <c r="W276" s="294"/>
      <c r="X276" s="294"/>
      <c r="Y276" s="294"/>
      <c r="Z276" s="294"/>
      <c r="AA276" s="294"/>
      <c r="AB276" s="294"/>
      <c r="AC276" s="294"/>
      <c r="AD276" s="294"/>
    </row>
    <row r="277" spans="3:30">
      <c r="C277" s="294"/>
      <c r="D277" s="294"/>
      <c r="E277" s="294"/>
      <c r="F277" s="294"/>
      <c r="G277" s="294"/>
      <c r="H277" s="294"/>
      <c r="I277" s="294"/>
      <c r="J277" s="294"/>
      <c r="K277" s="294"/>
      <c r="L277" s="294"/>
      <c r="M277" s="294"/>
      <c r="N277" s="294"/>
      <c r="O277" s="294"/>
      <c r="P277" s="294"/>
      <c r="Q277" s="294"/>
      <c r="R277" s="294"/>
      <c r="S277" s="294"/>
      <c r="T277" s="294"/>
      <c r="U277" s="294"/>
      <c r="V277" s="294"/>
      <c r="W277" s="294"/>
      <c r="X277" s="294"/>
      <c r="Y277" s="294"/>
      <c r="Z277" s="294"/>
      <c r="AA277" s="294"/>
      <c r="AB277" s="294"/>
      <c r="AC277" s="294"/>
      <c r="AD277" s="294"/>
    </row>
    <row r="278" spans="3:30"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  <c r="Z278" s="294"/>
      <c r="AA278" s="294"/>
      <c r="AB278" s="294"/>
      <c r="AC278" s="294"/>
      <c r="AD278" s="294"/>
    </row>
    <row r="279" spans="3:30"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  <c r="Z279" s="294"/>
      <c r="AA279" s="294"/>
      <c r="AB279" s="294"/>
      <c r="AC279" s="294"/>
      <c r="AD279" s="294"/>
    </row>
    <row r="280" spans="3:30"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  <c r="Z280" s="294"/>
      <c r="AA280" s="294"/>
      <c r="AB280" s="294"/>
      <c r="AC280" s="294"/>
      <c r="AD280" s="294"/>
    </row>
    <row r="281" spans="3:30"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  <c r="Z281" s="294"/>
      <c r="AA281" s="294"/>
      <c r="AB281" s="294"/>
      <c r="AC281" s="294"/>
      <c r="AD281" s="294"/>
    </row>
    <row r="282" spans="3:30"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  <c r="Z282" s="294"/>
      <c r="AA282" s="294"/>
      <c r="AB282" s="294"/>
      <c r="AC282" s="294"/>
      <c r="AD282" s="294"/>
    </row>
    <row r="283" spans="3:30"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  <c r="Z283" s="294"/>
      <c r="AA283" s="294"/>
      <c r="AB283" s="294"/>
      <c r="AC283" s="294"/>
      <c r="AD283" s="294"/>
    </row>
    <row r="284" spans="3:30"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  <c r="Z284" s="294"/>
      <c r="AA284" s="294"/>
      <c r="AB284" s="294"/>
      <c r="AC284" s="294"/>
      <c r="AD284" s="294"/>
    </row>
    <row r="285" spans="3:30"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  <c r="Z285" s="294"/>
      <c r="AA285" s="294"/>
      <c r="AB285" s="294"/>
      <c r="AC285" s="294"/>
      <c r="AD285" s="294"/>
    </row>
    <row r="286" spans="3:30"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  <c r="Z286" s="294"/>
      <c r="AA286" s="294"/>
      <c r="AB286" s="294"/>
      <c r="AC286" s="294"/>
      <c r="AD286" s="294"/>
    </row>
    <row r="287" spans="3:30"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  <c r="Z287" s="294"/>
      <c r="AA287" s="294"/>
      <c r="AB287" s="294"/>
      <c r="AC287" s="294"/>
      <c r="AD287" s="294"/>
    </row>
    <row r="288" spans="3:30">
      <c r="C288" s="294"/>
      <c r="D288" s="294"/>
      <c r="E288" s="294"/>
      <c r="F288" s="294"/>
      <c r="G288" s="294"/>
      <c r="H288" s="294"/>
      <c r="I288" s="294"/>
      <c r="J288" s="294"/>
      <c r="K288" s="294"/>
      <c r="L288" s="294"/>
      <c r="M288" s="294"/>
      <c r="N288" s="294"/>
      <c r="O288" s="294"/>
      <c r="P288" s="294"/>
      <c r="Q288" s="294"/>
      <c r="R288" s="294"/>
      <c r="S288" s="294"/>
      <c r="T288" s="294"/>
      <c r="U288" s="294"/>
      <c r="V288" s="294"/>
      <c r="W288" s="294"/>
      <c r="X288" s="294"/>
      <c r="Y288" s="294"/>
      <c r="Z288" s="294"/>
      <c r="AA288" s="294"/>
      <c r="AB288" s="294"/>
      <c r="AC288" s="294"/>
      <c r="AD288" s="294"/>
    </row>
    <row r="289" spans="3:30">
      <c r="C289" s="294"/>
      <c r="D289" s="294"/>
      <c r="E289" s="294"/>
      <c r="F289" s="294"/>
      <c r="G289" s="294"/>
      <c r="H289" s="294"/>
      <c r="I289" s="294"/>
      <c r="J289" s="294"/>
      <c r="K289" s="294"/>
      <c r="L289" s="294"/>
      <c r="M289" s="294"/>
      <c r="N289" s="294"/>
      <c r="O289" s="294"/>
      <c r="P289" s="294"/>
      <c r="Q289" s="294"/>
      <c r="R289" s="294"/>
      <c r="S289" s="294"/>
      <c r="T289" s="294"/>
      <c r="U289" s="294"/>
      <c r="V289" s="294"/>
      <c r="W289" s="294"/>
      <c r="X289" s="294"/>
      <c r="Y289" s="294"/>
      <c r="Z289" s="294"/>
      <c r="AA289" s="294"/>
      <c r="AB289" s="294"/>
      <c r="AC289" s="294"/>
      <c r="AD289" s="294"/>
    </row>
    <row r="290" spans="3:30">
      <c r="C290" s="294"/>
      <c r="D290" s="294"/>
      <c r="E290" s="294"/>
      <c r="F290" s="294"/>
      <c r="G290" s="294"/>
      <c r="H290" s="294"/>
      <c r="I290" s="294"/>
      <c r="J290" s="294"/>
      <c r="K290" s="294"/>
      <c r="L290" s="294"/>
      <c r="M290" s="294"/>
      <c r="N290" s="294"/>
      <c r="O290" s="294"/>
      <c r="P290" s="294"/>
      <c r="Q290" s="294"/>
      <c r="R290" s="294"/>
      <c r="S290" s="294"/>
      <c r="T290" s="294"/>
      <c r="U290" s="294"/>
      <c r="V290" s="294"/>
      <c r="W290" s="294"/>
      <c r="X290" s="294"/>
      <c r="Y290" s="294"/>
      <c r="Z290" s="294"/>
      <c r="AA290" s="294"/>
      <c r="AB290" s="294"/>
      <c r="AC290" s="294"/>
      <c r="AD290" s="294"/>
    </row>
    <row r="291" spans="3:30"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  <c r="Z291" s="294"/>
      <c r="AA291" s="294"/>
      <c r="AB291" s="294"/>
      <c r="AC291" s="294"/>
      <c r="AD291" s="294"/>
    </row>
    <row r="292" spans="3:30"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  <c r="Z292" s="294"/>
      <c r="AA292" s="294"/>
      <c r="AB292" s="294"/>
      <c r="AC292" s="294"/>
      <c r="AD292" s="294"/>
    </row>
    <row r="293" spans="3:30"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  <c r="Z293" s="294"/>
      <c r="AA293" s="294"/>
      <c r="AB293" s="294"/>
      <c r="AC293" s="294"/>
      <c r="AD293" s="294"/>
    </row>
    <row r="294" spans="3:30"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  <c r="Z294" s="294"/>
      <c r="AA294" s="294"/>
      <c r="AB294" s="294"/>
      <c r="AC294" s="294"/>
      <c r="AD294" s="294"/>
    </row>
    <row r="295" spans="3:30"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  <c r="Z295" s="294"/>
      <c r="AA295" s="294"/>
      <c r="AB295" s="294"/>
      <c r="AC295" s="294"/>
      <c r="AD295" s="294"/>
    </row>
    <row r="296" spans="3:30"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  <c r="Z296" s="294"/>
      <c r="AA296" s="294"/>
      <c r="AB296" s="294"/>
      <c r="AC296" s="294"/>
      <c r="AD296" s="294"/>
    </row>
    <row r="297" spans="3:30"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  <c r="Z297" s="294"/>
      <c r="AA297" s="294"/>
      <c r="AB297" s="294"/>
      <c r="AC297" s="294"/>
      <c r="AD297" s="294"/>
    </row>
    <row r="298" spans="3:30"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  <c r="Z298" s="294"/>
      <c r="AA298" s="294"/>
      <c r="AB298" s="294"/>
      <c r="AC298" s="294"/>
      <c r="AD298" s="294"/>
    </row>
    <row r="299" spans="3:30"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  <c r="Z299" s="294"/>
      <c r="AA299" s="294"/>
      <c r="AB299" s="294"/>
      <c r="AC299" s="294"/>
      <c r="AD299" s="294"/>
    </row>
    <row r="300" spans="3:30"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  <c r="Z300" s="294"/>
      <c r="AA300" s="294"/>
      <c r="AB300" s="294"/>
      <c r="AC300" s="294"/>
      <c r="AD300" s="294"/>
    </row>
    <row r="301" spans="3:30">
      <c r="C301" s="294"/>
      <c r="D301" s="294"/>
      <c r="E301" s="294"/>
      <c r="F301" s="294"/>
      <c r="G301" s="294"/>
      <c r="H301" s="294"/>
      <c r="I301" s="294"/>
      <c r="J301" s="294"/>
      <c r="K301" s="294"/>
      <c r="L301" s="294"/>
      <c r="M301" s="294"/>
      <c r="N301" s="294"/>
      <c r="O301" s="294"/>
      <c r="P301" s="294"/>
      <c r="Q301" s="294"/>
      <c r="R301" s="294"/>
      <c r="S301" s="294"/>
      <c r="T301" s="294"/>
      <c r="U301" s="294"/>
      <c r="V301" s="294"/>
      <c r="W301" s="294"/>
      <c r="X301" s="294"/>
      <c r="Y301" s="294"/>
      <c r="Z301" s="294"/>
      <c r="AA301" s="294"/>
      <c r="AB301" s="294"/>
      <c r="AC301" s="294"/>
      <c r="AD301" s="294"/>
    </row>
    <row r="302" spans="3:30">
      <c r="C302" s="294"/>
      <c r="D302" s="294"/>
      <c r="E302" s="294"/>
      <c r="F302" s="294"/>
      <c r="G302" s="294"/>
      <c r="H302" s="294"/>
      <c r="I302" s="294"/>
      <c r="J302" s="294"/>
      <c r="K302" s="294"/>
      <c r="L302" s="294"/>
      <c r="M302" s="294"/>
      <c r="N302" s="294"/>
      <c r="O302" s="294"/>
      <c r="P302" s="294"/>
      <c r="Q302" s="294"/>
      <c r="R302" s="294"/>
      <c r="S302" s="294"/>
      <c r="T302" s="294"/>
      <c r="U302" s="294"/>
      <c r="V302" s="294"/>
      <c r="W302" s="294"/>
      <c r="X302" s="294"/>
      <c r="Y302" s="294"/>
      <c r="Z302" s="294"/>
      <c r="AA302" s="294"/>
      <c r="AB302" s="294"/>
      <c r="AC302" s="294"/>
      <c r="AD302" s="294"/>
    </row>
    <row r="303" spans="3:30">
      <c r="C303" s="294"/>
      <c r="D303" s="294"/>
      <c r="E303" s="294"/>
      <c r="F303" s="294"/>
      <c r="G303" s="294"/>
      <c r="H303" s="294"/>
      <c r="I303" s="294"/>
      <c r="J303" s="294"/>
      <c r="K303" s="294"/>
      <c r="L303" s="294"/>
      <c r="M303" s="294"/>
      <c r="N303" s="294"/>
      <c r="O303" s="294"/>
      <c r="P303" s="294"/>
      <c r="Q303" s="294"/>
      <c r="R303" s="294"/>
      <c r="S303" s="294"/>
      <c r="T303" s="294"/>
      <c r="U303" s="294"/>
      <c r="V303" s="294"/>
      <c r="W303" s="294"/>
      <c r="X303" s="294"/>
      <c r="Y303" s="294"/>
      <c r="Z303" s="294"/>
      <c r="AA303" s="294"/>
      <c r="AB303" s="294"/>
      <c r="AC303" s="294"/>
      <c r="AD303" s="294"/>
    </row>
    <row r="304" spans="3:30"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  <c r="Z304" s="294"/>
      <c r="AA304" s="294"/>
      <c r="AB304" s="294"/>
      <c r="AC304" s="294"/>
      <c r="AD304" s="294"/>
    </row>
    <row r="305" spans="3:30"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</row>
    <row r="306" spans="3:30"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  <c r="Z306" s="294"/>
      <c r="AA306" s="294"/>
      <c r="AB306" s="294"/>
      <c r="AC306" s="294"/>
      <c r="AD306" s="294"/>
    </row>
    <row r="307" spans="3:30"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  <c r="Z307" s="294"/>
      <c r="AA307" s="294"/>
      <c r="AB307" s="294"/>
      <c r="AC307" s="294"/>
      <c r="AD307" s="294"/>
    </row>
    <row r="308" spans="3:30"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  <c r="Z308" s="294"/>
      <c r="AA308" s="294"/>
      <c r="AB308" s="294"/>
      <c r="AC308" s="294"/>
      <c r="AD308" s="294"/>
    </row>
    <row r="309" spans="3:30"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  <c r="Z309" s="294"/>
      <c r="AA309" s="294"/>
      <c r="AB309" s="294"/>
      <c r="AC309" s="294"/>
      <c r="AD309" s="294"/>
    </row>
    <row r="310" spans="3:30"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  <c r="Z310" s="294"/>
      <c r="AA310" s="294"/>
      <c r="AB310" s="294"/>
      <c r="AC310" s="294"/>
      <c r="AD310" s="294"/>
    </row>
    <row r="311" spans="3:30"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  <c r="Z311" s="294"/>
      <c r="AA311" s="294"/>
      <c r="AB311" s="294"/>
      <c r="AC311" s="294"/>
      <c r="AD311" s="294"/>
    </row>
    <row r="312" spans="3:30"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  <c r="Z312" s="294"/>
      <c r="AA312" s="294"/>
      <c r="AB312" s="294"/>
      <c r="AC312" s="294"/>
      <c r="AD312" s="294"/>
    </row>
    <row r="313" spans="3:30"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  <c r="Z313" s="294"/>
      <c r="AA313" s="294"/>
      <c r="AB313" s="294"/>
      <c r="AC313" s="294"/>
      <c r="AD313" s="294"/>
    </row>
    <row r="314" spans="3:30">
      <c r="C314" s="294"/>
      <c r="D314" s="294"/>
      <c r="E314" s="294"/>
      <c r="F314" s="294"/>
      <c r="G314" s="294"/>
      <c r="H314" s="294"/>
      <c r="I314" s="294"/>
      <c r="J314" s="294"/>
      <c r="K314" s="294"/>
      <c r="L314" s="294"/>
      <c r="M314" s="294"/>
      <c r="N314" s="294"/>
      <c r="O314" s="294"/>
      <c r="P314" s="294"/>
      <c r="Q314" s="294"/>
      <c r="R314" s="294"/>
      <c r="S314" s="294"/>
      <c r="T314" s="294"/>
      <c r="U314" s="294"/>
      <c r="V314" s="294"/>
      <c r="W314" s="294"/>
      <c r="X314" s="294"/>
      <c r="Y314" s="294"/>
      <c r="Z314" s="294"/>
      <c r="AA314" s="294"/>
      <c r="AB314" s="294"/>
      <c r="AC314" s="294"/>
      <c r="AD314" s="294"/>
    </row>
    <row r="315" spans="3:30">
      <c r="C315" s="294"/>
      <c r="D315" s="294"/>
      <c r="E315" s="294"/>
      <c r="F315" s="294"/>
      <c r="G315" s="294"/>
      <c r="H315" s="294"/>
      <c r="I315" s="294"/>
      <c r="J315" s="294"/>
      <c r="K315" s="294"/>
      <c r="L315" s="294"/>
      <c r="M315" s="294"/>
      <c r="N315" s="294"/>
      <c r="O315" s="294"/>
      <c r="P315" s="294"/>
      <c r="Q315" s="294"/>
      <c r="R315" s="294"/>
      <c r="S315" s="294"/>
      <c r="T315" s="294"/>
      <c r="U315" s="294"/>
      <c r="V315" s="294"/>
      <c r="W315" s="294"/>
      <c r="X315" s="294"/>
      <c r="Y315" s="294"/>
      <c r="Z315" s="294"/>
      <c r="AA315" s="294"/>
      <c r="AB315" s="294"/>
      <c r="AC315" s="294"/>
      <c r="AD315" s="294"/>
    </row>
    <row r="316" spans="3:30">
      <c r="C316" s="294"/>
      <c r="D316" s="294"/>
      <c r="E316" s="294"/>
      <c r="F316" s="294"/>
      <c r="G316" s="294"/>
      <c r="H316" s="294"/>
      <c r="I316" s="294"/>
      <c r="J316" s="294"/>
      <c r="K316" s="294"/>
      <c r="L316" s="294"/>
      <c r="M316" s="294"/>
      <c r="N316" s="294"/>
      <c r="O316" s="294"/>
      <c r="P316" s="294"/>
      <c r="Q316" s="294"/>
      <c r="R316" s="294"/>
      <c r="S316" s="294"/>
      <c r="T316" s="294"/>
      <c r="U316" s="294"/>
      <c r="V316" s="294"/>
      <c r="W316" s="294"/>
      <c r="X316" s="294"/>
      <c r="Y316" s="294"/>
      <c r="Z316" s="294"/>
      <c r="AA316" s="294"/>
      <c r="AB316" s="294"/>
      <c r="AC316" s="294"/>
      <c r="AD316" s="294"/>
    </row>
    <row r="317" spans="3:30"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  <c r="Z317" s="294"/>
      <c r="AA317" s="294"/>
      <c r="AB317" s="294"/>
      <c r="AC317" s="294"/>
      <c r="AD317" s="294"/>
    </row>
    <row r="318" spans="3:30"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  <c r="Z318" s="294"/>
      <c r="AA318" s="294"/>
      <c r="AB318" s="294"/>
      <c r="AC318" s="294"/>
      <c r="AD318" s="294"/>
    </row>
    <row r="319" spans="3:30"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  <c r="Z319" s="294"/>
      <c r="AA319" s="294"/>
      <c r="AB319" s="294"/>
      <c r="AC319" s="294"/>
      <c r="AD319" s="294"/>
    </row>
    <row r="320" spans="3:30"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  <c r="Z320" s="294"/>
      <c r="AA320" s="294"/>
      <c r="AB320" s="294"/>
      <c r="AC320" s="294"/>
      <c r="AD320" s="294"/>
    </row>
    <row r="321" spans="3:30"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  <c r="Z321" s="294"/>
      <c r="AA321" s="294"/>
      <c r="AB321" s="294"/>
      <c r="AC321" s="294"/>
      <c r="AD321" s="294"/>
    </row>
    <row r="322" spans="3:30"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  <c r="Z322" s="294"/>
      <c r="AA322" s="294"/>
      <c r="AB322" s="294"/>
      <c r="AC322" s="294"/>
      <c r="AD322" s="294"/>
    </row>
    <row r="323" spans="3:30"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  <c r="Z323" s="294"/>
      <c r="AA323" s="294"/>
      <c r="AB323" s="294"/>
      <c r="AC323" s="294"/>
      <c r="AD323" s="294"/>
    </row>
    <row r="324" spans="3:30"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  <c r="Z324" s="294"/>
      <c r="AA324" s="294"/>
      <c r="AB324" s="294"/>
      <c r="AC324" s="294"/>
      <c r="AD324" s="294"/>
    </row>
    <row r="325" spans="3:30"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  <c r="Z325" s="294"/>
      <c r="AA325" s="294"/>
      <c r="AB325" s="294"/>
      <c r="AC325" s="294"/>
      <c r="AD325" s="294"/>
    </row>
    <row r="326" spans="3:30"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  <c r="Z326" s="294"/>
      <c r="AA326" s="294"/>
      <c r="AB326" s="294"/>
      <c r="AC326" s="294"/>
      <c r="AD326" s="294"/>
    </row>
    <row r="327" spans="3:30">
      <c r="C327" s="294"/>
      <c r="D327" s="294"/>
      <c r="E327" s="294"/>
      <c r="F327" s="294"/>
      <c r="G327" s="294"/>
      <c r="H327" s="294"/>
      <c r="I327" s="294"/>
      <c r="J327" s="294"/>
      <c r="K327" s="294"/>
      <c r="L327" s="294"/>
      <c r="M327" s="294"/>
      <c r="N327" s="294"/>
      <c r="O327" s="294"/>
      <c r="P327" s="294"/>
      <c r="Q327" s="294"/>
      <c r="R327" s="294"/>
      <c r="S327" s="294"/>
      <c r="T327" s="294"/>
      <c r="U327" s="294"/>
      <c r="V327" s="294"/>
      <c r="W327" s="294"/>
      <c r="X327" s="294"/>
      <c r="Y327" s="294"/>
      <c r="Z327" s="294"/>
      <c r="AA327" s="294"/>
      <c r="AB327" s="294"/>
      <c r="AC327" s="294"/>
      <c r="AD327" s="294"/>
    </row>
    <row r="328" spans="3:30">
      <c r="C328" s="294"/>
      <c r="D328" s="294"/>
      <c r="E328" s="294"/>
      <c r="F328" s="294"/>
      <c r="G328" s="294"/>
      <c r="H328" s="294"/>
      <c r="I328" s="294"/>
      <c r="J328" s="294"/>
      <c r="K328" s="294"/>
      <c r="L328" s="294"/>
      <c r="M328" s="294"/>
      <c r="N328" s="294"/>
      <c r="O328" s="294"/>
      <c r="P328" s="294"/>
      <c r="Q328" s="294"/>
      <c r="R328" s="294"/>
      <c r="S328" s="294"/>
      <c r="T328" s="294"/>
      <c r="U328" s="294"/>
      <c r="V328" s="294"/>
      <c r="W328" s="294"/>
      <c r="X328" s="294"/>
      <c r="Y328" s="294"/>
      <c r="Z328" s="294"/>
      <c r="AA328" s="294"/>
      <c r="AB328" s="294"/>
      <c r="AC328" s="294"/>
      <c r="AD328" s="294"/>
    </row>
    <row r="329" spans="3:30">
      <c r="C329" s="294"/>
      <c r="D329" s="294"/>
      <c r="E329" s="294"/>
      <c r="F329" s="294"/>
      <c r="G329" s="294"/>
      <c r="H329" s="294"/>
      <c r="I329" s="294"/>
      <c r="J329" s="294"/>
      <c r="K329" s="294"/>
      <c r="L329" s="294"/>
      <c r="M329" s="294"/>
      <c r="N329" s="294"/>
      <c r="O329" s="294"/>
      <c r="P329" s="294"/>
      <c r="Q329" s="294"/>
      <c r="R329" s="294"/>
      <c r="S329" s="294"/>
      <c r="T329" s="294"/>
      <c r="U329" s="294"/>
      <c r="V329" s="294"/>
      <c r="W329" s="294"/>
      <c r="X329" s="294"/>
      <c r="Y329" s="294"/>
      <c r="Z329" s="294"/>
      <c r="AA329" s="294"/>
      <c r="AB329" s="294"/>
      <c r="AC329" s="294"/>
      <c r="AD329" s="294"/>
    </row>
    <row r="330" spans="3:30"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  <c r="Z330" s="294"/>
      <c r="AA330" s="294"/>
      <c r="AB330" s="294"/>
      <c r="AC330" s="294"/>
      <c r="AD330" s="294"/>
    </row>
    <row r="331" spans="3:30"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  <c r="Z331" s="294"/>
      <c r="AA331" s="294"/>
      <c r="AB331" s="294"/>
      <c r="AC331" s="294"/>
      <c r="AD331" s="294"/>
    </row>
    <row r="332" spans="3:30"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  <c r="Z332" s="294"/>
      <c r="AA332" s="294"/>
      <c r="AB332" s="294"/>
      <c r="AC332" s="294"/>
      <c r="AD332" s="294"/>
    </row>
    <row r="333" spans="3:30"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  <c r="Z333" s="294"/>
      <c r="AA333" s="294"/>
      <c r="AB333" s="294"/>
      <c r="AC333" s="294"/>
      <c r="AD333" s="294"/>
    </row>
    <row r="334" spans="3:30"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  <c r="Z334" s="294"/>
      <c r="AA334" s="294"/>
      <c r="AB334" s="294"/>
      <c r="AC334" s="294"/>
      <c r="AD334" s="294"/>
    </row>
    <row r="335" spans="3:30"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  <c r="Z335" s="294"/>
      <c r="AA335" s="294"/>
      <c r="AB335" s="294"/>
      <c r="AC335" s="294"/>
      <c r="AD335" s="294"/>
    </row>
    <row r="336" spans="3:30"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  <c r="Z336" s="294"/>
      <c r="AA336" s="294"/>
      <c r="AB336" s="294"/>
      <c r="AC336" s="294"/>
      <c r="AD336" s="294"/>
    </row>
    <row r="337" spans="3:30"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  <c r="Z337" s="294"/>
      <c r="AA337" s="294"/>
      <c r="AB337" s="294"/>
      <c r="AC337" s="294"/>
      <c r="AD337" s="294"/>
    </row>
    <row r="338" spans="3:30"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  <c r="Z338" s="294"/>
      <c r="AA338" s="294"/>
      <c r="AB338" s="294"/>
      <c r="AC338" s="294"/>
      <c r="AD338" s="294"/>
    </row>
    <row r="339" spans="3:30"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  <c r="Z339" s="294"/>
      <c r="AA339" s="294"/>
      <c r="AB339" s="294"/>
      <c r="AC339" s="294"/>
      <c r="AD339" s="294"/>
    </row>
    <row r="340" spans="3:30">
      <c r="C340" s="294"/>
      <c r="D340" s="294"/>
      <c r="E340" s="294"/>
      <c r="F340" s="294"/>
      <c r="G340" s="294"/>
      <c r="H340" s="294"/>
      <c r="I340" s="294"/>
      <c r="J340" s="294"/>
      <c r="K340" s="294"/>
      <c r="L340" s="294"/>
      <c r="M340" s="294"/>
      <c r="N340" s="294"/>
      <c r="O340" s="294"/>
      <c r="P340" s="294"/>
      <c r="Q340" s="294"/>
      <c r="R340" s="294"/>
      <c r="S340" s="294"/>
      <c r="T340" s="294"/>
      <c r="U340" s="294"/>
      <c r="V340" s="294"/>
      <c r="W340" s="294"/>
      <c r="X340" s="294"/>
      <c r="Y340" s="294"/>
      <c r="Z340" s="294"/>
      <c r="AA340" s="294"/>
      <c r="AB340" s="294"/>
      <c r="AC340" s="294"/>
      <c r="AD340" s="294"/>
    </row>
    <row r="341" spans="3:30">
      <c r="C341" s="294"/>
      <c r="D341" s="294"/>
      <c r="E341" s="294"/>
      <c r="F341" s="294"/>
      <c r="G341" s="294"/>
      <c r="H341" s="294"/>
      <c r="I341" s="294"/>
      <c r="J341" s="294"/>
      <c r="K341" s="294"/>
      <c r="L341" s="294"/>
      <c r="M341" s="294"/>
      <c r="N341" s="294"/>
      <c r="O341" s="294"/>
      <c r="P341" s="294"/>
      <c r="Q341" s="294"/>
      <c r="R341" s="294"/>
      <c r="S341" s="294"/>
      <c r="T341" s="294"/>
      <c r="U341" s="294"/>
      <c r="V341" s="294"/>
      <c r="W341" s="294"/>
      <c r="X341" s="294"/>
      <c r="Y341" s="294"/>
      <c r="Z341" s="294"/>
      <c r="AA341" s="294"/>
      <c r="AB341" s="294"/>
      <c r="AC341" s="294"/>
      <c r="AD341" s="294"/>
    </row>
    <row r="342" spans="3:30">
      <c r="C342" s="294"/>
      <c r="D342" s="294"/>
      <c r="E342" s="294"/>
      <c r="F342" s="294"/>
      <c r="G342" s="294"/>
      <c r="H342" s="294"/>
      <c r="I342" s="294"/>
      <c r="J342" s="294"/>
      <c r="K342" s="294"/>
      <c r="L342" s="294"/>
      <c r="M342" s="294"/>
      <c r="N342" s="294"/>
      <c r="O342" s="294"/>
      <c r="P342" s="294"/>
      <c r="Q342" s="294"/>
      <c r="R342" s="294"/>
      <c r="S342" s="294"/>
      <c r="T342" s="294"/>
      <c r="U342" s="294"/>
      <c r="V342" s="294"/>
      <c r="W342" s="294"/>
      <c r="X342" s="294"/>
      <c r="Y342" s="294"/>
      <c r="Z342" s="294"/>
      <c r="AA342" s="294"/>
      <c r="AB342" s="294"/>
      <c r="AC342" s="294"/>
      <c r="AD342" s="294"/>
    </row>
    <row r="343" spans="3:30"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  <c r="Z343" s="294"/>
      <c r="AA343" s="294"/>
      <c r="AB343" s="294"/>
      <c r="AC343" s="294"/>
      <c r="AD343" s="294"/>
    </row>
    <row r="344" spans="3:30"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  <c r="Z344" s="294"/>
      <c r="AA344" s="294"/>
      <c r="AB344" s="294"/>
      <c r="AC344" s="294"/>
      <c r="AD344" s="294"/>
    </row>
    <row r="345" spans="3:30"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  <c r="Z345" s="294"/>
      <c r="AA345" s="294"/>
      <c r="AB345" s="294"/>
      <c r="AC345" s="294"/>
      <c r="AD345" s="294"/>
    </row>
    <row r="346" spans="3:30"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  <c r="Z346" s="294"/>
      <c r="AA346" s="294"/>
      <c r="AB346" s="294"/>
      <c r="AC346" s="294"/>
      <c r="AD346" s="294"/>
    </row>
    <row r="347" spans="3:30"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  <c r="Z347" s="294"/>
      <c r="AA347" s="294"/>
      <c r="AB347" s="294"/>
      <c r="AC347" s="294"/>
      <c r="AD347" s="294"/>
    </row>
    <row r="348" spans="3:30"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  <c r="Z348" s="294"/>
      <c r="AA348" s="294"/>
      <c r="AB348" s="294"/>
      <c r="AC348" s="294"/>
      <c r="AD348" s="294"/>
    </row>
    <row r="349" spans="3:30"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  <c r="Z349" s="294"/>
      <c r="AA349" s="294"/>
      <c r="AB349" s="294"/>
      <c r="AC349" s="294"/>
      <c r="AD349" s="294"/>
    </row>
    <row r="350" spans="3:30"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  <c r="Z350" s="294"/>
      <c r="AA350" s="294"/>
      <c r="AB350" s="294"/>
      <c r="AC350" s="294"/>
      <c r="AD350" s="294"/>
    </row>
    <row r="351" spans="3:30"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  <c r="Z351" s="294"/>
      <c r="AA351" s="294"/>
      <c r="AB351" s="294"/>
      <c r="AC351" s="294"/>
      <c r="AD351" s="294"/>
    </row>
    <row r="352" spans="3:30"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  <c r="Z352" s="294"/>
      <c r="AA352" s="294"/>
      <c r="AB352" s="294"/>
      <c r="AC352" s="294"/>
      <c r="AD352" s="294"/>
    </row>
    <row r="353" spans="3:30">
      <c r="C353" s="294"/>
      <c r="D353" s="294"/>
      <c r="E353" s="294"/>
      <c r="F353" s="294"/>
      <c r="G353" s="294"/>
      <c r="H353" s="294"/>
      <c r="I353" s="294"/>
      <c r="J353" s="294"/>
      <c r="K353" s="294"/>
      <c r="L353" s="294"/>
      <c r="M353" s="294"/>
      <c r="N353" s="294"/>
      <c r="O353" s="294"/>
      <c r="P353" s="294"/>
      <c r="Q353" s="294"/>
      <c r="R353" s="294"/>
      <c r="S353" s="294"/>
      <c r="T353" s="294"/>
      <c r="U353" s="294"/>
      <c r="V353" s="294"/>
      <c r="W353" s="294"/>
      <c r="X353" s="294"/>
      <c r="Y353" s="294"/>
      <c r="Z353" s="294"/>
      <c r="AA353" s="294"/>
      <c r="AB353" s="294"/>
      <c r="AC353" s="294"/>
      <c r="AD353" s="294"/>
    </row>
    <row r="354" spans="3:30">
      <c r="C354" s="294"/>
      <c r="D354" s="294"/>
      <c r="E354" s="294"/>
      <c r="F354" s="294"/>
      <c r="G354" s="294"/>
      <c r="H354" s="294"/>
      <c r="I354" s="294"/>
      <c r="J354" s="294"/>
      <c r="K354" s="294"/>
      <c r="L354" s="294"/>
      <c r="M354" s="294"/>
      <c r="N354" s="294"/>
      <c r="O354" s="294"/>
      <c r="P354" s="294"/>
      <c r="Q354" s="294"/>
      <c r="R354" s="294"/>
      <c r="S354" s="294"/>
      <c r="T354" s="294"/>
      <c r="U354" s="294"/>
      <c r="V354" s="294"/>
      <c r="W354" s="294"/>
      <c r="X354" s="294"/>
      <c r="Y354" s="294"/>
      <c r="Z354" s="294"/>
      <c r="AA354" s="294"/>
      <c r="AB354" s="294"/>
      <c r="AC354" s="294"/>
      <c r="AD354" s="294"/>
    </row>
    <row r="355" spans="3:30">
      <c r="C355" s="294"/>
      <c r="D355" s="294"/>
      <c r="E355" s="294"/>
      <c r="F355" s="294"/>
      <c r="G355" s="294"/>
      <c r="H355" s="294"/>
      <c r="I355" s="294"/>
      <c r="J355" s="294"/>
      <c r="K355" s="294"/>
      <c r="L355" s="294"/>
      <c r="M355" s="294"/>
      <c r="N355" s="294"/>
      <c r="O355" s="294"/>
      <c r="P355" s="294"/>
      <c r="Q355" s="294"/>
      <c r="R355" s="294"/>
      <c r="S355" s="294"/>
      <c r="T355" s="294"/>
      <c r="U355" s="294"/>
      <c r="V355" s="294"/>
      <c r="W355" s="294"/>
      <c r="X355" s="294"/>
      <c r="Y355" s="294"/>
      <c r="Z355" s="294"/>
      <c r="AA355" s="294"/>
      <c r="AB355" s="294"/>
      <c r="AC355" s="294"/>
      <c r="AD355" s="294"/>
    </row>
    <row r="356" spans="3:30"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  <c r="Z356" s="294"/>
      <c r="AA356" s="294"/>
      <c r="AB356" s="294"/>
      <c r="AC356" s="294"/>
      <c r="AD356" s="294"/>
    </row>
    <row r="357" spans="3:30"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  <c r="Z357" s="294"/>
      <c r="AA357" s="294"/>
      <c r="AB357" s="294"/>
      <c r="AC357" s="294"/>
      <c r="AD357" s="294"/>
    </row>
    <row r="358" spans="3:30"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  <c r="Z358" s="294"/>
      <c r="AA358" s="294"/>
      <c r="AB358" s="294"/>
      <c r="AC358" s="294"/>
      <c r="AD358" s="294"/>
    </row>
    <row r="359" spans="3:30"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  <c r="Z359" s="294"/>
      <c r="AA359" s="294"/>
      <c r="AB359" s="294"/>
      <c r="AC359" s="294"/>
      <c r="AD359" s="294"/>
    </row>
    <row r="360" spans="3:30"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  <c r="Z360" s="294"/>
      <c r="AA360" s="294"/>
      <c r="AB360" s="294"/>
      <c r="AC360" s="294"/>
      <c r="AD360" s="294"/>
    </row>
    <row r="361" spans="3:30"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  <c r="Z361" s="294"/>
      <c r="AA361" s="294"/>
      <c r="AB361" s="294"/>
      <c r="AC361" s="294"/>
      <c r="AD361" s="294"/>
    </row>
    <row r="362" spans="3:30"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  <c r="Z362" s="294"/>
      <c r="AA362" s="294"/>
      <c r="AB362" s="294"/>
      <c r="AC362" s="294"/>
      <c r="AD362" s="294"/>
    </row>
    <row r="363" spans="3:30"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  <c r="Z363" s="294"/>
      <c r="AA363" s="294"/>
      <c r="AB363" s="294"/>
      <c r="AC363" s="294"/>
      <c r="AD363" s="294"/>
    </row>
    <row r="364" spans="3:30"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  <c r="Z364" s="294"/>
      <c r="AA364" s="294"/>
      <c r="AB364" s="294"/>
      <c r="AC364" s="294"/>
      <c r="AD364" s="294"/>
    </row>
    <row r="365" spans="3:30"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  <c r="Z365" s="294"/>
      <c r="AA365" s="294"/>
      <c r="AB365" s="294"/>
      <c r="AC365" s="294"/>
      <c r="AD365" s="294"/>
    </row>
    <row r="366" spans="3:30">
      <c r="C366" s="294"/>
      <c r="D366" s="294"/>
      <c r="E366" s="294"/>
      <c r="F366" s="294"/>
      <c r="G366" s="294"/>
      <c r="H366" s="294"/>
      <c r="I366" s="294"/>
      <c r="J366" s="294"/>
      <c r="K366" s="294"/>
      <c r="L366" s="294"/>
      <c r="M366" s="294"/>
      <c r="N366" s="294"/>
      <c r="O366" s="294"/>
      <c r="P366" s="294"/>
      <c r="Q366" s="294"/>
      <c r="R366" s="294"/>
      <c r="S366" s="294"/>
      <c r="T366" s="294"/>
      <c r="U366" s="294"/>
      <c r="V366" s="294"/>
      <c r="W366" s="294"/>
      <c r="X366" s="294"/>
      <c r="Y366" s="294"/>
      <c r="Z366" s="294"/>
      <c r="AA366" s="294"/>
      <c r="AB366" s="294"/>
      <c r="AC366" s="294"/>
      <c r="AD366" s="294"/>
    </row>
    <row r="367" spans="3:30">
      <c r="C367" s="294"/>
      <c r="D367" s="294"/>
      <c r="E367" s="294"/>
      <c r="F367" s="294"/>
      <c r="G367" s="294"/>
      <c r="H367" s="294"/>
      <c r="I367" s="294"/>
      <c r="J367" s="294"/>
      <c r="K367" s="294"/>
      <c r="L367" s="294"/>
      <c r="M367" s="294"/>
      <c r="N367" s="294"/>
      <c r="O367" s="294"/>
      <c r="P367" s="294"/>
      <c r="Q367" s="294"/>
      <c r="R367" s="294"/>
      <c r="S367" s="294"/>
      <c r="T367" s="294"/>
      <c r="U367" s="294"/>
      <c r="V367" s="294"/>
      <c r="W367" s="294"/>
      <c r="X367" s="294"/>
      <c r="Y367" s="294"/>
      <c r="Z367" s="294"/>
      <c r="AA367" s="294"/>
      <c r="AB367" s="294"/>
      <c r="AC367" s="294"/>
      <c r="AD367" s="294"/>
    </row>
    <row r="368" spans="3:30">
      <c r="C368" s="294"/>
      <c r="D368" s="294"/>
      <c r="E368" s="294"/>
      <c r="F368" s="294"/>
      <c r="G368" s="294"/>
      <c r="H368" s="294"/>
      <c r="I368" s="294"/>
      <c r="J368" s="294"/>
      <c r="K368" s="294"/>
      <c r="L368" s="294"/>
      <c r="M368" s="294"/>
      <c r="N368" s="294"/>
      <c r="O368" s="294"/>
      <c r="P368" s="294"/>
      <c r="Q368" s="294"/>
      <c r="R368" s="294"/>
      <c r="S368" s="294"/>
      <c r="T368" s="294"/>
      <c r="U368" s="294"/>
      <c r="V368" s="294"/>
      <c r="W368" s="294"/>
      <c r="X368" s="294"/>
      <c r="Y368" s="294"/>
      <c r="Z368" s="294"/>
      <c r="AA368" s="294"/>
      <c r="AB368" s="294"/>
      <c r="AC368" s="294"/>
      <c r="AD368" s="294"/>
    </row>
    <row r="369" spans="3:30"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  <c r="Z369" s="294"/>
      <c r="AA369" s="294"/>
      <c r="AB369" s="294"/>
      <c r="AC369" s="294"/>
      <c r="AD369" s="294"/>
    </row>
    <row r="370" spans="3:30"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  <c r="Z370" s="294"/>
      <c r="AA370" s="294"/>
      <c r="AB370" s="294"/>
      <c r="AC370" s="294"/>
      <c r="AD370" s="294"/>
    </row>
    <row r="371" spans="3:30"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  <c r="Z371" s="294"/>
      <c r="AA371" s="294"/>
      <c r="AB371" s="294"/>
      <c r="AC371" s="294"/>
      <c r="AD371" s="294"/>
    </row>
    <row r="372" spans="3:30"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  <c r="Z372" s="294"/>
      <c r="AA372" s="294"/>
      <c r="AB372" s="294"/>
      <c r="AC372" s="294"/>
      <c r="AD372" s="294"/>
    </row>
    <row r="373" spans="3:30"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  <c r="Z373" s="294"/>
      <c r="AA373" s="294"/>
      <c r="AB373" s="294"/>
      <c r="AC373" s="294"/>
      <c r="AD373" s="294"/>
    </row>
    <row r="374" spans="3:30"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  <c r="Z374" s="294"/>
      <c r="AA374" s="294"/>
      <c r="AB374" s="294"/>
      <c r="AC374" s="294"/>
      <c r="AD374" s="294"/>
    </row>
    <row r="375" spans="3:30"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  <c r="Z375" s="294"/>
      <c r="AA375" s="294"/>
      <c r="AB375" s="294"/>
      <c r="AC375" s="294"/>
      <c r="AD375" s="294"/>
    </row>
    <row r="376" spans="3:30"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  <c r="Z376" s="294"/>
      <c r="AA376" s="294"/>
      <c r="AB376" s="294"/>
      <c r="AC376" s="294"/>
      <c r="AD376" s="294"/>
    </row>
    <row r="377" spans="3:30"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  <c r="Z377" s="294"/>
      <c r="AA377" s="294"/>
      <c r="AB377" s="294"/>
      <c r="AC377" s="294"/>
      <c r="AD377" s="294"/>
    </row>
    <row r="378" spans="3:30"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  <c r="Z378" s="294"/>
      <c r="AA378" s="294"/>
      <c r="AB378" s="294"/>
      <c r="AC378" s="294"/>
      <c r="AD378" s="294"/>
    </row>
    <row r="379" spans="3:30">
      <c r="C379" s="294"/>
      <c r="D379" s="294"/>
      <c r="E379" s="294"/>
      <c r="F379" s="294"/>
      <c r="G379" s="294"/>
      <c r="H379" s="294"/>
      <c r="I379" s="294"/>
      <c r="J379" s="294"/>
      <c r="K379" s="294"/>
      <c r="L379" s="294"/>
      <c r="M379" s="294"/>
      <c r="N379" s="294"/>
      <c r="O379" s="294"/>
      <c r="P379" s="294"/>
      <c r="Q379" s="294"/>
      <c r="R379" s="294"/>
      <c r="S379" s="294"/>
      <c r="T379" s="294"/>
      <c r="U379" s="294"/>
      <c r="V379" s="294"/>
      <c r="W379" s="294"/>
      <c r="X379" s="294"/>
      <c r="Y379" s="294"/>
      <c r="Z379" s="294"/>
      <c r="AA379" s="294"/>
      <c r="AB379" s="294"/>
      <c r="AC379" s="294"/>
      <c r="AD379" s="294"/>
    </row>
    <row r="380" spans="3:30">
      <c r="C380" s="294"/>
      <c r="D380" s="294"/>
      <c r="E380" s="294"/>
      <c r="F380" s="294"/>
      <c r="G380" s="294"/>
      <c r="H380" s="294"/>
      <c r="I380" s="294"/>
      <c r="J380" s="294"/>
      <c r="K380" s="294"/>
      <c r="L380" s="294"/>
      <c r="M380" s="294"/>
      <c r="N380" s="294"/>
      <c r="O380" s="294"/>
      <c r="P380" s="294"/>
      <c r="Q380" s="294"/>
      <c r="R380" s="294"/>
      <c r="S380" s="294"/>
      <c r="T380" s="294"/>
      <c r="U380" s="294"/>
      <c r="V380" s="294"/>
      <c r="W380" s="294"/>
      <c r="X380" s="294"/>
      <c r="Y380" s="294"/>
      <c r="Z380" s="294"/>
      <c r="AA380" s="294"/>
      <c r="AB380" s="294"/>
      <c r="AC380" s="294"/>
      <c r="AD380" s="294"/>
    </row>
    <row r="381" spans="3:30">
      <c r="C381" s="294"/>
      <c r="D381" s="294"/>
      <c r="E381" s="294"/>
      <c r="F381" s="294"/>
      <c r="G381" s="294"/>
      <c r="H381" s="294"/>
      <c r="I381" s="294"/>
      <c r="J381" s="294"/>
      <c r="K381" s="294"/>
      <c r="L381" s="294"/>
      <c r="M381" s="294"/>
      <c r="N381" s="294"/>
      <c r="O381" s="294"/>
      <c r="P381" s="294"/>
      <c r="Q381" s="294"/>
      <c r="R381" s="294"/>
      <c r="S381" s="294"/>
      <c r="T381" s="294"/>
      <c r="U381" s="294"/>
      <c r="V381" s="294"/>
      <c r="W381" s="294"/>
      <c r="X381" s="294"/>
      <c r="Y381" s="294"/>
      <c r="Z381" s="294"/>
      <c r="AA381" s="294"/>
      <c r="AB381" s="294"/>
      <c r="AC381" s="294"/>
      <c r="AD381" s="294"/>
    </row>
    <row r="382" spans="3:30"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  <c r="Z382" s="294"/>
      <c r="AA382" s="294"/>
      <c r="AB382" s="294"/>
      <c r="AC382" s="294"/>
      <c r="AD382" s="294"/>
    </row>
    <row r="383" spans="3:30"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  <c r="Z383" s="294"/>
      <c r="AA383" s="294"/>
      <c r="AB383" s="294"/>
      <c r="AC383" s="294"/>
      <c r="AD383" s="294"/>
    </row>
    <row r="384" spans="3:30"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  <c r="Z384" s="294"/>
      <c r="AA384" s="294"/>
      <c r="AB384" s="294"/>
      <c r="AC384" s="294"/>
      <c r="AD384" s="294"/>
    </row>
  </sheetData>
  <pageMargins left="0.75" right="0.75" top="1" bottom="1" header="0.5" footer="0.5"/>
  <pageSetup paperSize="5" scale="75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AC99"/>
  <sheetViews>
    <sheetView showGridLines="0" zoomScale="75" zoomScaleNormal="75" workbookViewId="0">
      <selection activeCell="A12" sqref="A12"/>
    </sheetView>
  </sheetViews>
  <sheetFormatPr defaultRowHeight="12.75"/>
  <cols>
    <col min="1" max="1" width="34.42578125" customWidth="1"/>
    <col min="2" max="2" width="11.28515625" bestFit="1" customWidth="1"/>
    <col min="3" max="19" width="12.5703125" customWidth="1"/>
  </cols>
  <sheetData>
    <row r="2" spans="1:28" ht="18.75">
      <c r="A2" s="126" t="str">
        <f>Assum!A2</f>
        <v xml:space="preserve">PROJECT NAME: PLANO </v>
      </c>
    </row>
    <row r="4" spans="1:28" ht="18.75">
      <c r="A4" s="90" t="s">
        <v>1113</v>
      </c>
      <c r="B4" s="8"/>
    </row>
    <row r="6" spans="1:28">
      <c r="E6" s="688"/>
      <c r="F6" s="688"/>
      <c r="G6" s="688"/>
      <c r="H6" s="688"/>
      <c r="I6" s="688"/>
      <c r="J6" s="688"/>
      <c r="K6" s="688"/>
      <c r="L6" s="688"/>
      <c r="M6" s="688"/>
      <c r="N6" s="688"/>
      <c r="O6" s="688"/>
      <c r="P6" s="688"/>
      <c r="Q6" s="688"/>
      <c r="R6" s="688"/>
      <c r="S6" s="688"/>
    </row>
    <row r="7" spans="1:28" s="6" customFormat="1" ht="13.5" thickBot="1">
      <c r="A7" s="151" t="s">
        <v>1011</v>
      </c>
      <c r="B7" s="7"/>
      <c r="C7" s="7">
        <f>YEAR(cod)</f>
        <v>2001</v>
      </c>
      <c r="D7" s="7">
        <f t="shared" ref="D7:AB7" si="0">YEAR(cod)+D89</f>
        <v>2002</v>
      </c>
      <c r="E7" s="7">
        <f t="shared" si="0"/>
        <v>2003</v>
      </c>
      <c r="F7" s="7">
        <f t="shared" si="0"/>
        <v>2004</v>
      </c>
      <c r="G7" s="7">
        <f t="shared" si="0"/>
        <v>2005</v>
      </c>
      <c r="H7" s="7">
        <f t="shared" si="0"/>
        <v>2006</v>
      </c>
      <c r="I7" s="7">
        <f t="shared" si="0"/>
        <v>2007</v>
      </c>
      <c r="J7" s="7">
        <f t="shared" si="0"/>
        <v>2008</v>
      </c>
      <c r="K7" s="7">
        <f t="shared" si="0"/>
        <v>2009</v>
      </c>
      <c r="L7" s="7">
        <f t="shared" si="0"/>
        <v>2010</v>
      </c>
      <c r="M7" s="7">
        <f t="shared" si="0"/>
        <v>2011</v>
      </c>
      <c r="N7" s="7">
        <f t="shared" si="0"/>
        <v>2012</v>
      </c>
      <c r="O7" s="7">
        <f t="shared" si="0"/>
        <v>2013</v>
      </c>
      <c r="P7" s="7">
        <f t="shared" si="0"/>
        <v>2014</v>
      </c>
      <c r="Q7" s="7">
        <f t="shared" si="0"/>
        <v>2015</v>
      </c>
      <c r="R7" s="7">
        <f t="shared" si="0"/>
        <v>2016</v>
      </c>
      <c r="S7" s="7">
        <f t="shared" si="0"/>
        <v>2017</v>
      </c>
      <c r="T7" s="7">
        <f t="shared" si="0"/>
        <v>2018</v>
      </c>
      <c r="U7" s="7">
        <f t="shared" si="0"/>
        <v>2019</v>
      </c>
      <c r="V7" s="7">
        <f t="shared" si="0"/>
        <v>2020</v>
      </c>
      <c r="W7" s="7">
        <f t="shared" si="0"/>
        <v>2021</v>
      </c>
      <c r="X7" s="7">
        <f t="shared" si="0"/>
        <v>2022</v>
      </c>
      <c r="Y7" s="7">
        <f t="shared" si="0"/>
        <v>2023</v>
      </c>
      <c r="Z7" s="7">
        <f t="shared" si="0"/>
        <v>2024</v>
      </c>
      <c r="AA7" s="7">
        <f t="shared" si="0"/>
        <v>2025</v>
      </c>
      <c r="AB7" s="7">
        <f t="shared" si="0"/>
        <v>2026</v>
      </c>
    </row>
    <row r="8" spans="1:28">
      <c r="A8" s="2"/>
      <c r="C8" s="629">
        <f>DATE(C7,12,31)</f>
        <v>37256</v>
      </c>
      <c r="D8" s="629">
        <f t="shared" ref="D8:S8" si="1">DATE(D7,12,31)</f>
        <v>37621</v>
      </c>
      <c r="E8" s="629">
        <f t="shared" si="1"/>
        <v>37986</v>
      </c>
      <c r="F8" s="629">
        <f t="shared" si="1"/>
        <v>38352</v>
      </c>
      <c r="G8" s="629">
        <f t="shared" si="1"/>
        <v>38717</v>
      </c>
      <c r="H8" s="629">
        <f t="shared" si="1"/>
        <v>39082</v>
      </c>
      <c r="I8" s="629">
        <f t="shared" si="1"/>
        <v>39447</v>
      </c>
      <c r="J8" s="629">
        <f t="shared" si="1"/>
        <v>39813</v>
      </c>
      <c r="K8" s="629">
        <f t="shared" si="1"/>
        <v>40178</v>
      </c>
      <c r="L8" s="629">
        <f t="shared" si="1"/>
        <v>40543</v>
      </c>
      <c r="M8" s="629">
        <f t="shared" si="1"/>
        <v>40908</v>
      </c>
      <c r="N8" s="629">
        <f t="shared" si="1"/>
        <v>41274</v>
      </c>
      <c r="O8" s="629">
        <f t="shared" si="1"/>
        <v>41639</v>
      </c>
      <c r="P8" s="629">
        <f t="shared" si="1"/>
        <v>42004</v>
      </c>
      <c r="Q8" s="629">
        <f t="shared" si="1"/>
        <v>42369</v>
      </c>
      <c r="R8" s="629">
        <f t="shared" si="1"/>
        <v>42735</v>
      </c>
      <c r="S8" s="629">
        <f t="shared" si="1"/>
        <v>43100</v>
      </c>
      <c r="T8" s="629">
        <f t="shared" ref="T8:AB8" si="2">DATE(T7,12,31)</f>
        <v>43465</v>
      </c>
      <c r="U8" s="629">
        <f t="shared" si="2"/>
        <v>43830</v>
      </c>
      <c r="V8" s="629">
        <f t="shared" si="2"/>
        <v>44196</v>
      </c>
      <c r="W8" s="629">
        <f t="shared" si="2"/>
        <v>44561</v>
      </c>
      <c r="X8" s="629">
        <f t="shared" si="2"/>
        <v>44926</v>
      </c>
      <c r="Y8" s="629">
        <f t="shared" si="2"/>
        <v>45291</v>
      </c>
      <c r="Z8" s="629">
        <f t="shared" si="2"/>
        <v>45657</v>
      </c>
      <c r="AA8" s="629">
        <f t="shared" si="2"/>
        <v>46022</v>
      </c>
      <c r="AB8" s="629">
        <f t="shared" si="2"/>
        <v>46387</v>
      </c>
    </row>
    <row r="9" spans="1:28">
      <c r="A9" s="1" t="s">
        <v>1012</v>
      </c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</row>
    <row r="10" spans="1:28">
      <c r="A10" s="292" t="s">
        <v>1144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</row>
    <row r="11" spans="1:28">
      <c r="A11" s="3" t="s">
        <v>1145</v>
      </c>
      <c r="C11" s="295">
        <f>IF(AND(B92&lt;Assum!$I$51,IS!C92&lt;Assum!$I$51),C92*Assum!$I$52*12*Assum!$O$9,IF(AND(B92&lt;Assum!$I$51,IS!C92&gt;Assum!$I$51),(Assum!$I$517-B92)*12*Assum!$I$52*Assum!$O$9,0))</f>
        <v>9695</v>
      </c>
      <c r="D11" s="295">
        <f>IF(AND(C92&lt;Assum!$I$51,IS!D92&lt;Assum!$I$51),12*D$95*Assum!$O$9,IF(AND(C92&lt;Assum!$I$51,IS!D92&gt;Assum!$I$51),(Assum!$I$51-C92)*12*D$95*Assum!$O$9,0))</f>
        <v>16620</v>
      </c>
      <c r="E11" s="295">
        <f>IF(AND(D92&lt;Assum!$I$51,IS!E92&lt;Assum!$I$51),12*E$95*Assum!$O$9,IF(AND(D92&lt;Assum!$I$51,IS!E92&gt;Assum!$I$51),(Assum!$I$51-D92)*12*E$95*Assum!$O$9,0))</f>
        <v>16620</v>
      </c>
      <c r="F11" s="295">
        <f>IF(AND(E92&lt;Assum!$I$51,IS!F92&lt;Assum!$I$51),12*F$95*Assum!$O$9,IF(AND(E92&lt;Assum!$I$51,IS!F92&gt;Assum!$I$51),(Assum!$I$51-E92)*12*F$95*Assum!$O$9,0))</f>
        <v>16620</v>
      </c>
      <c r="G11" s="295">
        <f>IF(AND(F92&lt;Assum!$I$51,IS!G92&lt;Assum!$I$51),12*G$95*Assum!$O$9,IF(AND(F92&lt;Assum!$I$51,IS!G92&gt;Assum!$I$51),(Assum!$I$51-F92)*12*G$95*Assum!$O$9,0))</f>
        <v>16620</v>
      </c>
      <c r="H11" s="295">
        <f>IF(AND(G92&lt;Assum!$I$51,IS!H92&lt;Assum!$I$51),12*H$95*Assum!$O$9,IF(AND(G92&lt;Assum!$I$51,IS!H92&gt;Assum!$I$51),(Assum!$I$51-G92)*12*H$95*Assum!$O$9,0))</f>
        <v>16620</v>
      </c>
      <c r="I11" s="295">
        <f>IF(AND(H92&lt;Assum!$I$51,IS!I92&lt;Assum!$I$51),12*I$95*Assum!$O$9,IF(AND(H92&lt;Assum!$I$51,IS!I92&gt;Assum!$I$51),(Assum!$I$51-H92)*12*I$95*Assum!$O$9,0))</f>
        <v>16620</v>
      </c>
      <c r="J11" s="295">
        <f>IF(AND(I92&lt;Assum!$I$51,IS!J92&lt;Assum!$I$51),12*J$95*Assum!$O$9,IF(AND(I92&lt;Assum!$I$51,IS!J92&gt;Assum!$I$51),(Assum!$I$51-I92)*12*J$95*Assum!$O$9,0))</f>
        <v>16620</v>
      </c>
      <c r="K11" s="295">
        <f>IF(AND(J92&lt;Assum!$I$51,IS!K92&lt;Assum!$I$51),12*K$95*Assum!$O$9,IF(AND(J92&lt;Assum!$I$51,IS!K92&gt;Assum!$I$51),(Assum!$I$51-J92)*12*K$95*Assum!$O$9,0))</f>
        <v>16620</v>
      </c>
      <c r="L11" s="295">
        <f>IF(AND(K92&lt;Assum!$I$51,IS!L92&lt;Assum!$I$51),12*L$95*Assum!$O$9,IF(AND(K92&lt;Assum!$I$51,IS!L92&gt;Assum!$I$51),(Assum!$I$51-K92)*12*L$95*Assum!$O$9,0))</f>
        <v>16620</v>
      </c>
      <c r="M11" s="295">
        <f>IF(AND(L92&lt;Assum!$I$51,IS!M92&lt;Assum!$I$51),12*M$95*Assum!$O$9,IF(AND(L92&lt;Assum!$I$51,IS!M92&gt;Assum!$I$51),(Assum!$I$51-L92)*12*M$95*Assum!$O$9,0))</f>
        <v>16620</v>
      </c>
      <c r="N11" s="295">
        <f>IF(AND(M92&lt;Assum!$I$51,IS!N92&lt;Assum!$I$51),12*N$95*Assum!$O$9,IF(AND(M92&lt;Assum!$I$51,IS!N92&gt;Assum!$I$51),(Assum!$I$51-M92)*12*N$95*Assum!$O$9,0))</f>
        <v>16620</v>
      </c>
      <c r="O11" s="295">
        <f>IF(AND(N92&lt;Assum!$I$51,IS!O92&lt;Assum!$I$51),12*O$95*Assum!$O$9,IF(AND(N92&lt;Assum!$I$51,IS!O92&gt;Assum!$I$51),(Assum!$I$51-N92)*12*O$95*Assum!$O$9,0))</f>
        <v>16620</v>
      </c>
      <c r="P11" s="295">
        <f>IF(AND(O92&lt;Assum!$I$51,IS!P92&lt;Assum!$I$51),12*P$95*Assum!$O$9,IF(AND(O92&lt;Assum!$I$51,IS!P92&gt;Assum!$I$51),(Assum!$I$51-O92)*12*P$95*Assum!$O$9,0))</f>
        <v>16620</v>
      </c>
      <c r="Q11" s="295">
        <f>IF(AND(P92&lt;Assum!$I$51,IS!Q92&lt;Assum!$I$51),12*Q$95*Assum!$O$9,IF(AND(P92&lt;Assum!$I$51,IS!Q92&gt;Assum!$I$51),(Assum!$I$51-P92)*12*Q$95*Assum!$O$9,0))</f>
        <v>16620</v>
      </c>
      <c r="R11" s="295">
        <f>IF(AND(Q92&lt;Assum!$I$51,IS!R92&lt;Assum!$I$51),12*R$95*Assum!$O$9,IF(AND(Q92&lt;Assum!$I$51,IS!R92&gt;Assum!$I$51),(Assum!$I$51-Q92)*12*R$95*Assum!$O$9,0))</f>
        <v>16620</v>
      </c>
      <c r="S11" s="295">
        <f>IF(AND(R92&lt;Assum!$I$51,IS!S92&lt;Assum!$I$51),12*S$95*Assum!$O$9,IF(AND(R92&lt;Assum!$I$51,IS!S92&gt;Assum!$I$51),(Assum!$I$51-R92)*12*S$95*Assum!$O$9,0))</f>
        <v>16620</v>
      </c>
      <c r="T11" s="295">
        <f>IF(AND(S92&lt;Assum!$I$51,IS!T92&lt;Assum!$I$51),12*T$95*Assum!$O$9,IF(AND(S92&lt;Assum!$I$51,IS!T92&gt;Assum!$I$51),(Assum!$I$51-S92)*12*T$95*Assum!$O$9,0))</f>
        <v>16620</v>
      </c>
      <c r="U11" s="295">
        <f>IF(AND(T92&lt;Assum!$I$51,IS!U92&lt;Assum!$I$51),12*U$95*Assum!$O$9,IF(AND(T92&lt;Assum!$I$51,IS!U92&gt;Assum!$I$51),(Assum!$I$51-T92)*12*U$95*Assum!$O$9,0))</f>
        <v>16620</v>
      </c>
      <c r="V11" s="295">
        <f>IF(AND(U92&lt;Assum!$I$51,IS!V92&lt;Assum!$I$51),12*V$95*Assum!$O$9,IF(AND(U92&lt;Assum!$I$51,IS!V92&gt;Assum!$I$51),(Assum!$I$51-U92)*12*V$95*Assum!$O$9,0))</f>
        <v>16620</v>
      </c>
      <c r="W11" s="295">
        <f>IF(AND(V92&lt;Assum!$I$51,IS!W92&lt;Assum!$I$51),12*W$95*Assum!$O$9,IF(AND(V92&lt;Assum!$I$51,IS!W92&gt;Assum!$I$51),(Assum!$I$51-V92)*12*W$95*Assum!$O$9,0))</f>
        <v>16620</v>
      </c>
      <c r="X11" s="295">
        <f>IF(AND(W92&lt;Assum!$I$51,IS!X92&lt;Assum!$I$51),12*X$95*Assum!$O$9,IF(AND(W92&lt;Assum!$I$51,IS!X92&gt;Assum!$I$51),(Assum!$I$51-W92)*12*X$95*Assum!$O$9,0))</f>
        <v>16620</v>
      </c>
      <c r="Y11" s="295">
        <f>IF(AND(X92&lt;Assum!$I$51,IS!Y92&lt;Assum!$I$51),12*Y$95*Assum!$O$9,IF(AND(X92&lt;Assum!$I$51,IS!Y92&gt;Assum!$I$51),(Assum!$I$51-X92)*12*Y$95*Assum!$O$9,0))</f>
        <v>16620</v>
      </c>
      <c r="Z11" s="295">
        <f>IF(AND(Y92&lt;Assum!$I$51,IS!Z92&lt;Assum!$I$51),12*Z$95*Assum!$O$9,IF(AND(Y92&lt;Assum!$I$51,IS!Z92&gt;Assum!$I$51),(Assum!$I$51-Y92)*12*Z$95*Assum!$O$9,0))</f>
        <v>16620</v>
      </c>
      <c r="AA11" s="295">
        <f>IF(AND(Z92&lt;Assum!$I$51,IS!AA92&lt;Assum!$I$51),12*AA$95*Assum!$O$9,IF(AND(Z92&lt;Assum!$I$51,IS!AA92&gt;Assum!$I$51),(Assum!$I$51-Z92)*12*AA$95*Assum!$O$9,0))</f>
        <v>16620</v>
      </c>
      <c r="AB11" s="295">
        <f>IF(AND(AA92&lt;Assum!$I$51,IS!AB92&lt;Assum!$I$51),12*AB$95*Assum!$O$9,IF(AND(AA92&lt;Assum!$I$51,IS!AB92&gt;Assum!$I$51),(Assum!$I$51-AA92)*12*AB$95*Assum!$O$9,0))</f>
        <v>16605.780287474296</v>
      </c>
    </row>
    <row r="12" spans="1:28">
      <c r="A12" s="3" t="s">
        <v>1146</v>
      </c>
      <c r="C12" s="295">
        <f>IF(AND(C92&lt;Assum!$I$51,IS!B92&lt;Assum!$I$51),Assum!$I$55*C88/1000,IF(AND(B92&lt;Assum!$I$51,IS!C92&gt;Assum!$I$51),Assum!$I$55*C88/1000*IS!$C$92,0))</f>
        <v>473.96915999999993</v>
      </c>
      <c r="D12" s="295">
        <f>IF(AND(D92&lt;Assum!$I$51,IS!C92&lt;Assum!$I$51),Assum!$I$55*D88/1000,IF(AND(C92&lt;Assum!$I$51,IS!D92&gt;Assum!$I$51),Assum!$I$55*D88/1000*IS!$C$92,0))*D94</f>
        <v>488.18823479999992</v>
      </c>
      <c r="E12" s="295">
        <f>IF(AND(E92&lt;Assum!$I$51,IS!D92&lt;Assum!$I$51),Assum!$I$55*E88/1000,IF(AND(D92&lt;Assum!$I$51,IS!E92&gt;Assum!$I$51),Assum!$I$55*E88/1000*IS!$C$92,0))*E94</f>
        <v>502.34569360919988</v>
      </c>
      <c r="F12" s="295">
        <f>IF(AND(F92&lt;Assum!$I$51,IS!E92&lt;Assum!$I$51),Assum!$I$55*F88/1000,IF(AND(E92&lt;Assum!$I$51,IS!F92&gt;Assum!$I$51),Assum!$I$55*F88/1000*IS!$C$92,0))*F94</f>
        <v>516.66254587706203</v>
      </c>
      <c r="G12" s="295">
        <f>IF(AND(G92&lt;Assum!$I$51,IS!F92&lt;Assum!$I$51),Assum!$I$55*G88/1000,IF(AND(F92&lt;Assum!$I$51,IS!G92&gt;Assum!$I$51),Assum!$I$55*G88/1000*IS!$C$92,0))*G94</f>
        <v>531.12909716161982</v>
      </c>
      <c r="H12" s="295">
        <f>IF(AND(H92&lt;Assum!$I$51,IS!G92&lt;Assum!$I$51),Assum!$I$55*H88/1000,IF(AND(G92&lt;Assum!$I$51,IS!H92&gt;Assum!$I$51),Assum!$I$55*H88/1000*IS!$C$92,0))*H94</f>
        <v>545.5758086044159</v>
      </c>
      <c r="I12" s="295">
        <f>IF(AND(I92&lt;Assum!$I$51,IS!H92&lt;Assum!$I$51),Assum!$I$55*I88/1000,IF(AND(H92&lt;Assum!$I$51,IS!I92&gt;Assum!$I$51),Assum!$I$55*I88/1000*IS!$C$92,0))*I94</f>
        <v>560.14268269415368</v>
      </c>
      <c r="J12" s="295">
        <f>IF(AND(J92&lt;Assum!$I$51,IS!I92&lt;Assum!$I$51),Assum!$I$55*J88/1000,IF(AND(I92&lt;Assum!$I$51,IS!J92&gt;Assum!$I$51),Assum!$I$55*J88/1000*IS!$C$92,0))*J94</f>
        <v>574.81842098074048</v>
      </c>
      <c r="K12" s="295">
        <f>IF(AND(K92&lt;Assum!$I$51,IS!J92&lt;Assum!$I$51),Assum!$I$55*K88/1000,IF(AND(J92&lt;Assum!$I$51,IS!K92&gt;Assum!$I$51),Assum!$I$55*K88/1000*IS!$C$92,0))*K94</f>
        <v>589.6487362420437</v>
      </c>
      <c r="L12" s="295">
        <f>IF(AND(L92&lt;Assum!$I$51,IS!K92&lt;Assum!$I$51),Assum!$I$55*L88/1000,IF(AND(K92&lt;Assum!$I$51,IS!L92&gt;Assum!$I$51),Assum!$I$55*L88/1000*IS!$C$92,0))*L94</f>
        <v>604.62581414259159</v>
      </c>
      <c r="M12" s="295">
        <f>IF(AND(M92&lt;Assum!$I$51,IS!L92&lt;Assum!$I$51),Assum!$I$55*M88/1000,IF(AND(L92&lt;Assum!$I$51,IS!M92&gt;Assum!$I$51),Assum!$I$55*M88/1000*IS!$C$92,0))*M94</f>
        <v>619.86238465898487</v>
      </c>
      <c r="N12" s="295">
        <f>IF(AND(N92&lt;Assum!$I$51,IS!M92&lt;Assum!$I$51),Assum!$I$55*N88/1000,IF(AND(M92&lt;Assum!$I$51,IS!N92&gt;Assum!$I$51),Assum!$I$55*N88/1000*IS!$C$92,0))*N94</f>
        <v>635.35894427545941</v>
      </c>
      <c r="O12" s="295">
        <f>IF(AND(O92&lt;Assum!$I$51,IS!N92&lt;Assum!$I$51),Assum!$I$55*O88/1000,IF(AND(N92&lt;Assum!$I$51,IS!O92&gt;Assum!$I$51),Assum!$I$55*O88/1000*IS!$C$92,0))*O94</f>
        <v>651.43352556562854</v>
      </c>
      <c r="P12" s="295">
        <f>IF(AND(P92&lt;Assum!$I$51,IS!O92&lt;Assum!$I$51),Assum!$I$55*P88/1000,IF(AND(O92&lt;Assum!$I$51,IS!P92&gt;Assum!$I$51),Assum!$I$55*P88/1000*IS!$C$92,0))*P94</f>
        <v>668.17536717266523</v>
      </c>
      <c r="Q12" s="295">
        <f>IF(AND(Q92&lt;Assum!$I$51,IS!P92&lt;Assum!$I$51),Assum!$I$55*Q88/1000,IF(AND(P92&lt;Assum!$I$51,IS!Q92&gt;Assum!$I$51),Assum!$I$55*Q88/1000*IS!$C$92,0))*Q94</f>
        <v>685.61474425587187</v>
      </c>
      <c r="R12" s="295">
        <f>IF(AND(R92&lt;Assum!$I$51,IS!Q92&lt;Assum!$I$51),Assum!$I$55*R88/1000,IF(AND(Q92&lt;Assum!$I$51,IS!R92&gt;Assum!$I$51),Assum!$I$55*R88/1000*IS!$C$92,0))*R94</f>
        <v>703.92065792750361</v>
      </c>
      <c r="S12" s="295">
        <f>IF(AND(S92&lt;Assum!$I$51,IS!R92&lt;Assum!$I$51),Assum!$I$55*S88/1000,IF(AND(R92&lt;Assum!$I$51,IS!S92&gt;Assum!$I$51),Assum!$I$55*S88/1000*IS!$C$92,0))*S94</f>
        <v>722.99690775733893</v>
      </c>
      <c r="T12" s="295">
        <f>IF(AND(T92&lt;Assum!$I$51,IS!S92&lt;Assum!$I$51),Assum!$I$55*T88/1000,IF(AND(S92&lt;Assum!$I$51,IS!T92&gt;Assum!$I$51),Assum!$I$55*T88/1000*IS!$C$92,0))*T94</f>
        <v>742.5901239575627</v>
      </c>
      <c r="U12" s="295">
        <f>IF(AND(U92&lt;Assum!$I$51,IS!T92&lt;Assum!$I$51),Assum!$I$55*U88/1000,IF(AND(T92&lt;Assum!$I$51,IS!U92&gt;Assum!$I$51),Assum!$I$55*U88/1000*IS!$C$92,0))*U94</f>
        <v>762.71431631681253</v>
      </c>
      <c r="V12" s="295">
        <f>IF(AND(V92&lt;Assum!$I$51,IS!U92&lt;Assum!$I$51),Assum!$I$55*V88/1000,IF(AND(U92&lt;Assum!$I$51,IS!V92&gt;Assum!$I$51),Assum!$I$55*V88/1000*IS!$C$92,0))*V94</f>
        <v>783.38387428899819</v>
      </c>
      <c r="W12" s="295">
        <f>IF(AND(W92&lt;Assum!$I$51,IS!V92&lt;Assum!$I$51),Assum!$I$55*W88/1000,IF(AND(V92&lt;Assum!$I$51,IS!W92&gt;Assum!$I$51),Assum!$I$55*W88/1000*IS!$C$92,0))*W94</f>
        <v>804.61357728223004</v>
      </c>
      <c r="X12" s="295">
        <f>IF(AND(X92&lt;Assum!$I$51,IS!W92&lt;Assum!$I$51),Assum!$I$55*X88/1000,IF(AND(W92&lt;Assum!$I$51,IS!X92&gt;Assum!$I$51),Assum!$I$55*X88/1000*IS!$C$92,0))*X94</f>
        <v>826.41860522657839</v>
      </c>
      <c r="Y12" s="295">
        <f>IF(AND(Y92&lt;Assum!$I$51,IS!X92&lt;Assum!$I$51),Assum!$I$55*Y88/1000,IF(AND(X92&lt;Assum!$I$51,IS!Y92&gt;Assum!$I$51),Assum!$I$55*Y88/1000*IS!$C$92,0))*Y94</f>
        <v>848.81454942821858</v>
      </c>
      <c r="Z12" s="295">
        <f>IF(AND(Z92&lt;Assum!$I$51,IS!Y92&lt;Assum!$I$51),Assum!$I$55*Z88/1000,IF(AND(Y92&lt;Assum!$I$51,IS!Z92&gt;Assum!$I$51),Assum!$I$55*Z88/1000*IS!$C$92,0))*Z94</f>
        <v>871.81742371772327</v>
      </c>
      <c r="AA12" s="295">
        <f>IF(AND(AA92&lt;Assum!$I$51,IS!Z92&lt;Assum!$I$51),Assum!$I$55*AA88/1000,IF(AND(Z92&lt;Assum!$I$51,IS!AA92&gt;Assum!$I$51),Assum!$I$55*AA88/1000*IS!$C$92,0))*AA94</f>
        <v>895.44367590047341</v>
      </c>
      <c r="AB12" s="295">
        <f>IF(AND(AB92&lt;Assum!$I$51,IS!AA92&lt;Assum!$I$51),Assum!$I$55*AB88/1000,IF(AND(AA92&lt;Assum!$I$51,IS!AB92&gt;Assum!$I$51),Assum!$I$55*AB88/1000*IS!$C$92,0))*AB94</f>
        <v>536.49761638513621</v>
      </c>
    </row>
    <row r="13" spans="1:28">
      <c r="A13" s="3" t="s">
        <v>1147</v>
      </c>
      <c r="C13" s="295">
        <v>0</v>
      </c>
      <c r="D13" s="295">
        <v>0</v>
      </c>
      <c r="E13" s="295">
        <v>0</v>
      </c>
      <c r="F13" s="295">
        <v>0</v>
      </c>
      <c r="G13" s="295">
        <v>0</v>
      </c>
      <c r="H13" s="295">
        <v>0</v>
      </c>
      <c r="I13" s="295">
        <v>0</v>
      </c>
      <c r="J13" s="295">
        <v>0</v>
      </c>
      <c r="K13" s="295">
        <v>0</v>
      </c>
      <c r="L13" s="295">
        <v>0</v>
      </c>
      <c r="M13" s="295">
        <v>0</v>
      </c>
      <c r="N13" s="295">
        <v>0</v>
      </c>
      <c r="O13" s="295">
        <v>0</v>
      </c>
      <c r="P13" s="295">
        <v>0</v>
      </c>
      <c r="Q13" s="295">
        <v>0</v>
      </c>
      <c r="R13" s="295">
        <v>0</v>
      </c>
      <c r="S13" s="295"/>
    </row>
    <row r="14" spans="1:28">
      <c r="A14" s="3" t="s">
        <v>1230</v>
      </c>
      <c r="C14" s="295">
        <f>IF(AND(C92&lt;Assum!$I$51,IS!B92&lt;Assum!$I$51),IF(C91&lt;=150, Assum!$I$56*C91, IF(C91&lt;=200, Assum!$I$57*C91, Assum!$I$58*C91))/1000,IF(AND(B92&lt;Assum!$I$51,IS!C92&gt;Assum!$I$51),IF(C91&lt;=150, Assum!$I$56*C91, IF(C91&lt;=200, Assum!$I$57*C91, Assum!$I$58*C91))/1000,0))</f>
        <v>810</v>
      </c>
      <c r="D14" s="295">
        <f>IF(AND(D92&lt;Assum!$I$51,IS!C92&lt;Assum!$I$51),IF(D91&lt;=150, Assum!$I$56*C91, IF(D91&lt;=200, Assum!$I$57*D91, Assum!$I$58*D91))/1000,IF(AND(C92&lt;Assum!$I$51,IS!D92&gt;Assum!$I$51),IF(D91&lt;=150, Assum!$I$56*D91, IF(D91&lt;=200, Assum!$I$57*D91, Assum!$I$58*D91))/1000,0))*D94</f>
        <v>834.30000000000007</v>
      </c>
      <c r="E14" s="295">
        <f>IF(AND(E92&lt;Assum!$I$51,IS!D92&lt;Assum!$I$51),IF(E91&lt;=150, Assum!$I$56*D91, IF(E91&lt;=200, Assum!$I$57*E91, Assum!$I$58*E91))/1000,IF(AND(D92&lt;Assum!$I$51,IS!E92&gt;Assum!$I$51),IF(E91&lt;=150, Assum!$I$56*E91, IF(E91&lt;=200, Assum!$I$57*E91, Assum!$I$58*E91))/1000,0))*E94</f>
        <v>858.49469999999985</v>
      </c>
      <c r="F14" s="295">
        <f>IF(AND(F92&lt;Assum!$I$51,IS!E92&lt;Assum!$I$51),IF(F91&lt;=150, Assum!$I$56*E91, IF(F91&lt;=200, Assum!$I$57*F91, Assum!$I$58*F91))/1000,IF(AND(E92&lt;Assum!$I$51,IS!F92&gt;Assum!$I$51),IF(F91&lt;=150, Assum!$I$56*F91, IF(F91&lt;=200, Assum!$I$57*F91, Assum!$I$58*F91))/1000,0))*F94</f>
        <v>882.96179894999989</v>
      </c>
      <c r="G14" s="295">
        <f>IF(AND(G92&lt;Assum!$I$51,IS!F92&lt;Assum!$I$51),IF(G91&lt;=150, Assum!$I$56*F91, IF(G91&lt;=200, Assum!$I$57*G91, Assum!$I$58*G91))/1000,IF(AND(F92&lt;Assum!$I$51,IS!G92&gt;Assum!$I$51),IF(G91&lt;=150, Assum!$I$56*G91, IF(G91&lt;=200, Assum!$I$57*G91, Assum!$I$58*G91))/1000,0))*G94</f>
        <v>907.6847293205999</v>
      </c>
      <c r="H14" s="295">
        <f>IF(AND(H92&lt;Assum!$I$51,IS!G92&lt;Assum!$I$51),IF(H91&lt;=150, Assum!$I$56*G91, IF(H91&lt;=200, Assum!$I$57*H91, Assum!$I$58*H91))/1000,IF(AND(G92&lt;Assum!$I$51,IS!H92&gt;Assum!$I$51),IF(H91&lt;=150, Assum!$I$56*H91, IF(H91&lt;=200, Assum!$I$57*H91, Assum!$I$58*H91))/1000,0))*H94</f>
        <v>932.37375395812023</v>
      </c>
      <c r="I14" s="295">
        <f>IF(AND(I92&lt;Assum!$I$51,IS!H92&lt;Assum!$I$51),IF(I91&lt;=150, Assum!$I$56*H91, IF(I91&lt;=200, Assum!$I$57*I91, Assum!$I$58*I91))/1000,IF(AND(H92&lt;Assum!$I$51,IS!I92&gt;Assum!$I$51),IF(I91&lt;=150, Assum!$I$56*I91, IF(I91&lt;=200, Assum!$I$57*I91, Assum!$I$58*I91))/1000,0))*I94</f>
        <v>957.26813318880193</v>
      </c>
      <c r="J14" s="295">
        <f>IF(AND(J92&lt;Assum!$I$51,IS!I92&lt;Assum!$I$51),IF(J91&lt;=150, Assum!$I$56*I91, IF(J91&lt;=200, Assum!$I$57*J91, Assum!$I$58*J91))/1000,IF(AND(I92&lt;Assum!$I$51,IS!J92&gt;Assum!$I$51),IF(J91&lt;=150, Assum!$I$56*J91, IF(J91&lt;=200, Assum!$I$57*J91, Assum!$I$58*J91))/1000,0))*J94</f>
        <v>982.34855827834849</v>
      </c>
      <c r="K14" s="295">
        <f>IF(AND(K92&lt;Assum!$I$51,IS!J92&lt;Assum!$I$51),IF(K91&lt;=150, Assum!$I$56*J91, IF(K91&lt;=200, Assum!$I$57*K91, Assum!$I$58*K91))/1000,IF(AND(J92&lt;Assum!$I$51,IS!K92&gt;Assum!$I$51),IF(K91&lt;=150, Assum!$I$56*K91, IF(K91&lt;=200, Assum!$I$57*K91, Assum!$I$58*K91))/1000,0))*K94</f>
        <v>1007.69315108193</v>
      </c>
      <c r="L14" s="295">
        <f>IF(AND(L92&lt;Assum!$I$51,IS!K92&lt;Assum!$I$51),IF(L91&lt;=150, Assum!$I$56*K91, IF(L91&lt;=200, Assum!$I$57*L91, Assum!$I$58*L91))/1000,IF(AND(K92&lt;Assum!$I$51,IS!L92&gt;Assum!$I$51),IF(L91&lt;=150, Assum!$I$56*L91, IF(L91&lt;=200, Assum!$I$57*L91, Assum!$I$58*L91))/1000,0))*L94</f>
        <v>1033.2885571194111</v>
      </c>
      <c r="M14" s="295">
        <f>IF(AND(M92&lt;Assum!$I$51,IS!L92&lt;Assum!$I$51),IF(M91&lt;=150, Assum!$I$56*L91, IF(M91&lt;=200, Assum!$I$57*M91, Assum!$I$58*M91))/1000,IF(AND(L92&lt;Assum!$I$51,IS!M92&gt;Assum!$I$51),IF(M91&lt;=150, Assum!$I$56*M91, IF(M91&lt;=200, Assum!$I$57*M91, Assum!$I$58*M91))/1000,0))*M94</f>
        <v>1059.3274287588201</v>
      </c>
      <c r="N14" s="295">
        <f>IF(AND(N92&lt;Assum!$I$51,IS!M92&lt;Assum!$I$51),IF(N91&lt;=150, Assum!$I$56*M91, IF(N91&lt;=200, Assum!$I$57*N91, Assum!$I$58*N91))/1000,IF(AND(M92&lt;Assum!$I$51,IS!N92&gt;Assum!$I$51),IF(N91&lt;=150, Assum!$I$56*N91, IF(N91&lt;=200, Assum!$I$57*N91, Assum!$I$58*N91))/1000,0))*N94</f>
        <v>1085.8106144777905</v>
      </c>
      <c r="O14" s="295">
        <f>IF(AND(O92&lt;Assum!$I$51,IS!N92&lt;Assum!$I$51),IF(O91&lt;=150, Assum!$I$56*N91, IF(O91&lt;=200, Assum!$I$57*O91, Assum!$I$58*O91))/1000,IF(AND(N92&lt;Assum!$I$51,IS!O92&gt;Assum!$I$51),IF(O91&lt;=150, Assum!$I$56*O91, IF(O91&lt;=200, Assum!$I$57*O91, Assum!$I$58*O91))/1000,0))*O94</f>
        <v>1113.2816230240787</v>
      </c>
      <c r="P14" s="295">
        <f>IF(AND(P92&lt;Assum!$I$51,IS!O92&lt;Assum!$I$51),IF(P91&lt;=150, Assum!$I$56*O91, IF(P91&lt;=200, Assum!$I$57*P91, Assum!$I$58*P91))/1000,IF(AND(O92&lt;Assum!$I$51,IS!P92&gt;Assum!$I$51),IF(P91&lt;=150, Assum!$I$56*P91, IF(P91&lt;=200, Assum!$I$57*P91, Assum!$I$58*P91))/1000,0))*P94</f>
        <v>1141.8929607357975</v>
      </c>
      <c r="Q14" s="295">
        <f>IF(AND(Q92&lt;Assum!$I$51,IS!P92&lt;Assum!$I$51),IF(Q91&lt;=150, Assum!$I$56*P91, IF(Q91&lt;=200, Assum!$I$57*Q91, Assum!$I$58*Q91))/1000,IF(AND(P92&lt;Assum!$I$51,IS!Q92&gt;Assum!$I$51),IF(Q91&lt;=150, Assum!$I$56*Q91, IF(Q91&lt;=200, Assum!$I$57*Q91, Assum!$I$58*Q91))/1000,0))*Q94</f>
        <v>1171.6963670110019</v>
      </c>
      <c r="R14" s="295">
        <f>IF(AND(R92&lt;Assum!$I$51,IS!Q92&lt;Assum!$I$51),IF(R91&lt;=150, Assum!$I$56*Q91, IF(R91&lt;=200, Assum!$I$57*R91, Assum!$I$58*R91))/1000,IF(AND(Q92&lt;Assum!$I$51,IS!R92&gt;Assum!$I$51),IF(R91&lt;=150, Assum!$I$56*R91, IF(R91&lt;=200, Assum!$I$57*R91, Assum!$I$58*R91))/1000,0))*R94</f>
        <v>1202.9806600101956</v>
      </c>
      <c r="S14" s="295">
        <f>IF(AND(S92&lt;Assum!$I$51,IS!R92&lt;Assum!$I$51),IF(S91&lt;=150, Assum!$I$56*R91, IF(S91&lt;=200, Assum!$I$57*S91, Assum!$I$58*S91))/1000,IF(AND(R92&lt;Assum!$I$51,IS!S92&gt;Assum!$I$51),IF(S91&lt;=150, Assum!$I$56*S91, IF(S91&lt;=200, Assum!$I$57*S91, Assum!$I$58*S91))/1000,0))*S94</f>
        <v>1235.5814358964717</v>
      </c>
      <c r="T14" s="295">
        <f>IF(AND(T92&lt;Assum!$I$51,IS!S92&lt;Assum!$I$51),IF(T91&lt;=150, Assum!$I$56*S91, IF(T91&lt;=200, Assum!$I$57*T91, Assum!$I$58*T91))/1000,IF(AND(S92&lt;Assum!$I$51,IS!T92&gt;Assum!$I$51),IF(T91&lt;=150, Assum!$I$56*T91, IF(T91&lt;=200, Assum!$I$57*T91, Assum!$I$58*T91))/1000,0))*T94</f>
        <v>1269.065692809266</v>
      </c>
      <c r="U14" s="295">
        <f>IF(AND(U92&lt;Assum!$I$51,IS!T92&lt;Assum!$I$51),IF(U91&lt;=150, Assum!$I$56*T91, IF(U91&lt;=200, Assum!$I$57*U91, Assum!$I$58*U91))/1000,IF(AND(T92&lt;Assum!$I$51,IS!U92&gt;Assum!$I$51),IF(U91&lt;=150, Assum!$I$56*U91, IF(U91&lt;=200, Assum!$I$57*U91, Assum!$I$58*U91))/1000,0))*U94</f>
        <v>1303.457373084397</v>
      </c>
      <c r="V14" s="295">
        <f>IF(AND(V92&lt;Assum!$I$51,IS!U92&lt;Assum!$I$51),IF(V91&lt;=150, Assum!$I$56*U91, IF(V91&lt;=200, Assum!$I$57*V91, Assum!$I$58*V91))/1000,IF(AND(U92&lt;Assum!$I$51,IS!V92&gt;Assum!$I$51),IF(V91&lt;=150, Assum!$I$56*V91, IF(V91&lt;=200, Assum!$I$57*V91, Assum!$I$58*V91))/1000,0))*V94</f>
        <v>1338.7810678949841</v>
      </c>
      <c r="W14" s="295">
        <f>IF(AND(W92&lt;Assum!$I$51,IS!V92&lt;Assum!$I$51),IF(W91&lt;=150, Assum!$I$56*V91, IF(W91&lt;=200, Assum!$I$57*W91, Assum!$I$58*W91))/1000,IF(AND(V92&lt;Assum!$I$51,IS!W92&gt;Assum!$I$51),IF(W91&lt;=150, Assum!$I$56*W91, IF(W91&lt;=200, Assum!$I$57*W91, Assum!$I$58*W91))/1000,0))*W94</f>
        <v>1375.0620348349382</v>
      </c>
      <c r="X14" s="295">
        <f>IF(AND(X92&lt;Assum!$I$51,IS!W92&lt;Assum!$I$51),IF(X91&lt;=150, Assum!$I$56*W91, IF(X91&lt;=200, Assum!$I$57*X91, Assum!$I$58*X91))/1000,IF(AND(W92&lt;Assum!$I$51,IS!X92&gt;Assum!$I$51),IF(X91&lt;=150, Assum!$I$56*X91, IF(X91&lt;=200, Assum!$I$57*X91, Assum!$I$58*X91))/1000,0))*X94</f>
        <v>1412.3262159789649</v>
      </c>
      <c r="Y14" s="295">
        <f>IF(AND(Y92&lt;Assum!$I$51,IS!X92&lt;Assum!$I$51),IF(Y91&lt;=150, Assum!$I$56*X91, IF(Y91&lt;=200, Assum!$I$57*Y91, Assum!$I$58*Y91))/1000,IF(AND(X92&lt;Assum!$I$51,IS!Y92&gt;Assum!$I$51),IF(Y91&lt;=150, Assum!$I$56*Y91, IF(Y91&lt;=200, Assum!$I$57*Y91, Assum!$I$58*Y91))/1000,0))*Y94</f>
        <v>1450.6002564319947</v>
      </c>
      <c r="Z14" s="295">
        <f>IF(AND(Z92&lt;Assum!$I$51,IS!Y92&lt;Assum!$I$51),IF(Z91&lt;=150, Assum!$I$56*Y91, IF(Z91&lt;=200, Assum!$I$57*Z91, Assum!$I$58*Z91))/1000,IF(AND(Y92&lt;Assum!$I$51,IS!Z92&gt;Assum!$I$51),IF(Z91&lt;=150, Assum!$I$56*Z91, IF(Z91&lt;=200, Assum!$I$57*Z91, Assum!$I$58*Z91))/1000,0))*Z94</f>
        <v>1489.9115233813018</v>
      </c>
      <c r="AA14" s="295">
        <f>IF(AND(AA92&lt;Assum!$I$51,IS!Z92&lt;Assum!$I$51),IF(AA91&lt;=150, Assum!$I$56*Z91, IF(AA91&lt;=200, Assum!$I$57*AA91, Assum!$I$58*AA91))/1000,IF(AND(Z92&lt;Assum!$I$51,IS!AA92&gt;Assum!$I$51),IF(AA91&lt;=150, Assum!$I$56*AA91, IF(AA91&lt;=200, Assum!$I$57*AA91, Assum!$I$58*AA91))/1000,0))*AA94</f>
        <v>1530.2881256649348</v>
      </c>
      <c r="AB14" s="295">
        <f>IF(AND(AB92&lt;Assum!$I$51,IS!AA92&lt;Assum!$I$51),IF(AB91&lt;=150, Assum!$I$56*AA91, IF(AB91&lt;=200, Assum!$I$57*AB91, Assum!$I$58*AB91))/1000,IF(AND(AA92&lt;Assum!$I$51,IS!AB92&gt;Assum!$I$51),IF(AB91&lt;=150, Assum!$I$56*AB91, IF(AB91&lt;=200, Assum!$I$57*AB91, Assum!$I$58*AB91))/1000,0))*AB94</f>
        <v>1571.7589338704545</v>
      </c>
    </row>
    <row r="15" spans="1:28">
      <c r="A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8">
      <c r="A16" s="292" t="s">
        <v>1143</v>
      </c>
      <c r="B16" s="10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28">
      <c r="A17" s="3" t="s">
        <v>1145</v>
      </c>
      <c r="B17" s="347"/>
      <c r="C17" s="295">
        <f>IF(AND(C92&gt;Assum!$I$51,B92&gt;Assum!$I$51),12*'Power Price'!C25*Assum!$I$60,IF(AND(B92&lt;Assum!$I$51,IS!C92&gt;Assum!$I$51),IS!C92*'Power Price'!C25*12*Assum!$I$69,0))</f>
        <v>0</v>
      </c>
      <c r="D17" s="295">
        <f>IF(AND(D92&gt;Assum!$I$51,IS!C92&gt;Assum!$I$51),12*'Power Price'!D25*Assum!$I$60,IF(AND(IS!C92&lt;Assum!$I$51,IS!D92&gt;Assum!$I$51),IS!D92*'Power Price'!D25*12*Assum!$I$69,0))</f>
        <v>0</v>
      </c>
      <c r="E17" s="295">
        <f>IF(AND(E92&gt;Assum!$I$51,IS!D92&gt;Assum!$I$51),12*'Power Price'!E25*Assum!$I$60,IF(AND(IS!D92&lt;Assum!$I$51,IS!E92&gt;Assum!$I$51),IS!E92*'Power Price'!E25*12*Assum!$I$69,0))</f>
        <v>0</v>
      </c>
      <c r="F17" s="295">
        <f>IF(AND(F92&gt;Assum!$I$51,IS!E92&gt;Assum!$I$51),12*'Power Price'!F25*Assum!$I$60,IF(AND(IS!E92&lt;Assum!$I$51,IS!F92&gt;Assum!$I$51),IS!C92*'Power Price'!F25*12*Assum!$I$69,0))</f>
        <v>0</v>
      </c>
      <c r="G17" s="295">
        <f>IF(AND(G92&gt;Assum!$I$51,IS!F92&gt;Assum!$I$51),12*'Power Price'!G25*Assum!$I$69,IF(AND(IS!F92&lt;Assum!$I$51,IS!G92&gt;Assum!$I$51),IS!$C$92*'Power Price'!G25*12*Assum!$I$69,0))</f>
        <v>0</v>
      </c>
      <c r="H17" s="295">
        <f>IF(AND(H92&gt;Assum!$I$51,IS!G92&gt;Assum!$I$51),12*'Power Price'!H25*Assum!$I$69,IF(AND(IS!G92&lt;Assum!$I$51,IS!H92&gt;Assum!$I$51),IS!$C$92*'Power Price'!H25*12*Assum!$I$69,0))</f>
        <v>0</v>
      </c>
      <c r="I17" s="295">
        <f>IF(AND(I92&gt;Assum!$I$51,IS!H92&gt;Assum!$I$51),12*'Power Price'!I25*Assum!$I$69,IF(AND(IS!H92&lt;Assum!$I$51,IS!I92&gt;Assum!$I$51),IS!$C$92*'Power Price'!I25*12*Assum!$I$69,0))</f>
        <v>0</v>
      </c>
      <c r="J17" s="295">
        <f>IF(AND(J92&gt;Assum!$I$51,IS!I92&gt;Assum!$I$51),12*'Power Price'!J25*Assum!$I$69,IF(AND(IS!I92&lt;Assum!$I$51,IS!J92&gt;Assum!$I$51),IS!$C$92*'Power Price'!J25*12*Assum!$I$69,0))</f>
        <v>0</v>
      </c>
      <c r="K17" s="295">
        <f>IF(AND(K92&gt;Assum!$I$51,IS!J92&gt;Assum!$I$51),12*'Power Price'!K25*Assum!$I$69,IF(AND(IS!J92&lt;Assum!$I$51,IS!K92&gt;Assum!$I$51),IS!$C$92*'Power Price'!K25*12*Assum!$I$69,0))</f>
        <v>0</v>
      </c>
      <c r="L17" s="295">
        <f>IF(AND(L92&gt;Assum!$I$51,IS!K92&gt;Assum!$I$51),12*'Power Price'!L25*Assum!$I$69,IF(AND(IS!K92&lt;Assum!$I$51,IS!L92&gt;Assum!$I$51),IS!$C$92*'Power Price'!L25*12*Assum!$I$69,0))</f>
        <v>0</v>
      </c>
      <c r="M17" s="295">
        <f>IF(AND(M92&gt;Assum!$I$51,IS!L92&gt;Assum!$I$51),12*'Power Price'!M25*Assum!$I$69,IF(AND(IS!L92&lt;Assum!$I$51,IS!M92&gt;Assum!$I$51),IS!$C$92*'Power Price'!M25*12*Assum!$I$69,0))</f>
        <v>0</v>
      </c>
      <c r="N17" s="295">
        <f>IF(AND(N92&gt;Assum!$I$51,IS!M92&gt;Assum!$I$51),12*'Power Price'!N25*Assum!$I$69,IF(AND(IS!M92&lt;Assum!$I$51,IS!N92&gt;Assum!$I$51),IS!$C$92*'Power Price'!N25*12*Assum!$I$69,0))</f>
        <v>0</v>
      </c>
      <c r="O17" s="295">
        <f>IF(AND(O92&gt;Assum!$I$51,IS!N92&gt;Assum!$I$51),12*'Power Price'!O25*Assum!$I$69,IF(AND(IS!N92&lt;Assum!$I$51,IS!O92&gt;Assum!$I$51),IS!$C$92*'Power Price'!O25*12*Assum!$I$69,0))</f>
        <v>0</v>
      </c>
      <c r="P17" s="295">
        <f>IF(AND(P92&gt;Assum!$I$51,IS!O92&gt;Assum!$I$51),12*'Power Price'!P25*Assum!$I$69,IF(AND(IS!O92&lt;Assum!$I$51,IS!P92&gt;Assum!$I$51),IS!$C$92*'Power Price'!P25*12*Assum!$I$69,0))</f>
        <v>0</v>
      </c>
      <c r="Q17" s="295">
        <f>IF(AND(Q92&gt;Assum!$I$51,IS!P92&gt;Assum!$I$51),12*'Power Price'!Q25*Assum!$I$69,IF(AND(IS!P92&lt;Assum!$I$51,IS!Q92&gt;Assum!$I$51),IS!$C$92*'Power Price'!Q25*12*Assum!$I$69,0))</f>
        <v>0</v>
      </c>
      <c r="R17" s="295">
        <f>IF(AND(R92&gt;Assum!$I$51,IS!Q92&gt;Assum!$I$51),12*'Power Price'!R25*Assum!$I$69,IF(AND(IS!Q92&lt;Assum!$I$51,IS!R92&gt;Assum!$I$51),IS!$C$92*'Power Price'!R25*12*Assum!$I$69,0))</f>
        <v>0</v>
      </c>
      <c r="S17" s="295"/>
    </row>
    <row r="18" spans="1:28">
      <c r="A18" s="3" t="s">
        <v>1146</v>
      </c>
      <c r="B18" s="294"/>
      <c r="C18" s="295">
        <f>IF(AND(C92&gt;Assum!$I$51,B92&gt;Assum!$I$51),Assum!$I$66*Assum!$I$70/1000,IF(AND(B92&lt;Assum!$I$51,IS!C92&gt;Assum!$I$51),Assum!$I$66*Assum!$I$70/1000*IS!$C$92,0))</f>
        <v>0</v>
      </c>
      <c r="D18" s="295">
        <f>IF(AND(D92&gt;Assum!$I$51,C92&gt;Assum!$I$51),Assum!$I$66*Assum!$I$70/1000,IF(AND(C92&lt;Assum!$I$51,IS!D92&gt;Assum!$I$51),Assum!$I$66*Assum!$I$70/1000*IS!$C$92,0))</f>
        <v>0</v>
      </c>
      <c r="E18" s="295">
        <f>IF(AND(E92&gt;Assum!$I$51,D92&gt;Assum!$I$51),Assum!$I$66*Assum!$I$70/1000,IF(AND(D92&lt;Assum!$I$51,IS!E92&gt;Assum!$I$51),Assum!$I$66*Assum!$I$70/1000*IS!$C$92,0))</f>
        <v>0</v>
      </c>
      <c r="F18" s="295">
        <f>IF(AND(F92&gt;Assum!$I$51,E92&gt;Assum!$I$51),Assum!$I$66*Assum!$I$70/1000,IF(AND(E92&lt;Assum!$I$51,IS!F92&gt;Assum!$I$51),Assum!$I$66*Assum!$I$70/1000*IS!$C$92,0))</f>
        <v>0</v>
      </c>
      <c r="G18" s="295">
        <f>IF(AND(G92&gt;Assum!$I$51,F92&gt;Assum!$I$51),Assum!$I$66*Assum!$I$70/1000,IF(AND(F92&lt;Assum!$I$51,IS!G92&gt;Assum!$I$51),Assum!$I$66*Assum!$I$70/1000*IS!$C$92,0))</f>
        <v>0</v>
      </c>
      <c r="H18" s="295">
        <f>IF(AND(H92&gt;Assum!$I$51,G92&gt;Assum!$I$51),Assum!$I$66*Assum!$I$70/1000,IF(AND(G92&lt;Assum!$I$51,IS!H92&gt;Assum!$I$51),Assum!$I$66*Assum!$I$70/1000*IS!$C$92,0))</f>
        <v>0</v>
      </c>
      <c r="I18" s="295">
        <f>IF(AND(I92&gt;Assum!$I$51,H92&gt;Assum!$I$51),Assum!$I$66*Assum!$I$70/1000,IF(AND(H92&lt;Assum!$I$51,IS!I92&gt;Assum!$I$51),Assum!$I$66*Assum!$I$70/1000*IS!$C$92,0))</f>
        <v>0</v>
      </c>
      <c r="J18" s="295">
        <f>IF(AND(J92&gt;Assum!$I$51,I92&gt;Assum!$I$51),Assum!$I$66*Assum!$I$70/1000,IF(AND(I92&lt;Assum!$I$51,IS!J92&gt;Assum!$I$51),Assum!$I$66*Assum!$I$70/1000*IS!$C$92,0))</f>
        <v>0</v>
      </c>
      <c r="K18" s="295">
        <f>IF(AND(K92&gt;Assum!$I$51,J92&gt;Assum!$I$51),Assum!$I$66*Assum!$I$70/1000,IF(AND(J92&lt;Assum!$I$51,IS!K92&gt;Assum!$I$51),Assum!$I$66*Assum!$I$70/1000*IS!$C$92,0))</f>
        <v>0</v>
      </c>
      <c r="L18" s="295">
        <f>IF(AND(L92&gt;Assum!$I$51,K92&gt;Assum!$I$51),Assum!$I$66*Assum!$I$70/1000,IF(AND(K92&lt;Assum!$I$51,IS!L92&gt;Assum!$I$51),Assum!$I$66*Assum!$I$70/1000*IS!$C$92,0))</f>
        <v>0</v>
      </c>
      <c r="M18" s="295">
        <f>IF(AND(M92&gt;Assum!$I$51,L92&gt;Assum!$I$51),Assum!$I$66*Assum!$I$70/1000,IF(AND(L92&lt;Assum!$I$51,IS!M92&gt;Assum!$I$51),Assum!$I$66*Assum!$I$70/1000*IS!$C$92,0))</f>
        <v>0</v>
      </c>
      <c r="N18" s="295">
        <f>IF(AND(N92&gt;Assum!$I$51,M92&gt;Assum!$I$51),Assum!$I$66*Assum!$I$70/1000,IF(AND(M92&lt;Assum!$I$51,IS!N92&gt;Assum!$I$51),Assum!$I$66*Assum!$I$70/1000*IS!$C$92,0))</f>
        <v>0</v>
      </c>
      <c r="O18" s="295">
        <f>IF(AND(O92&gt;Assum!$I$51,N92&gt;Assum!$I$51),Assum!$I$66*Assum!$I$70/1000,IF(AND(N92&lt;Assum!$I$51,IS!O92&gt;Assum!$I$51),Assum!$I$66*Assum!$I$70/1000*IS!$C$92,0))</f>
        <v>0</v>
      </c>
      <c r="P18" s="295">
        <f>IF(AND(P92&gt;Assum!$I$51,O92&gt;Assum!$I$51),Assum!$I$66*Assum!$I$70/1000,IF(AND(O92&lt;Assum!$I$51,IS!P92&gt;Assum!$I$51),Assum!$I$66*Assum!$I$70/1000*IS!$C$92,0))</f>
        <v>0</v>
      </c>
      <c r="Q18" s="295">
        <f>IF(AND(Q92&gt;Assum!$I$51,P92&gt;Assum!$I$51),Assum!$I$66*Assum!$I$70/1000,IF(AND(P92&lt;Assum!$I$51,IS!Q92&gt;Assum!$I$51),Assum!$I$66*Assum!$I$70/1000*IS!$C$92,0))</f>
        <v>0</v>
      </c>
      <c r="R18" s="295">
        <f>IF(AND(R92&gt;Assum!$I$51,Q92&gt;Assum!$I$51),Assum!$I$66*Assum!$I$70/1000,IF(AND(Q92&lt;Assum!$I$51,IS!R92&gt;Assum!$I$51),Assum!$I$66*Assum!$I$70/1000*IS!$C$92,0))</f>
        <v>0</v>
      </c>
      <c r="S18" s="295"/>
    </row>
    <row r="19" spans="1:28">
      <c r="A19" s="3" t="s">
        <v>1147</v>
      </c>
      <c r="C19" s="295">
        <v>0</v>
      </c>
      <c r="D19" s="295">
        <v>0</v>
      </c>
      <c r="E19" s="295">
        <v>0</v>
      </c>
      <c r="F19" s="295">
        <v>0</v>
      </c>
      <c r="G19" s="295">
        <v>0</v>
      </c>
      <c r="H19" s="295">
        <v>0</v>
      </c>
      <c r="I19" s="295">
        <v>0</v>
      </c>
      <c r="J19" s="295">
        <v>0</v>
      </c>
      <c r="K19" s="295">
        <v>0</v>
      </c>
      <c r="L19" s="295">
        <v>0</v>
      </c>
      <c r="M19" s="295">
        <v>0</v>
      </c>
      <c r="N19" s="295">
        <v>0</v>
      </c>
      <c r="O19" s="295">
        <v>0</v>
      </c>
      <c r="P19" s="295">
        <v>0</v>
      </c>
      <c r="Q19" s="295">
        <v>0</v>
      </c>
      <c r="R19" s="295">
        <v>0</v>
      </c>
      <c r="S19" s="295"/>
    </row>
    <row r="20" spans="1:28">
      <c r="A20" s="3" t="s">
        <v>1142</v>
      </c>
      <c r="C20" s="295">
        <v>0</v>
      </c>
      <c r="D20" s="295">
        <v>0</v>
      </c>
      <c r="E20" s="295">
        <v>0</v>
      </c>
      <c r="F20" s="295">
        <v>0</v>
      </c>
      <c r="G20" s="295">
        <v>0</v>
      </c>
      <c r="H20" s="295">
        <v>0</v>
      </c>
      <c r="I20" s="295">
        <v>0</v>
      </c>
      <c r="J20" s="295">
        <v>0</v>
      </c>
      <c r="K20" s="295">
        <v>0</v>
      </c>
      <c r="L20" s="295">
        <v>0</v>
      </c>
      <c r="M20" s="295">
        <v>0</v>
      </c>
      <c r="N20" s="295">
        <v>0</v>
      </c>
      <c r="O20" s="295">
        <v>0</v>
      </c>
      <c r="P20" s="295">
        <v>0</v>
      </c>
      <c r="Q20" s="295">
        <v>0</v>
      </c>
      <c r="R20" s="295">
        <v>0</v>
      </c>
      <c r="S20" s="295"/>
    </row>
    <row r="21" spans="1:28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28">
      <c r="A22" s="274" t="s">
        <v>1013</v>
      </c>
      <c r="C22" s="295">
        <f>IF(AND(C92&gt;Assum!$I$51,B92&gt;Assum!$I$51),Assum!$I$72*Assum!$I$13*Assum!$I$73*Assum!$I$69/1000,IF(AND(C92&gt;Assum!$I$51,B92&lt;Assum!$I$51),Assum!$I$72*Assum!$I$13*Assum!$I$73*Assum!$I$69/1000*$C$92,0))</f>
        <v>0</v>
      </c>
      <c r="D22" s="295">
        <f>IF(AND(D92&gt;Assum!$I$51,IS!C92&gt;Assum!$I$51),Assum!$I$72*Assum!$I$13*Assum!$I$73*Assum!$I$69/1000,IF(AND(D92&gt;Assum!$I$51,IS!C92&lt;Assum!$I$51),Assum!$I$72*Assum!$I$13*Assum!$I$73*Assum!$I$69/1000*$C$92,0))</f>
        <v>0</v>
      </c>
      <c r="E22" s="295">
        <f>IF(AND(E92&gt;Assum!$I$51,IS!D92&gt;Assum!$I$51),Assum!$I$72*Assum!$I$13*Assum!$I$73*Assum!$I$69/1000,IF(AND(E92&gt;Assum!$I$51,IS!D92&lt;Assum!$I$51),Assum!$I$72*Assum!$I$13*Assum!$I$73*Assum!$I$69/1000*$C$92,0))</f>
        <v>0</v>
      </c>
      <c r="F22" s="295">
        <f>IF(AND(F92&gt;Assum!$I$51,IS!E92&gt;Assum!$I$51),Assum!$I$72*Assum!$I$13*Assum!$I$73*Assum!$I$69/1000,IF(AND(F92&gt;Assum!$I$51,IS!E92&lt;Assum!$I$51),Assum!$I$72*Assum!$I$13*Assum!$I$73*Assum!$I$69/1000*$C$92,0))</f>
        <v>0</v>
      </c>
      <c r="G22" s="295">
        <f>IF(AND(G92&gt;Assum!$I$51,IS!F92&gt;Assum!$I$51),Assum!$I$72*Assum!$I$13*Assum!$I$73*Assum!$I$69/1000,IF(AND(G92&gt;Assum!$I$51,IS!F92&lt;Assum!$I$51),Assum!$I$72*Assum!$I$13*Assum!$I$73*Assum!$I$69/1000*$C$92,0))</f>
        <v>0</v>
      </c>
      <c r="H22" s="295">
        <f>IF(AND(H92&gt;Assum!$I$51,IS!G92&gt;Assum!$I$51),Assum!$I$72*Assum!$I$13*Assum!$I$73*Assum!$I$69/1000,IF(AND(H92&gt;Assum!$I$51,IS!G92&lt;Assum!$I$51),Assum!$I$72*Assum!$I$13*Assum!$I$73*Assum!$I$69/1000*$C$92,0))</f>
        <v>0</v>
      </c>
      <c r="I22" s="295">
        <f>IF(AND(I92&gt;Assum!$I$51,IS!H92&gt;Assum!$I$51),Assum!$I$72*Assum!$I$13*Assum!$I$73*Assum!$I$69/1000,IF(AND(I92&gt;Assum!$I$51,IS!H92&lt;Assum!$I$51),Assum!$I$72*Assum!$I$13*Assum!$I$73*Assum!$I$69/1000*$C$92,0))</f>
        <v>0</v>
      </c>
      <c r="J22" s="295">
        <f>IF(AND(J92&gt;Assum!$I$51,IS!I92&gt;Assum!$I$51),Assum!$I$72*Assum!$I$13*Assum!$I$73*Assum!$I$69/1000,IF(AND(J92&gt;Assum!$I$51,IS!I92&lt;Assum!$I$51),Assum!$I$72*Assum!$I$13*Assum!$I$73*Assum!$I$69/1000*$C$92,0))</f>
        <v>0</v>
      </c>
      <c r="K22" s="295">
        <f>IF(AND(K92&gt;Assum!$I$51,IS!J92&gt;Assum!$I$51),Assum!$I$72*Assum!$I$13*Assum!$I$73*Assum!$I$69/1000,IF(AND(K92&gt;Assum!$I$51,IS!J92&lt;Assum!$I$51),Assum!$I$72*Assum!$I$13*Assum!$I$73*Assum!$I$69/1000*$C$92,0))</f>
        <v>0</v>
      </c>
      <c r="L22" s="295">
        <f>IF(AND(L92&gt;Assum!$I$51,IS!K92&gt;Assum!$I$51),Assum!$I$72*Assum!$I$13*Assum!$I$73*Assum!$I$69/1000,IF(AND(L92&gt;Assum!$I$51,IS!K92&lt;Assum!$I$51),Assum!$I$72*Assum!$I$13*Assum!$I$73*Assum!$I$69/1000*$C$92,0))</f>
        <v>0</v>
      </c>
      <c r="M22" s="295">
        <f>IF(AND(M92&gt;Assum!$I$51,IS!L92&gt;Assum!$I$51),Assum!$I$72*Assum!$I$13*Assum!$I$73*Assum!$I$69/1000,IF(AND(M92&gt;Assum!$I$51,IS!L92&lt;Assum!$I$51),Assum!$I$72*Assum!$I$13*Assum!$I$73*Assum!$I$69/1000*$C$92,0))</f>
        <v>0</v>
      </c>
      <c r="N22" s="295">
        <f>IF(AND(N92&gt;Assum!$I$51,IS!M92&gt;Assum!$I$51),Assum!$I$72*Assum!$I$13*Assum!$I$73*Assum!$I$69/1000,IF(AND(N92&gt;Assum!$I$51,IS!M92&lt;Assum!$I$51),Assum!$I$72*Assum!$I$13*Assum!$I$73*Assum!$I$69/1000*$C$92,0))</f>
        <v>0</v>
      </c>
      <c r="O22" s="295">
        <f>IF(AND(O92&gt;Assum!$I$51,IS!N92&gt;Assum!$I$51),Assum!$I$72*Assum!$I$13*Assum!$I$73*Assum!$I$69/1000,IF(AND(O92&gt;Assum!$I$51,IS!N92&lt;Assum!$I$51),Assum!$I$72*Assum!$I$13*Assum!$I$73*Assum!$I$69/1000*$C$92,0))</f>
        <v>0</v>
      </c>
      <c r="P22" s="295">
        <f>IF(AND(P92&gt;Assum!$I$51,IS!O92&gt;Assum!$I$51),Assum!$I$72*Assum!$I$13*Assum!$I$73*Assum!$I$69/1000,IF(AND(P92&gt;Assum!$I$51,IS!O92&lt;Assum!$I$51),Assum!$I$72*Assum!$I$13*Assum!$I$73*Assum!$I$69/1000*$C$92,0))</f>
        <v>0</v>
      </c>
      <c r="Q22" s="295">
        <f>IF(AND(Q92&gt;Assum!$I$51,IS!P92&gt;Assum!$I$51),Assum!$I$72*Assum!$I$13*Assum!$I$73*Assum!$I$69/1000,IF(AND(Q92&gt;Assum!$I$51,IS!P92&lt;Assum!$I$51),Assum!$I$72*Assum!$I$13*Assum!$I$73*Assum!$I$69/1000*$C$92,0))</f>
        <v>0</v>
      </c>
      <c r="R22" s="295">
        <f>IF(AND(R92&gt;Assum!$I$51,IS!Q92&gt;Assum!$I$51),Assum!$I$72*Assum!$I$13*Assum!$I$73*Assum!$I$69/1000,IF(AND(R92&gt;Assum!$I$51,IS!Q92&lt;Assum!$I$51),Assum!$I$72*Assum!$I$13*Assum!$I$73*Assum!$I$69/1000*$C$92,0))</f>
        <v>0</v>
      </c>
      <c r="S22" s="295"/>
    </row>
    <row r="23" spans="1:28">
      <c r="A23" s="317" t="s">
        <v>1148</v>
      </c>
      <c r="C23" s="295">
        <v>0</v>
      </c>
      <c r="D23" s="295">
        <v>0</v>
      </c>
      <c r="E23" s="295">
        <v>0</v>
      </c>
      <c r="F23" s="295">
        <v>0</v>
      </c>
      <c r="G23" s="295">
        <v>0</v>
      </c>
      <c r="H23" s="295">
        <v>0</v>
      </c>
      <c r="I23" s="295">
        <v>0</v>
      </c>
      <c r="J23" s="295">
        <v>0</v>
      </c>
      <c r="K23" s="295">
        <v>0</v>
      </c>
      <c r="L23" s="295">
        <v>0</v>
      </c>
      <c r="M23" s="295">
        <v>0</v>
      </c>
      <c r="N23" s="295">
        <v>0</v>
      </c>
      <c r="O23" s="295">
        <v>0</v>
      </c>
      <c r="P23" s="295">
        <v>0</v>
      </c>
      <c r="Q23" s="295">
        <v>0</v>
      </c>
      <c r="R23" s="295">
        <v>0</v>
      </c>
      <c r="S23" s="295"/>
    </row>
    <row r="24" spans="1:28">
      <c r="A24" s="317" t="s">
        <v>1149</v>
      </c>
      <c r="C24" s="296">
        <v>0</v>
      </c>
      <c r="D24" s="296">
        <v>0</v>
      </c>
      <c r="E24" s="296">
        <v>0</v>
      </c>
      <c r="F24" s="296">
        <v>0</v>
      </c>
      <c r="G24" s="296">
        <v>0</v>
      </c>
      <c r="H24" s="296">
        <v>0</v>
      </c>
      <c r="I24" s="296">
        <v>0</v>
      </c>
      <c r="J24" s="296">
        <v>0</v>
      </c>
      <c r="K24" s="296">
        <v>0</v>
      </c>
      <c r="L24" s="296">
        <v>0</v>
      </c>
      <c r="M24" s="296">
        <v>0</v>
      </c>
      <c r="N24" s="296">
        <v>0</v>
      </c>
      <c r="O24" s="296">
        <v>0</v>
      </c>
      <c r="P24" s="296">
        <v>0</v>
      </c>
      <c r="Q24" s="296">
        <v>0</v>
      </c>
      <c r="R24" s="296">
        <v>0</v>
      </c>
      <c r="S24" s="296"/>
    </row>
    <row r="25" spans="1:28">
      <c r="A25" s="274" t="s">
        <v>1014</v>
      </c>
      <c r="C25" s="106">
        <f>SUM(C11:C24)</f>
        <v>10978.969160000001</v>
      </c>
      <c r="D25" s="106">
        <f t="shared" ref="D25:S25" si="3">SUM(D11:D24)</f>
        <v>17942.488234799999</v>
      </c>
      <c r="E25" s="106">
        <f t="shared" si="3"/>
        <v>17980.8403936092</v>
      </c>
      <c r="F25" s="106">
        <f t="shared" si="3"/>
        <v>18019.624344827062</v>
      </c>
      <c r="G25" s="106">
        <f t="shared" si="3"/>
        <v>18058.813826482219</v>
      </c>
      <c r="H25" s="106">
        <f t="shared" si="3"/>
        <v>18097.949562562535</v>
      </c>
      <c r="I25" s="106">
        <f t="shared" si="3"/>
        <v>18137.410815882955</v>
      </c>
      <c r="J25" s="106">
        <f t="shared" si="3"/>
        <v>18177.166979259087</v>
      </c>
      <c r="K25" s="106">
        <f t="shared" si="3"/>
        <v>18217.341887323975</v>
      </c>
      <c r="L25" s="106">
        <f t="shared" si="3"/>
        <v>18257.914371262006</v>
      </c>
      <c r="M25" s="106">
        <f t="shared" si="3"/>
        <v>18299.189813417805</v>
      </c>
      <c r="N25" s="106">
        <f t="shared" si="3"/>
        <v>18341.169558753252</v>
      </c>
      <c r="O25" s="106">
        <f t="shared" si="3"/>
        <v>18384.715148589708</v>
      </c>
      <c r="P25" s="106">
        <f t="shared" si="3"/>
        <v>18430.068327908462</v>
      </c>
      <c r="Q25" s="106">
        <f t="shared" si="3"/>
        <v>18477.311111266874</v>
      </c>
      <c r="R25" s="106">
        <f t="shared" si="3"/>
        <v>18526.9013179377</v>
      </c>
      <c r="S25" s="106">
        <f t="shared" si="3"/>
        <v>18578.578343653811</v>
      </c>
      <c r="T25" s="106">
        <f t="shared" ref="T25:AB25" si="4">SUM(T11:T24)</f>
        <v>18631.655816766826</v>
      </c>
      <c r="U25" s="106">
        <f t="shared" si="4"/>
        <v>18686.17168940121</v>
      </c>
      <c r="V25" s="106">
        <f t="shared" si="4"/>
        <v>18742.164942183979</v>
      </c>
      <c r="W25" s="106">
        <f t="shared" si="4"/>
        <v>18799.675612117167</v>
      </c>
      <c r="X25" s="106">
        <f t="shared" si="4"/>
        <v>18858.744821205546</v>
      </c>
      <c r="Y25" s="106">
        <f t="shared" si="4"/>
        <v>18919.414805860211</v>
      </c>
      <c r="Z25" s="106">
        <f t="shared" si="4"/>
        <v>18981.728947099025</v>
      </c>
      <c r="AA25" s="106">
        <f t="shared" si="4"/>
        <v>19045.731801565409</v>
      </c>
      <c r="AB25" s="106">
        <f t="shared" si="4"/>
        <v>18714.036837729884</v>
      </c>
    </row>
    <row r="26" spans="1:28">
      <c r="A26" s="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</row>
    <row r="27" spans="1:28">
      <c r="A27" s="1" t="s">
        <v>1218</v>
      </c>
    </row>
    <row r="28" spans="1:28">
      <c r="A28" s="1"/>
    </row>
    <row r="29" spans="1:28">
      <c r="A29" s="1" t="s">
        <v>1007</v>
      </c>
    </row>
    <row r="30" spans="1:28">
      <c r="A30" s="5" t="s">
        <v>1211</v>
      </c>
      <c r="C30" s="337">
        <f>(Assum!$R$26*annual_hours)*(C94)</f>
        <v>0</v>
      </c>
      <c r="D30" s="337">
        <f>(Assum!$R$26*annual_hours)*(D94)</f>
        <v>0</v>
      </c>
      <c r="E30" s="337">
        <f>(Assum!$R$26*annual_hours)*(E94)</f>
        <v>0</v>
      </c>
      <c r="F30" s="337">
        <f>(Assum!$R$26*annual_hours)*(F94)</f>
        <v>0</v>
      </c>
      <c r="G30" s="337">
        <f>(Assum!$R$26*annual_hours)*(G94)</f>
        <v>0</v>
      </c>
      <c r="H30" s="337">
        <f>(Assum!$R$26*annual_hours)*(H94)</f>
        <v>0</v>
      </c>
      <c r="I30" s="337">
        <f>(Assum!$R$26*annual_hours)*(I94)</f>
        <v>0</v>
      </c>
      <c r="J30" s="337">
        <f>(Assum!$R$26*annual_hours)*(J94)</f>
        <v>0</v>
      </c>
      <c r="K30" s="337">
        <f>(Assum!$R$26*annual_hours)*(K94)</f>
        <v>0</v>
      </c>
      <c r="L30" s="337">
        <f>(Assum!$R$26*annual_hours)*(L94)</f>
        <v>0</v>
      </c>
      <c r="M30" s="337">
        <f>(Assum!$R$26*annual_hours)*(M94)</f>
        <v>0</v>
      </c>
      <c r="N30" s="337">
        <f>(Assum!$R$26*annual_hours)*(N94)</f>
        <v>0</v>
      </c>
      <c r="O30" s="337">
        <f>(Assum!$R$26*annual_hours)*(O94)</f>
        <v>0</v>
      </c>
      <c r="P30" s="337">
        <f>(Assum!$R$26*annual_hours)*(P94)</f>
        <v>0</v>
      </c>
      <c r="Q30" s="337">
        <f>(Assum!$R$26*annual_hours)*(Q94)</f>
        <v>0</v>
      </c>
      <c r="R30" s="337">
        <f>(Assum!$R$26*annual_hours)*(R94)</f>
        <v>0</v>
      </c>
      <c r="S30" s="337"/>
    </row>
    <row r="31" spans="1:28">
      <c r="A31" s="5" t="s">
        <v>1212</v>
      </c>
      <c r="C31" s="337">
        <f>(Assum!$P27*C88/1000)*C94</f>
        <v>0</v>
      </c>
      <c r="D31" s="337">
        <f>(Assum!$P27*D88/1000)*D94</f>
        <v>0</v>
      </c>
      <c r="E31" s="337">
        <f>(Assum!$P27*E88/1000)*E94</f>
        <v>0</v>
      </c>
      <c r="F31" s="337">
        <f>(Assum!$P27*F88/1000)*F94</f>
        <v>0</v>
      </c>
      <c r="G31" s="337">
        <f>(Assum!$P27*G88/1000)*G94</f>
        <v>0</v>
      </c>
      <c r="H31" s="337">
        <f>(Assum!$P27*H88/1000)*H94</f>
        <v>0</v>
      </c>
      <c r="I31" s="337">
        <f>(Assum!$P27*I88/1000)*I94</f>
        <v>0</v>
      </c>
      <c r="J31" s="337">
        <f>(Assum!$P27*J88/1000)*J94</f>
        <v>0</v>
      </c>
      <c r="K31" s="337">
        <f>(Assum!$P27*K88/1000)*K94</f>
        <v>0</v>
      </c>
      <c r="L31" s="337">
        <f>(Assum!$P27*L88/1000)*L94</f>
        <v>0</v>
      </c>
      <c r="M31" s="337">
        <f>(Assum!$P27*M88/1000)*M94</f>
        <v>0</v>
      </c>
      <c r="N31" s="337">
        <f>(Assum!$P27*N88/1000)*N94</f>
        <v>0</v>
      </c>
      <c r="O31" s="337">
        <f>(Assum!$P27*O88/1000)*O94</f>
        <v>0</v>
      </c>
      <c r="P31" s="337">
        <f>(Assum!$P27*P88/1000)*P94</f>
        <v>0</v>
      </c>
      <c r="Q31" s="337">
        <f>(Assum!$P27*Q88/1000)*Q94</f>
        <v>0</v>
      </c>
      <c r="R31" s="337">
        <f>(Assum!$P27*R88/1000)*R94</f>
        <v>0</v>
      </c>
      <c r="S31" s="337"/>
    </row>
    <row r="32" spans="1:28">
      <c r="A32" s="5" t="s">
        <v>941</v>
      </c>
      <c r="C32" s="343">
        <f>(Assum!$P28*C88/1000)*C94</f>
        <v>105.03150299999999</v>
      </c>
      <c r="D32" s="343">
        <f>(Assum!$P28*D88/1000)*D94</f>
        <v>108.18244808999999</v>
      </c>
      <c r="E32" s="343">
        <f>(Assum!$P28*E88/1000)*E94</f>
        <v>111.31973908460998</v>
      </c>
      <c r="F32" s="343">
        <f>(Assum!$P28*F88/1000)*F94</f>
        <v>114.49235164852135</v>
      </c>
      <c r="G32" s="343">
        <f>(Assum!$P28*G88/1000)*G94</f>
        <v>117.69813749467995</v>
      </c>
      <c r="H32" s="343">
        <f>(Assum!$P28*H88/1000)*H94</f>
        <v>120.89952683453525</v>
      </c>
      <c r="I32" s="343">
        <f>(Assum!$P28*I88/1000)*I94</f>
        <v>124.12754420101733</v>
      </c>
      <c r="J32" s="343">
        <f>(Assum!$P28*J88/1000)*J94</f>
        <v>127.37968585908398</v>
      </c>
      <c r="K32" s="343">
        <f>(Assum!$P28*K88/1000)*K94</f>
        <v>130.66608175424835</v>
      </c>
      <c r="L32" s="343">
        <f>(Assum!$P28*L88/1000)*L94</f>
        <v>133.98500023080626</v>
      </c>
      <c r="M32" s="343">
        <f>(Assum!$P28*M88/1000)*M94</f>
        <v>137.36142223662259</v>
      </c>
      <c r="N32" s="343">
        <f>(Assum!$P28*N88/1000)*N94</f>
        <v>140.79545779253812</v>
      </c>
      <c r="O32" s="343">
        <f>(Assum!$P28*O88/1000)*O94</f>
        <v>144.35758287468934</v>
      </c>
      <c r="P32" s="343">
        <f>(Assum!$P28*P88/1000)*P94</f>
        <v>148.06757275456886</v>
      </c>
      <c r="Q32" s="343">
        <f>(Assum!$P28*Q88/1000)*Q94</f>
        <v>151.93213640346312</v>
      </c>
      <c r="R32" s="343">
        <f>(Assum!$P28*R88/1000)*R94</f>
        <v>155.98872444543559</v>
      </c>
      <c r="S32" s="343">
        <f>(Assum!$P28*S88/1000)*S94</f>
        <v>160.21601887790686</v>
      </c>
      <c r="T32" s="343">
        <f>(Assum!$P28*T88/1000)*T94</f>
        <v>164.55787298949812</v>
      </c>
      <c r="U32" s="343">
        <f>(Assum!$P28*U88/1000)*U94</f>
        <v>169.01739134751352</v>
      </c>
      <c r="V32" s="343">
        <f>(Assum!$P28*V88/1000)*V94</f>
        <v>173.59776265303114</v>
      </c>
      <c r="W32" s="343">
        <f>(Assum!$P28*W88/1000)*W94</f>
        <v>178.30226202092825</v>
      </c>
      <c r="X32" s="343">
        <f>(Assum!$P28*X88/1000)*X94</f>
        <v>183.13425332169541</v>
      </c>
      <c r="Y32" s="343">
        <f>(Assum!$P28*Y88/1000)*Y94</f>
        <v>188.09719158671334</v>
      </c>
      <c r="Z32" s="343">
        <f>(Assum!$P28*Z88/1000)*Z94</f>
        <v>193.19462547871325</v>
      </c>
      <c r="AA32" s="343">
        <f>(Assum!$P28*AA88/1000)*AA94</f>
        <v>198.43019982918636</v>
      </c>
      <c r="AB32" s="343">
        <f>(Assum!$P28*AB88/1000)*AB94</f>
        <v>203.8076582445573</v>
      </c>
    </row>
    <row r="33" spans="1:28">
      <c r="A33" s="1" t="s">
        <v>1214</v>
      </c>
      <c r="C33" s="337">
        <f>SUM(C30:C32)</f>
        <v>105.03150299999999</v>
      </c>
      <c r="D33" s="337">
        <f t="shared" ref="D33:S33" si="5">SUM(D30:D32)</f>
        <v>108.18244808999999</v>
      </c>
      <c r="E33" s="337">
        <f t="shared" si="5"/>
        <v>111.31973908460998</v>
      </c>
      <c r="F33" s="337">
        <f t="shared" si="5"/>
        <v>114.49235164852135</v>
      </c>
      <c r="G33" s="337">
        <f t="shared" si="5"/>
        <v>117.69813749467995</v>
      </c>
      <c r="H33" s="337">
        <f t="shared" si="5"/>
        <v>120.89952683453525</v>
      </c>
      <c r="I33" s="337">
        <f t="shared" si="5"/>
        <v>124.12754420101733</v>
      </c>
      <c r="J33" s="337">
        <f t="shared" si="5"/>
        <v>127.37968585908398</v>
      </c>
      <c r="K33" s="337">
        <f t="shared" si="5"/>
        <v>130.66608175424835</v>
      </c>
      <c r="L33" s="337">
        <f t="shared" si="5"/>
        <v>133.98500023080626</v>
      </c>
      <c r="M33" s="337">
        <f t="shared" si="5"/>
        <v>137.36142223662259</v>
      </c>
      <c r="N33" s="337">
        <f t="shared" si="5"/>
        <v>140.79545779253812</v>
      </c>
      <c r="O33" s="337">
        <f t="shared" si="5"/>
        <v>144.35758287468934</v>
      </c>
      <c r="P33" s="337">
        <f t="shared" si="5"/>
        <v>148.06757275456886</v>
      </c>
      <c r="Q33" s="337">
        <f t="shared" si="5"/>
        <v>151.93213640346312</v>
      </c>
      <c r="R33" s="337">
        <f t="shared" si="5"/>
        <v>155.98872444543559</v>
      </c>
      <c r="S33" s="337">
        <f t="shared" si="5"/>
        <v>160.21601887790686</v>
      </c>
      <c r="T33" s="337">
        <f t="shared" ref="T33:AB33" si="6">SUM(T30:T32)</f>
        <v>164.55787298949812</v>
      </c>
      <c r="U33" s="337">
        <f t="shared" si="6"/>
        <v>169.01739134751352</v>
      </c>
      <c r="V33" s="337">
        <f t="shared" si="6"/>
        <v>173.59776265303114</v>
      </c>
      <c r="W33" s="337">
        <f t="shared" si="6"/>
        <v>178.30226202092825</v>
      </c>
      <c r="X33" s="337">
        <f t="shared" si="6"/>
        <v>183.13425332169541</v>
      </c>
      <c r="Y33" s="337">
        <f t="shared" si="6"/>
        <v>188.09719158671334</v>
      </c>
      <c r="Z33" s="337">
        <f t="shared" si="6"/>
        <v>193.19462547871325</v>
      </c>
      <c r="AA33" s="337">
        <f t="shared" si="6"/>
        <v>198.43019982918636</v>
      </c>
      <c r="AB33" s="337">
        <f t="shared" si="6"/>
        <v>203.8076582445573</v>
      </c>
    </row>
    <row r="34" spans="1:28">
      <c r="A34" s="1"/>
      <c r="C34">
        <f>C33/C88*1000</f>
        <v>0.22159986738377663</v>
      </c>
    </row>
    <row r="35" spans="1:28">
      <c r="A35" s="1" t="s">
        <v>1227</v>
      </c>
    </row>
    <row r="36" spans="1:28">
      <c r="A36" s="5" t="s">
        <v>1231</v>
      </c>
      <c r="C36" s="337">
        <f>Assum!$O$32*(C94)*C91</f>
        <v>498.70588235294122</v>
      </c>
      <c r="D36" s="337">
        <f>Assum!$O$32*(D94)*D91</f>
        <v>513.66705882352949</v>
      </c>
      <c r="E36" s="337">
        <f>Assum!$O$32*(E94)*E91</f>
        <v>528.56340352941174</v>
      </c>
      <c r="F36" s="337">
        <f>Assum!$O$32*(F94)*F91</f>
        <v>543.62746053000001</v>
      </c>
      <c r="G36" s="337">
        <f>Assum!$O$32*(G94)*G91</f>
        <v>558.84902942484007</v>
      </c>
      <c r="H36" s="337">
        <f>Assum!$O$32*(H94)*H91</f>
        <v>574.0497230251957</v>
      </c>
      <c r="I36" s="337">
        <f>Assum!$O$32*(I94)*I91</f>
        <v>589.37685062996832</v>
      </c>
      <c r="J36" s="337">
        <f>Assum!$O$32*(J94)*J91</f>
        <v>604.81852411647344</v>
      </c>
      <c r="K36" s="337">
        <f>Assum!$O$32*(K94)*K91</f>
        <v>620.4228420386786</v>
      </c>
      <c r="L36" s="337">
        <f>Assum!$O$32*(L94)*L91</f>
        <v>636.18158222646105</v>
      </c>
      <c r="M36" s="337">
        <f>Assum!$O$32*(M94)*M91</f>
        <v>652.21335809856782</v>
      </c>
      <c r="N36" s="337">
        <f>Assum!$O$32*(N94)*N91</f>
        <v>668.51869205103185</v>
      </c>
      <c r="O36" s="337">
        <f>Assum!$O$32*(O94)*O91</f>
        <v>685.43221495992304</v>
      </c>
      <c r="P36" s="337">
        <f>Assum!$O$32*(P94)*P91</f>
        <v>703.0478228843931</v>
      </c>
      <c r="Q36" s="337">
        <f>Assum!$O$32*(Q94)*Q91</f>
        <v>721.3973710616757</v>
      </c>
      <c r="R36" s="337">
        <f>Assum!$O$32*(R94)*R91</f>
        <v>740.65868086902253</v>
      </c>
      <c r="S36" s="337">
        <f>Assum!$O$32*(S94)*S91</f>
        <v>760.730531120573</v>
      </c>
      <c r="T36" s="337">
        <f>Assum!$O$32*(T94)*T91</f>
        <v>781.34632851394031</v>
      </c>
      <c r="U36" s="337">
        <f>Assum!$O$32*(U94)*U91</f>
        <v>802.52081401666806</v>
      </c>
      <c r="V36" s="337">
        <f>Assum!$O$32*(V94)*V91</f>
        <v>824.26912807651979</v>
      </c>
      <c r="W36" s="337">
        <f>Assum!$O$32*(W94)*W91</f>
        <v>846.60682144739349</v>
      </c>
      <c r="X36" s="337">
        <f>Assum!$O$32*(X94)*X91</f>
        <v>869.54986630861777</v>
      </c>
      <c r="Y36" s="337">
        <f>Assum!$O$32*(Y94)*Y91</f>
        <v>893.11466768558125</v>
      </c>
      <c r="Z36" s="337">
        <f>Assum!$O$32*(Z94)*Z91</f>
        <v>917.31807517986033</v>
      </c>
      <c r="AA36" s="337">
        <f>Assum!$O$32*(AA94)*AA91</f>
        <v>942.1773950172344</v>
      </c>
      <c r="AB36" s="337">
        <f>Assum!$O$32*(AB94)*AB91</f>
        <v>967.71040242220147</v>
      </c>
    </row>
    <row r="37" spans="1:28">
      <c r="A37" s="5" t="s">
        <v>1204</v>
      </c>
      <c r="C37" s="344">
        <f>C90*Assum!$O$33*(IS!C90-IS!B90)</f>
        <v>0</v>
      </c>
      <c r="D37" s="344">
        <f>Assum!$O$33*(IS!D90-IS!C90)*D94</f>
        <v>0</v>
      </c>
      <c r="E37" s="344">
        <f>Assum!$O$33*(IS!E90-IS!D90)*E94</f>
        <v>0</v>
      </c>
      <c r="F37" s="344">
        <f>Assum!$O$33*(IS!F90-IS!E90)*F94</f>
        <v>0</v>
      </c>
      <c r="G37" s="344">
        <f>Assum!$O$33*(IS!G90-IS!F90)*G94</f>
        <v>0</v>
      </c>
      <c r="H37" s="344">
        <f>Assum!$O$33*(IS!H90-IS!G90)*H94</f>
        <v>0</v>
      </c>
      <c r="I37" s="344">
        <f>Assum!$O$33*(IS!I90-IS!H90)*I94</f>
        <v>0</v>
      </c>
      <c r="J37" s="344">
        <f>Assum!$O$33*(IS!J90-IS!I90)*J94</f>
        <v>0</v>
      </c>
      <c r="K37" s="344">
        <f>Assum!$O$33*(IS!K90-IS!J90)*K94</f>
        <v>0</v>
      </c>
      <c r="L37" s="344">
        <f>Assum!$O$33*(IS!L90-IS!K90)*L94</f>
        <v>0</v>
      </c>
      <c r="M37" s="344">
        <f>Assum!$O$33*(IS!M90-IS!L90)*M94</f>
        <v>0</v>
      </c>
      <c r="N37" s="344">
        <f>Assum!$O$33*(IS!N90-IS!M90)*N94</f>
        <v>0</v>
      </c>
      <c r="O37" s="344">
        <f>Assum!$O$33*(IS!O90-IS!N90)*O94</f>
        <v>0</v>
      </c>
      <c r="P37" s="344">
        <f>Assum!$O$33*(IS!P90-IS!O90)*P94</f>
        <v>0</v>
      </c>
      <c r="Q37" s="344">
        <f>Assum!$O$33*(IS!Q90-IS!P90)*Q94</f>
        <v>0</v>
      </c>
      <c r="R37" s="344">
        <f>Assum!$O$33*(IS!R90-IS!Q90)*R94</f>
        <v>0</v>
      </c>
      <c r="S37" s="344">
        <f>Assum!$O$33*(IS!S90-IS!R90)*S94</f>
        <v>0</v>
      </c>
      <c r="T37" s="344">
        <f>Assum!$O$33*(IS!T90-IS!S90)*T94</f>
        <v>0</v>
      </c>
      <c r="U37" s="344">
        <f>Assum!$O$33*(IS!U90-IS!T90)*U94</f>
        <v>0</v>
      </c>
      <c r="V37" s="344">
        <f>Assum!$O$33*(IS!V90-IS!U90)*V94</f>
        <v>0</v>
      </c>
      <c r="W37" s="344">
        <f>Assum!$O$33*(IS!W90-IS!V90)*W94</f>
        <v>0</v>
      </c>
      <c r="X37" s="344">
        <f>Assum!$O$33*(IS!X90-IS!W90)*X94</f>
        <v>0</v>
      </c>
      <c r="Y37" s="344">
        <f>Assum!$O$33*(IS!Y90-IS!X90)*Y94</f>
        <v>0</v>
      </c>
      <c r="Z37" s="344">
        <f>Assum!$O$33*(IS!Z90-IS!Y90)*Z94</f>
        <v>0</v>
      </c>
      <c r="AA37" s="344">
        <f>Assum!$O$33*(IS!AA90-IS!Z90)*AA94</f>
        <v>0</v>
      </c>
      <c r="AB37" s="344">
        <f>Assum!$O$33*(IS!AB90-IS!AA90)*AB94</f>
        <v>0</v>
      </c>
    </row>
    <row r="38" spans="1:28">
      <c r="A38" s="1" t="s">
        <v>1229</v>
      </c>
      <c r="C38" s="337">
        <f>SUM(C36:C37)</f>
        <v>498.70588235294122</v>
      </c>
      <c r="D38" s="337">
        <f t="shared" ref="D38:R38" si="7">SUM(D36:D37)</f>
        <v>513.66705882352949</v>
      </c>
      <c r="E38" s="337">
        <f t="shared" si="7"/>
        <v>528.56340352941174</v>
      </c>
      <c r="F38" s="337">
        <f t="shared" si="7"/>
        <v>543.62746053000001</v>
      </c>
      <c r="G38" s="337">
        <f t="shared" si="7"/>
        <v>558.84902942484007</v>
      </c>
      <c r="H38" s="337">
        <f t="shared" si="7"/>
        <v>574.0497230251957</v>
      </c>
      <c r="I38" s="337">
        <f t="shared" si="7"/>
        <v>589.37685062996832</v>
      </c>
      <c r="J38" s="337">
        <f t="shared" si="7"/>
        <v>604.81852411647344</v>
      </c>
      <c r="K38" s="337">
        <f t="shared" si="7"/>
        <v>620.4228420386786</v>
      </c>
      <c r="L38" s="337">
        <f t="shared" si="7"/>
        <v>636.18158222646105</v>
      </c>
      <c r="M38" s="337">
        <f t="shared" si="7"/>
        <v>652.21335809856782</v>
      </c>
      <c r="N38" s="337">
        <f t="shared" si="7"/>
        <v>668.51869205103185</v>
      </c>
      <c r="O38" s="337">
        <f t="shared" si="7"/>
        <v>685.43221495992304</v>
      </c>
      <c r="P38" s="337">
        <f t="shared" si="7"/>
        <v>703.0478228843931</v>
      </c>
      <c r="Q38" s="337">
        <f t="shared" si="7"/>
        <v>721.3973710616757</v>
      </c>
      <c r="R38" s="337">
        <f t="shared" si="7"/>
        <v>740.65868086902253</v>
      </c>
      <c r="S38" s="337">
        <f t="shared" ref="S38:AB38" si="8">SUM(S36:S37)</f>
        <v>760.730531120573</v>
      </c>
      <c r="T38" s="337">
        <f t="shared" si="8"/>
        <v>781.34632851394031</v>
      </c>
      <c r="U38" s="337">
        <f t="shared" si="8"/>
        <v>802.52081401666806</v>
      </c>
      <c r="V38" s="337">
        <f t="shared" si="8"/>
        <v>824.26912807651979</v>
      </c>
      <c r="W38" s="337">
        <f t="shared" si="8"/>
        <v>846.60682144739349</v>
      </c>
      <c r="X38" s="337">
        <f t="shared" si="8"/>
        <v>869.54986630861777</v>
      </c>
      <c r="Y38" s="337">
        <f t="shared" si="8"/>
        <v>893.11466768558125</v>
      </c>
      <c r="Z38" s="337">
        <f t="shared" si="8"/>
        <v>917.31807517986033</v>
      </c>
      <c r="AA38" s="337">
        <f t="shared" si="8"/>
        <v>942.1773950172344</v>
      </c>
      <c r="AB38" s="337">
        <f t="shared" si="8"/>
        <v>967.71040242220147</v>
      </c>
    </row>
    <row r="39" spans="1:28">
      <c r="A39" s="1"/>
    </row>
    <row r="40" spans="1:28">
      <c r="A40" s="96" t="s">
        <v>1006</v>
      </c>
    </row>
    <row r="41" spans="1:28">
      <c r="A41" s="6" t="s">
        <v>1219</v>
      </c>
      <c r="C41" s="340">
        <f>C92*Assum!O37</f>
        <v>422.3271790500001</v>
      </c>
      <c r="D41" s="337">
        <f>Assum!$O37*D94</f>
        <v>745.70913329400014</v>
      </c>
      <c r="E41" s="337">
        <f>Assum!$O37*E94</f>
        <v>767.33469815952606</v>
      </c>
      <c r="F41" s="337">
        <f>Assum!$O37*F94</f>
        <v>789.20373705707243</v>
      </c>
      <c r="G41" s="337">
        <f>Assum!$O37*G94</f>
        <v>811.30144169467053</v>
      </c>
      <c r="H41" s="337">
        <f>Assum!$O37*H94</f>
        <v>833.36884090876561</v>
      </c>
      <c r="I41" s="337">
        <f>Assum!$O37*I94</f>
        <v>855.61978896102949</v>
      </c>
      <c r="J41" s="337">
        <f>Assum!$O37*J94</f>
        <v>878.0370274318085</v>
      </c>
      <c r="K41" s="337">
        <f>Assum!$O37*K94</f>
        <v>900.69038273954914</v>
      </c>
      <c r="L41" s="337">
        <f>Assum!$O37*L94</f>
        <v>923.56791846113379</v>
      </c>
      <c r="M41" s="337">
        <f>Assum!$O37*M94</f>
        <v>946.84183000635426</v>
      </c>
      <c r="N41" s="337">
        <f>Assum!$O37*N94</f>
        <v>970.51287575651304</v>
      </c>
      <c r="O41" s="337">
        <f>Assum!$O37*O94</f>
        <v>995.06685151315287</v>
      </c>
      <c r="P41" s="337">
        <f>Assum!$O37*P94</f>
        <v>1020.6400695970409</v>
      </c>
      <c r="Q41" s="337">
        <f>Assum!$O37*Q94</f>
        <v>1047.2787754135238</v>
      </c>
      <c r="R41" s="337">
        <f>Assum!$O37*R94</f>
        <v>1075.2411187170649</v>
      </c>
      <c r="S41" s="337">
        <f>Assum!$O37*S94</f>
        <v>1104.3801530342971</v>
      </c>
      <c r="T41" s="337">
        <f>Assum!$O37*T94</f>
        <v>1134.3088551815265</v>
      </c>
      <c r="U41" s="337">
        <f>Assum!$O37*U94</f>
        <v>1165.0486251569457</v>
      </c>
      <c r="V41" s="337">
        <f>Assum!$O37*V94</f>
        <v>1196.6214428986989</v>
      </c>
      <c r="W41" s="337">
        <f>Assum!$O37*W94</f>
        <v>1229.0498840012538</v>
      </c>
      <c r="X41" s="337">
        <f>Assum!$O37*X94</f>
        <v>1262.3571358576876</v>
      </c>
      <c r="Y41" s="337">
        <f>Assum!$O37*Y94</f>
        <v>1296.5670142394308</v>
      </c>
      <c r="Z41" s="337">
        <f>Assum!$O37*Z94</f>
        <v>1331.7039803253192</v>
      </c>
      <c r="AA41" s="337">
        <f>Assum!$O37*AA94</f>
        <v>1367.7931581921353</v>
      </c>
      <c r="AB41" s="337">
        <f>Assum!$O37*AB94</f>
        <v>1404.860352779142</v>
      </c>
    </row>
    <row r="42" spans="1:28">
      <c r="A42" s="6" t="s">
        <v>1652</v>
      </c>
      <c r="C42" s="340">
        <f>C92*Assum!O38</f>
        <v>13.112764583333334</v>
      </c>
      <c r="D42" s="337">
        <f>Assum!$O38*D94</f>
        <v>23.153395750000001</v>
      </c>
      <c r="E42" s="337">
        <f>Assum!$O38*E94</f>
        <v>23.824844226749995</v>
      </c>
      <c r="F42" s="337">
        <f>Assum!$O38*F94</f>
        <v>24.503852287212371</v>
      </c>
      <c r="G42" s="337">
        <f>Assum!$O38*G94</f>
        <v>25.189960151254319</v>
      </c>
      <c r="H42" s="337">
        <f>Assum!$O38*H94</f>
        <v>25.875127067368435</v>
      </c>
      <c r="I42" s="337">
        <f>Assum!$O38*I94</f>
        <v>26.56599296006717</v>
      </c>
      <c r="J42" s="337">
        <f>Assum!$O38*J94</f>
        <v>27.262021975620929</v>
      </c>
      <c r="K42" s="337">
        <f>Assum!$O38*K94</f>
        <v>27.965382142591949</v>
      </c>
      <c r="L42" s="337">
        <f>Assum!$O38*L94</f>
        <v>28.675702849013788</v>
      </c>
      <c r="M42" s="337">
        <f>Assum!$O38*M94</f>
        <v>29.398330560808933</v>
      </c>
      <c r="N42" s="337">
        <f>Assum!$O38*N94</f>
        <v>30.133288824829155</v>
      </c>
      <c r="O42" s="337">
        <f>Assum!$O38*O94</f>
        <v>30.895661032097333</v>
      </c>
      <c r="P42" s="337">
        <f>Assum!$O38*P94</f>
        <v>31.689679520622235</v>
      </c>
      <c r="Q42" s="337">
        <f>Assum!$O38*Q94</f>
        <v>32.516780156110478</v>
      </c>
      <c r="R42" s="337">
        <f>Assum!$O38*R94</f>
        <v>33.38497818627863</v>
      </c>
      <c r="S42" s="337">
        <f>Assum!$O38*S94</f>
        <v>34.289711095126776</v>
      </c>
      <c r="T42" s="337">
        <f>Assum!$O38*T94</f>
        <v>35.218962265804706</v>
      </c>
      <c r="U42" s="337">
        <f>Assum!$O38*U94</f>
        <v>36.173396143208009</v>
      </c>
      <c r="V42" s="337">
        <f>Assum!$O38*V94</f>
        <v>37.153695178688949</v>
      </c>
      <c r="W42" s="337">
        <f>Assum!$O38*W94</f>
        <v>38.160560318031415</v>
      </c>
      <c r="X42" s="337">
        <f>Assum!$O38*X94</f>
        <v>39.194711502650065</v>
      </c>
      <c r="Y42" s="337">
        <f>Assum!$O38*Y94</f>
        <v>40.256888184371874</v>
      </c>
      <c r="Z42" s="337">
        <f>Assum!$O38*Z94</f>
        <v>41.347849854168352</v>
      </c>
      <c r="AA42" s="337">
        <f>Assum!$O38*AA94</f>
        <v>42.468376585216305</v>
      </c>
      <c r="AB42" s="337">
        <f>Assum!$O38*AB94</f>
        <v>43.619269590675671</v>
      </c>
    </row>
    <row r="43" spans="1:28">
      <c r="A43" s="6" t="s">
        <v>1208</v>
      </c>
      <c r="C43" s="340">
        <f ca="1">C92*Assum!O39</f>
        <v>137.78291100573571</v>
      </c>
      <c r="D43" s="337">
        <f ca="1">Assum!$O39*D94</f>
        <v>243.28525429012763</v>
      </c>
      <c r="E43" s="337">
        <f ca="1">Assum!$O39*E94</f>
        <v>250.34052666454127</v>
      </c>
      <c r="F43" s="337">
        <f ca="1">Assum!$O39*F94</f>
        <v>257.47523167448071</v>
      </c>
      <c r="G43" s="337">
        <f ca="1">Assum!$O39*G94</f>
        <v>264.68453816136616</v>
      </c>
      <c r="H43" s="337">
        <f ca="1">Assum!$O39*H94</f>
        <v>271.88395759935531</v>
      </c>
      <c r="I43" s="337">
        <f ca="1">Assum!$O39*I94</f>
        <v>279.14325926725809</v>
      </c>
      <c r="J43" s="337">
        <f ca="1">Assum!$O39*J94</f>
        <v>286.45681266006022</v>
      </c>
      <c r="K43" s="337">
        <f ca="1">Assum!$O39*K94</f>
        <v>293.84739842668978</v>
      </c>
      <c r="L43" s="337">
        <f ca="1">Assum!$O39*L94</f>
        <v>301.31112234672776</v>
      </c>
      <c r="M43" s="337">
        <f ca="1">Assum!$O39*M94</f>
        <v>308.90416262986525</v>
      </c>
      <c r="N43" s="337">
        <f ca="1">Assum!$O39*N94</f>
        <v>316.62676669561188</v>
      </c>
      <c r="O43" s="337">
        <f ca="1">Assum!$O39*O94</f>
        <v>324.63742389301086</v>
      </c>
      <c r="P43" s="337">
        <f ca="1">Assum!$O39*P94</f>
        <v>332.98060568706126</v>
      </c>
      <c r="Q43" s="337">
        <f ca="1">Assum!$O39*Q94</f>
        <v>341.67139949549357</v>
      </c>
      <c r="R43" s="337">
        <f ca="1">Assum!$O39*R94</f>
        <v>350.79402586202326</v>
      </c>
      <c r="S43" s="337">
        <f ca="1">Assum!$O39*S94</f>
        <v>360.30054396288403</v>
      </c>
      <c r="T43" s="337">
        <f ca="1">Assum!$O39*T94</f>
        <v>370.06468870427813</v>
      </c>
      <c r="U43" s="337">
        <f ca="1">Assum!$O39*U94</f>
        <v>380.09344176816404</v>
      </c>
      <c r="V43" s="337">
        <f ca="1">Assum!$O39*V94</f>
        <v>390.39397404008128</v>
      </c>
      <c r="W43" s="337">
        <f ca="1">Assum!$O39*W94</f>
        <v>400.97365073656749</v>
      </c>
      <c r="X43" s="337">
        <f ca="1">Assum!$O39*X94</f>
        <v>411.84003667152842</v>
      </c>
      <c r="Y43" s="337">
        <f ca="1">Assum!$O39*Y94</f>
        <v>423.00090166532681</v>
      </c>
      <c r="Z43" s="337">
        <f ca="1">Assum!$O39*Z94</f>
        <v>434.46422610045715</v>
      </c>
      <c r="AA43" s="337">
        <f ca="1">Assum!$O39*AA94</f>
        <v>446.23820662777945</v>
      </c>
      <c r="AB43" s="337">
        <f ca="1">Assum!$O39*AB94</f>
        <v>458.33126202739226</v>
      </c>
    </row>
    <row r="44" spans="1:28" s="285" customFormat="1">
      <c r="A44" s="6" t="s">
        <v>1209</v>
      </c>
      <c r="C44" s="502">
        <f>C92*Assum!O40</f>
        <v>175</v>
      </c>
      <c r="D44" s="503">
        <f>Assum!$O40*D94</f>
        <v>309</v>
      </c>
      <c r="E44" s="503">
        <f>Assum!$O40*E94</f>
        <v>317.96099999999996</v>
      </c>
      <c r="F44" s="503">
        <f>Assum!$O40*F94</f>
        <v>327.02288849999997</v>
      </c>
      <c r="G44" s="503">
        <f>Assum!$O40*G94</f>
        <v>336.17952937799998</v>
      </c>
      <c r="H44" s="503">
        <f>Assum!$O40*H94</f>
        <v>345.32361257708158</v>
      </c>
      <c r="I44" s="503">
        <f>Assum!$O40*I94</f>
        <v>354.54375303288958</v>
      </c>
      <c r="J44" s="503">
        <f>Assum!$O40*J94</f>
        <v>363.8327993623513</v>
      </c>
      <c r="K44" s="503">
        <f>Assum!$O40*K94</f>
        <v>373.21968558589998</v>
      </c>
      <c r="L44" s="503">
        <f>Assum!$O40*L94</f>
        <v>382.69946559978189</v>
      </c>
      <c r="M44" s="503">
        <f>Assum!$O40*M94</f>
        <v>392.34349213289636</v>
      </c>
      <c r="N44" s="503">
        <f>Assum!$O40*N94</f>
        <v>402.15207943621868</v>
      </c>
      <c r="O44" s="503">
        <f>Assum!$O40*O94</f>
        <v>412.32652704595506</v>
      </c>
      <c r="P44" s="503">
        <f>Assum!$O40*P94</f>
        <v>422.92331879103608</v>
      </c>
      <c r="Q44" s="503">
        <f>Assum!$O40*Q94</f>
        <v>433.96161741148217</v>
      </c>
      <c r="R44" s="503">
        <f>Assum!$O40*R94</f>
        <v>445.54839259636879</v>
      </c>
      <c r="S44" s="503">
        <f>Assum!$O40*S94</f>
        <v>457.62275403573028</v>
      </c>
      <c r="T44" s="503">
        <f>Assum!$O40*T94</f>
        <v>470.02433067009855</v>
      </c>
      <c r="U44" s="503">
        <f>Assum!$O40*U94</f>
        <v>482.76199003125816</v>
      </c>
      <c r="V44" s="503">
        <f>Assum!$O40*V94</f>
        <v>495.84483996110527</v>
      </c>
      <c r="W44" s="503">
        <f>Assum!$O40*W94</f>
        <v>509.28223512405117</v>
      </c>
      <c r="X44" s="503">
        <f>Assum!$O40*X94</f>
        <v>523.08378369591298</v>
      </c>
      <c r="Y44" s="503">
        <f>Assum!$O40*Y94</f>
        <v>537.25935423407213</v>
      </c>
      <c r="Z44" s="503">
        <f>Assum!$O40*Z94</f>
        <v>551.81908273381543</v>
      </c>
      <c r="AA44" s="503">
        <f>Assum!$O40*AA94</f>
        <v>566.7733798759017</v>
      </c>
      <c r="AB44" s="503">
        <f>Assum!$O40*AB94</f>
        <v>582.13293847053865</v>
      </c>
    </row>
    <row r="45" spans="1:28">
      <c r="A45" t="s">
        <v>1352</v>
      </c>
      <c r="C45" s="342">
        <f>Assum!O41</f>
        <v>733.84663186476632</v>
      </c>
      <c r="D45" s="343">
        <f>Assum!$O41*D94</f>
        <v>755.86203082070938</v>
      </c>
      <c r="E45" s="343">
        <f>Assum!$O41*E94</f>
        <v>777.7820297145098</v>
      </c>
      <c r="F45" s="343">
        <f>Assum!$O41*F94</f>
        <v>799.94881756137329</v>
      </c>
      <c r="G45" s="343">
        <f>Assum!$O41*G94</f>
        <v>822.34738445309176</v>
      </c>
      <c r="H45" s="343">
        <f>Assum!$O41*H94</f>
        <v>844.71523331021581</v>
      </c>
      <c r="I45" s="343">
        <f>Assum!$O41*I94</f>
        <v>867.26913003959851</v>
      </c>
      <c r="J45" s="343">
        <f>Assum!$O41*J94</f>
        <v>889.99158124663597</v>
      </c>
      <c r="K45" s="343">
        <f>Assum!$O41*K94</f>
        <v>912.95336404279919</v>
      </c>
      <c r="L45" s="343">
        <f>Assum!$O41*L94</f>
        <v>936.14237948948642</v>
      </c>
      <c r="M45" s="343">
        <f>Assum!$O41*M94</f>
        <v>959.73316745262139</v>
      </c>
      <c r="N45" s="343">
        <f>Assum!$O41*N94</f>
        <v>983.72649663893685</v>
      </c>
      <c r="O45" s="343">
        <f>Assum!$O41*O94</f>
        <v>1008.614777003902</v>
      </c>
      <c r="P45" s="343">
        <f>Assum!$O41*P94</f>
        <v>1034.5361767729023</v>
      </c>
      <c r="Q45" s="343">
        <f>Assum!$O41*Q94</f>
        <v>1061.5375709866751</v>
      </c>
      <c r="R45" s="343">
        <f>Assum!$O41*R94</f>
        <v>1089.8806241320194</v>
      </c>
      <c r="S45" s="343">
        <f>Assum!$O41*S94</f>
        <v>1119.416389045997</v>
      </c>
      <c r="T45" s="343">
        <f>Assum!$O41*T94</f>
        <v>1149.7525731891433</v>
      </c>
      <c r="U45" s="343">
        <f>Assum!$O41*U94</f>
        <v>1180.910867922569</v>
      </c>
      <c r="V45" s="343">
        <f>Assum!$O41*V94</f>
        <v>1212.9135524432706</v>
      </c>
      <c r="W45" s="343">
        <f>Assum!$O41*W94</f>
        <v>1245.7835097144832</v>
      </c>
      <c r="X45" s="343">
        <f>Assum!$O41*X94</f>
        <v>1279.5442428277456</v>
      </c>
      <c r="Y45" s="343">
        <f>Assum!$O41*Y94</f>
        <v>1314.2198918083773</v>
      </c>
      <c r="Z45" s="343">
        <f>Assum!$O41*Z94</f>
        <v>1349.8352508763842</v>
      </c>
      <c r="AA45" s="343">
        <f>Assum!$O41*AA94</f>
        <v>1386.4157861751341</v>
      </c>
      <c r="AB45" s="343">
        <f>Assum!$O41*AB94</f>
        <v>1423.9876539804802</v>
      </c>
    </row>
    <row r="46" spans="1:28">
      <c r="A46" s="285" t="s">
        <v>1232</v>
      </c>
      <c r="C46" s="337">
        <f t="shared" ref="C46:R46" ca="1" si="9">SUM(C41:C44)</f>
        <v>748.22285463906917</v>
      </c>
      <c r="D46" s="337">
        <f t="shared" ca="1" si="9"/>
        <v>1321.1477833341278</v>
      </c>
      <c r="E46" s="337">
        <f t="shared" ca="1" si="9"/>
        <v>1359.4610690508173</v>
      </c>
      <c r="F46" s="337">
        <f t="shared" ca="1" si="9"/>
        <v>1398.2057095187654</v>
      </c>
      <c r="G46" s="337">
        <f t="shared" ca="1" si="9"/>
        <v>1437.3554693852911</v>
      </c>
      <c r="H46" s="337">
        <f t="shared" ca="1" si="9"/>
        <v>1476.4515381525709</v>
      </c>
      <c r="I46" s="337">
        <f t="shared" ca="1" si="9"/>
        <v>1515.8727942212442</v>
      </c>
      <c r="J46" s="337">
        <f t="shared" ca="1" si="9"/>
        <v>1555.5886614298408</v>
      </c>
      <c r="K46" s="337">
        <f t="shared" ca="1" si="9"/>
        <v>1595.7228488947308</v>
      </c>
      <c r="L46" s="337">
        <f t="shared" ca="1" si="9"/>
        <v>1636.2542092566573</v>
      </c>
      <c r="M46" s="337">
        <f t="shared" ca="1" si="9"/>
        <v>1677.4878153299246</v>
      </c>
      <c r="N46" s="337">
        <f t="shared" ca="1" si="9"/>
        <v>1719.4250107131727</v>
      </c>
      <c r="O46" s="337">
        <f t="shared" ca="1" si="9"/>
        <v>1762.9264634842161</v>
      </c>
      <c r="P46" s="337">
        <f t="shared" ca="1" si="9"/>
        <v>1808.2336735957604</v>
      </c>
      <c r="Q46" s="337">
        <f t="shared" ca="1" si="9"/>
        <v>1855.42857247661</v>
      </c>
      <c r="R46" s="337">
        <f t="shared" ca="1" si="9"/>
        <v>1904.9685153617356</v>
      </c>
      <c r="S46" s="337">
        <f t="shared" ref="S46:AB46" ca="1" si="10">SUM(S41:S44)</f>
        <v>1956.5931621280383</v>
      </c>
      <c r="T46" s="337">
        <f t="shared" ca="1" si="10"/>
        <v>2009.6168368217079</v>
      </c>
      <c r="U46" s="337">
        <f t="shared" ca="1" si="10"/>
        <v>2064.0774530995759</v>
      </c>
      <c r="V46" s="337">
        <f t="shared" ca="1" si="10"/>
        <v>2120.0139520785742</v>
      </c>
      <c r="W46" s="337">
        <f t="shared" ca="1" si="10"/>
        <v>2177.4663301799037</v>
      </c>
      <c r="X46" s="337">
        <f t="shared" ca="1" si="10"/>
        <v>2236.4756677277792</v>
      </c>
      <c r="Y46" s="337">
        <f t="shared" ca="1" si="10"/>
        <v>2297.0841583232018</v>
      </c>
      <c r="Z46" s="337">
        <f t="shared" ca="1" si="10"/>
        <v>2359.33513901376</v>
      </c>
      <c r="AA46" s="337">
        <f t="shared" ca="1" si="10"/>
        <v>2423.2731212810327</v>
      </c>
      <c r="AB46" s="337">
        <f t="shared" ca="1" si="10"/>
        <v>2488.9438228677486</v>
      </c>
    </row>
    <row r="47" spans="1:28">
      <c r="A47" s="285"/>
    </row>
    <row r="48" spans="1:28">
      <c r="A48" s="361" t="s">
        <v>1233</v>
      </c>
    </row>
    <row r="49" spans="1:28" ht="15.75">
      <c r="A49" s="134" t="s">
        <v>1215</v>
      </c>
      <c r="C49" s="340">
        <f>Assum!$O45*C92</f>
        <v>0</v>
      </c>
      <c r="D49" s="337">
        <f>Assum!$O45*D94</f>
        <v>0</v>
      </c>
      <c r="E49" s="337">
        <f>Assum!$O45*E94</f>
        <v>0</v>
      </c>
      <c r="F49" s="337">
        <f>Assum!$O45*F94</f>
        <v>0</v>
      </c>
      <c r="G49" s="337">
        <f>Assum!$O45*G94</f>
        <v>0</v>
      </c>
      <c r="H49" s="337">
        <f>Assum!$O45*H94</f>
        <v>0</v>
      </c>
      <c r="I49" s="337">
        <f>Assum!$O45*I94</f>
        <v>0</v>
      </c>
      <c r="J49" s="337">
        <f>Assum!$O45*J94</f>
        <v>0</v>
      </c>
      <c r="K49" s="337">
        <f>Assum!$O45*K94</f>
        <v>0</v>
      </c>
      <c r="L49" s="337">
        <f>Assum!$O45*L94</f>
        <v>0</v>
      </c>
      <c r="M49" s="337">
        <f>Assum!$O45*M94</f>
        <v>0</v>
      </c>
      <c r="N49" s="337">
        <f>Assum!$O45*N94</f>
        <v>0</v>
      </c>
      <c r="O49" s="337">
        <f>Assum!$O45*O94</f>
        <v>0</v>
      </c>
      <c r="P49" s="337">
        <f>Assum!$O45*P94</f>
        <v>0</v>
      </c>
      <c r="Q49" s="337">
        <f>Assum!$O45*Q94</f>
        <v>0</v>
      </c>
      <c r="R49" s="337">
        <f>Assum!$O45*R94</f>
        <v>0</v>
      </c>
      <c r="S49" s="337"/>
    </row>
    <row r="50" spans="1:28" ht="15.75">
      <c r="A50" s="134" t="s">
        <v>1008</v>
      </c>
      <c r="C50" s="340">
        <f>Assum!$O46*C92</f>
        <v>0</v>
      </c>
      <c r="D50" s="337">
        <f>Assum!$O46*D94</f>
        <v>0</v>
      </c>
      <c r="E50" s="337">
        <f>Assum!$O46*E94</f>
        <v>0</v>
      </c>
      <c r="F50" s="337">
        <f>Assum!$O46*F94</f>
        <v>0</v>
      </c>
      <c r="G50" s="337">
        <f>Assum!$O46*G94</f>
        <v>0</v>
      </c>
      <c r="H50" s="337">
        <f>Assum!$O46*H94</f>
        <v>0</v>
      </c>
      <c r="I50" s="337">
        <f>Assum!$O46*I94</f>
        <v>0</v>
      </c>
      <c r="J50" s="337">
        <f>Assum!$O46*J94</f>
        <v>0</v>
      </c>
      <c r="K50" s="337">
        <f>Assum!$O46*K94</f>
        <v>0</v>
      </c>
      <c r="L50" s="337">
        <f>Assum!$O46*L94</f>
        <v>0</v>
      </c>
      <c r="M50" s="337">
        <f>Assum!$O46*M94</f>
        <v>0</v>
      </c>
      <c r="N50" s="337">
        <f>Assum!$O46*N94</f>
        <v>0</v>
      </c>
      <c r="O50" s="337">
        <f>Assum!$O46*O94</f>
        <v>0</v>
      </c>
      <c r="P50" s="337">
        <f>Assum!$O46*P94</f>
        <v>0</v>
      </c>
      <c r="Q50" s="337">
        <f>Assum!$O46*Q94</f>
        <v>0</v>
      </c>
      <c r="R50" s="337">
        <f>Assum!$O46*R94</f>
        <v>0</v>
      </c>
      <c r="S50" s="337"/>
    </row>
    <row r="51" spans="1:28" ht="15.75">
      <c r="A51" s="134" t="s">
        <v>1216</v>
      </c>
      <c r="C51" s="340">
        <f>Assum!$O47*C92</f>
        <v>0</v>
      </c>
      <c r="D51" s="337">
        <f>Assum!$O47*D94</f>
        <v>0</v>
      </c>
      <c r="E51" s="337">
        <f>Assum!$O47*E94</f>
        <v>0</v>
      </c>
      <c r="F51" s="337">
        <f>Assum!$O47*F94</f>
        <v>0</v>
      </c>
      <c r="G51" s="337">
        <f>Assum!$O47*G94</f>
        <v>0</v>
      </c>
      <c r="H51" s="337">
        <f>Assum!$O47*H94</f>
        <v>0</v>
      </c>
      <c r="I51" s="337">
        <f>Assum!$O47*I94</f>
        <v>0</v>
      </c>
      <c r="J51" s="337">
        <f>Assum!$O47*J94</f>
        <v>0</v>
      </c>
      <c r="K51" s="337">
        <f>Assum!$O47*K94</f>
        <v>0</v>
      </c>
      <c r="L51" s="337">
        <f>Assum!$O47*L94</f>
        <v>0</v>
      </c>
      <c r="M51" s="337">
        <f>Assum!$O47*M94</f>
        <v>0</v>
      </c>
      <c r="N51" s="337">
        <f>Assum!$O47*N94</f>
        <v>0</v>
      </c>
      <c r="O51" s="337">
        <f>Assum!$O47*O94</f>
        <v>0</v>
      </c>
      <c r="P51" s="337">
        <f>Assum!$O47*P94</f>
        <v>0</v>
      </c>
      <c r="Q51" s="337">
        <f>Assum!$O47*Q94</f>
        <v>0</v>
      </c>
      <c r="R51" s="337">
        <f>Assum!$O47*R94</f>
        <v>0</v>
      </c>
      <c r="S51" s="337"/>
    </row>
    <row r="52" spans="1:28" ht="15.75">
      <c r="A52" s="134" t="s">
        <v>1009</v>
      </c>
      <c r="C52" s="340">
        <f>Assum!$O48*C92</f>
        <v>0</v>
      </c>
      <c r="D52" s="337">
        <f>Assum!$O48*D94</f>
        <v>0</v>
      </c>
      <c r="E52" s="337">
        <f>Assum!$O48*E94</f>
        <v>0</v>
      </c>
      <c r="F52" s="337">
        <f>Assum!$O48*F94</f>
        <v>0</v>
      </c>
      <c r="G52" s="337">
        <f>Assum!$O48*G94</f>
        <v>0</v>
      </c>
      <c r="H52" s="337">
        <f>Assum!$O48*H94</f>
        <v>0</v>
      </c>
      <c r="I52" s="337">
        <f>Assum!$O48*I94</f>
        <v>0</v>
      </c>
      <c r="J52" s="337">
        <f>Assum!$O48*J94</f>
        <v>0</v>
      </c>
      <c r="K52" s="337">
        <f>Assum!$O48*K94</f>
        <v>0</v>
      </c>
      <c r="L52" s="337">
        <f>Assum!$O48*L94</f>
        <v>0</v>
      </c>
      <c r="M52" s="337">
        <f>Assum!$O48*M94</f>
        <v>0</v>
      </c>
      <c r="N52" s="337">
        <f>Assum!$O48*N94</f>
        <v>0</v>
      </c>
      <c r="O52" s="337">
        <f>Assum!$O48*O94</f>
        <v>0</v>
      </c>
      <c r="P52" s="337">
        <f>Assum!$O48*P94</f>
        <v>0</v>
      </c>
      <c r="Q52" s="337">
        <f>Assum!$O48*Q94</f>
        <v>0</v>
      </c>
      <c r="R52" s="337">
        <f>Assum!$O48*R94</f>
        <v>0</v>
      </c>
      <c r="S52" s="337"/>
    </row>
    <row r="53" spans="1:28" ht="15.75">
      <c r="A53" s="134" t="s">
        <v>1217</v>
      </c>
      <c r="C53" s="342">
        <f>Assum!$O49*C92</f>
        <v>0</v>
      </c>
      <c r="D53" s="343">
        <f>Assum!$O49*D94</f>
        <v>0</v>
      </c>
      <c r="E53" s="343">
        <f>Assum!$O49*E94</f>
        <v>0</v>
      </c>
      <c r="F53" s="343">
        <f>Assum!$O49*F94</f>
        <v>0</v>
      </c>
      <c r="G53" s="343">
        <f>Assum!$O49*G94</f>
        <v>0</v>
      </c>
      <c r="H53" s="343">
        <f>Assum!$O49*H94</f>
        <v>0</v>
      </c>
      <c r="I53" s="343">
        <f>Assum!$O49*I94</f>
        <v>0</v>
      </c>
      <c r="J53" s="343">
        <f>Assum!$O49*J94</f>
        <v>0</v>
      </c>
      <c r="K53" s="343">
        <f>Assum!$O49*K94</f>
        <v>0</v>
      </c>
      <c r="L53" s="343">
        <f>Assum!$O49*L94</f>
        <v>0</v>
      </c>
      <c r="M53" s="343">
        <f>Assum!$O49*M94</f>
        <v>0</v>
      </c>
      <c r="N53" s="343">
        <f>Assum!$O49*N94</f>
        <v>0</v>
      </c>
      <c r="O53" s="343">
        <f>Assum!$O49*O94</f>
        <v>0</v>
      </c>
      <c r="P53" s="343">
        <f>Assum!$O49*P94</f>
        <v>0</v>
      </c>
      <c r="Q53" s="343">
        <f>Assum!$O49*Q94</f>
        <v>0</v>
      </c>
      <c r="R53" s="343">
        <f>Assum!$O49*R94</f>
        <v>0</v>
      </c>
      <c r="S53" s="343"/>
    </row>
    <row r="54" spans="1:28" ht="15.75">
      <c r="A54" s="167" t="s">
        <v>1226</v>
      </c>
      <c r="C54" s="340">
        <f>SUM(C49:C53)</f>
        <v>0</v>
      </c>
      <c r="D54" s="340">
        <f t="shared" ref="D54:S54" si="11">SUM(D49:D53)</f>
        <v>0</v>
      </c>
      <c r="E54" s="340">
        <f t="shared" si="11"/>
        <v>0</v>
      </c>
      <c r="F54" s="340">
        <f t="shared" si="11"/>
        <v>0</v>
      </c>
      <c r="G54" s="340">
        <f t="shared" si="11"/>
        <v>0</v>
      </c>
      <c r="H54" s="340">
        <f t="shared" si="11"/>
        <v>0</v>
      </c>
      <c r="I54" s="340">
        <f t="shared" si="11"/>
        <v>0</v>
      </c>
      <c r="J54" s="340">
        <f t="shared" si="11"/>
        <v>0</v>
      </c>
      <c r="K54" s="340">
        <f t="shared" si="11"/>
        <v>0</v>
      </c>
      <c r="L54" s="340">
        <f t="shared" si="11"/>
        <v>0</v>
      </c>
      <c r="M54" s="340">
        <f t="shared" si="11"/>
        <v>0</v>
      </c>
      <c r="N54" s="340">
        <f t="shared" si="11"/>
        <v>0</v>
      </c>
      <c r="O54" s="340">
        <f t="shared" si="11"/>
        <v>0</v>
      </c>
      <c r="P54" s="340">
        <f t="shared" si="11"/>
        <v>0</v>
      </c>
      <c r="Q54" s="340">
        <f t="shared" si="11"/>
        <v>0</v>
      </c>
      <c r="R54" s="340">
        <f t="shared" si="11"/>
        <v>0</v>
      </c>
      <c r="S54" s="340">
        <f t="shared" si="11"/>
        <v>0</v>
      </c>
    </row>
    <row r="55" spans="1:28" ht="15.75">
      <c r="A55" s="134"/>
      <c r="C55" s="340"/>
      <c r="D55" s="337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</row>
    <row r="56" spans="1:28" ht="15.75">
      <c r="A56" s="167" t="s">
        <v>1234</v>
      </c>
      <c r="C56" s="340"/>
      <c r="D56" s="337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</row>
    <row r="57" spans="1:28" ht="15.75">
      <c r="A57" s="134" t="s">
        <v>1157</v>
      </c>
      <c r="C57" s="337"/>
      <c r="D57" s="337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</row>
    <row r="58" spans="1:28" s="8" customFormat="1" ht="15.75">
      <c r="A58" s="134" t="s">
        <v>1472</v>
      </c>
      <c r="B58"/>
      <c r="C58" s="340">
        <f ca="1">Assum!$I$112*Assum!$I$110*Assum!$I$109*(1+Assum!$I$111)^C89</f>
        <v>378.12212578038395</v>
      </c>
      <c r="D58" s="340">
        <f ca="1">Assum!$I$112*Assum!$I$110*Assum!$I$109*(1+Assum!$I$111)^D89</f>
        <v>397.02823206940315</v>
      </c>
      <c r="E58" s="340">
        <f ca="1">Assum!$I$112*Assum!$I$110*Assum!$I$109*(1+Assum!$I$111)^E89</f>
        <v>416.87964367287333</v>
      </c>
      <c r="F58" s="340">
        <f ca="1">Assum!$I$112*Assum!$I$110*Assum!$I$109*(1+Assum!$I$111)^F89</f>
        <v>437.723625856517</v>
      </c>
      <c r="G58" s="340">
        <f ca="1">Assum!$I$112*Assum!$I$110*Assum!$I$109*(1+Assum!$I$111)^G89</f>
        <v>459.60980714934283</v>
      </c>
      <c r="H58" s="340">
        <f ca="1">Assum!$I$112*Assum!$I$110*Assum!$I$109*(1+Assum!$I$111)^H89</f>
        <v>482.59029750681003</v>
      </c>
      <c r="I58" s="340">
        <f ca="1">Assum!$I$112*Assum!$I$110*Assum!$I$109*(1+Assum!$I$111)^I89</f>
        <v>506.71981238215045</v>
      </c>
      <c r="J58" s="340">
        <f ca="1">Assum!$I$112*Assum!$I$110*Assum!$I$109*(1+Assum!$I$111)^J89</f>
        <v>532.05580300125803</v>
      </c>
      <c r="K58" s="340">
        <f ca="1">Assum!$I$112*Assum!$I$110*Assum!$I$109*(1+Assum!$I$111)^K89</f>
        <v>558.65859315132093</v>
      </c>
      <c r="L58" s="340">
        <f ca="1">Assum!$I$112*Assum!$I$110*Assum!$I$109*(1+Assum!$I$111)^L89</f>
        <v>586.59152280888702</v>
      </c>
      <c r="M58" s="340">
        <f ca="1">Assum!$I$112*Assum!$I$110*Assum!$I$109*(1+Assum!$I$111)^M89</f>
        <v>615.92109894933128</v>
      </c>
      <c r="N58" s="340">
        <f ca="1">Assum!$I$112*Assum!$I$110*Assum!$I$109*(1+Assum!$I$111)^N89</f>
        <v>646.71715389679798</v>
      </c>
      <c r="O58" s="340">
        <f ca="1">Assum!$I$112*Assum!$I$110*Assum!$I$109*(1+Assum!$I$111)^O89</f>
        <v>679.05301159163776</v>
      </c>
      <c r="P58" s="340">
        <f ca="1">Assum!$I$112*Assum!$I$110*Assum!$I$109*(1+Assum!$I$111)^P89</f>
        <v>713.0056621712198</v>
      </c>
      <c r="Q58" s="340">
        <f ca="1">Assum!$I$112*Assum!$I$110*Assum!$I$109*(1+Assum!$I$111)^Q89</f>
        <v>748.65594527978055</v>
      </c>
      <c r="R58" s="340">
        <f ca="1">Assum!$I$112*Assum!$I$110*Assum!$I$109*(1+Assum!$I$111)^R89</f>
        <v>786.08874254376985</v>
      </c>
      <c r="S58" s="340">
        <f ca="1">Assum!$I$112*Assum!$I$110*Assum!$I$109*(1+Assum!$I$111)^S89</f>
        <v>825.39317967095826</v>
      </c>
      <c r="T58" s="340">
        <f ca="1">Assum!$I$112*Assum!$I$110*Assum!$I$109*(1+Assum!$I$111)^T89</f>
        <v>866.66283865450634</v>
      </c>
      <c r="U58" s="340">
        <f ca="1">Assum!$I$112*Assum!$I$110*Assum!$I$109*(1+Assum!$I$111)^U89</f>
        <v>909.99598058723154</v>
      </c>
      <c r="V58" s="340">
        <f ca="1">Assum!$I$112*Assum!$I$110*Assum!$I$109*(1+Assum!$I$111)^V89</f>
        <v>955.49577961659315</v>
      </c>
      <c r="W58" s="340">
        <f ca="1">Assum!$I$112*Assum!$I$110*Assum!$I$109*(1+Assum!$I$111)^W89</f>
        <v>1003.2705685974228</v>
      </c>
      <c r="X58" s="340">
        <f ca="1">Assum!$I$112*Assum!$I$110*Assum!$I$109*(1+Assum!$I$111)^X89</f>
        <v>1053.434097027294</v>
      </c>
      <c r="Y58" s="340">
        <f ca="1">Assum!$I$112*Assum!$I$110*Assum!$I$109*(1+Assum!$I$111)^Y89</f>
        <v>1106.1058018786584</v>
      </c>
      <c r="Z58" s="340">
        <f ca="1">Assum!$I$112*Assum!$I$110*Assum!$I$109*(1+Assum!$I$111)^Z89</f>
        <v>1161.4110919725917</v>
      </c>
      <c r="AA58" s="340">
        <f ca="1">Assum!$I$112*Assum!$I$110*Assum!$I$109*(1+Assum!$I$111)^AA89</f>
        <v>1219.4816465712211</v>
      </c>
      <c r="AB58" s="340">
        <f ca="1">Assum!$I$112*Assum!$I$110*Assum!$I$109*(1+Assum!$I$111)^AB89</f>
        <v>1280.4557288997823</v>
      </c>
    </row>
    <row r="59" spans="1:28" ht="15.75">
      <c r="A59" s="134" t="s">
        <v>1158</v>
      </c>
      <c r="C59" s="503"/>
      <c r="D59" s="503"/>
      <c r="E59" s="503"/>
      <c r="F59" s="503"/>
      <c r="G59" s="503"/>
      <c r="H59" s="503"/>
      <c r="I59" s="503"/>
      <c r="J59" s="503"/>
      <c r="K59" s="503"/>
      <c r="L59" s="503"/>
      <c r="M59" s="503"/>
      <c r="N59" s="503"/>
      <c r="O59" s="503"/>
      <c r="P59" s="503"/>
      <c r="Q59" s="503"/>
      <c r="R59" s="503"/>
      <c r="S59" s="503"/>
      <c r="T59" s="503"/>
      <c r="U59" s="503"/>
      <c r="V59" s="503"/>
      <c r="W59" s="503"/>
      <c r="X59" s="503"/>
      <c r="Y59" s="503"/>
      <c r="Z59" s="503"/>
      <c r="AA59" s="503"/>
      <c r="AB59" s="503"/>
    </row>
    <row r="60" spans="1:28" ht="15.75">
      <c r="A60" s="134" t="s">
        <v>1435</v>
      </c>
      <c r="C60" s="503">
        <f ca="1">Taxes!B15</f>
        <v>203.27902958239304</v>
      </c>
      <c r="D60" s="503">
        <f ca="1">Taxes!C15</f>
        <v>127.18028807143905</v>
      </c>
      <c r="E60" s="503">
        <f ca="1">Taxes!D15</f>
        <v>119.35495849309352</v>
      </c>
      <c r="F60" s="503">
        <f ca="1">Taxes!E15</f>
        <v>111.9875511602381</v>
      </c>
      <c r="G60" s="503">
        <f ca="1">Taxes!F15</f>
        <v>105.03339220309017</v>
      </c>
      <c r="H60" s="503">
        <f ca="1">Taxes!G15</f>
        <v>98.45355068379132</v>
      </c>
      <c r="I60" s="503">
        <f ca="1">Taxes!H15</f>
        <v>92.042012013120953</v>
      </c>
      <c r="J60" s="503">
        <f ca="1">Taxes!I15</f>
        <v>85.609467124187532</v>
      </c>
      <c r="K60" s="503">
        <f ca="1">Taxes!J15</f>
        <v>79.166882462021576</v>
      </c>
      <c r="L60" s="503">
        <f ca="1">Taxes!K15</f>
        <v>72.702974514881888</v>
      </c>
      <c r="M60" s="503">
        <f ca="1">Taxes!L15</f>
        <v>69.294538163562549</v>
      </c>
      <c r="N60" s="503">
        <f ca="1">Taxes!M15</f>
        <v>65.864231933495574</v>
      </c>
      <c r="O60" s="503">
        <f ca="1">Taxes!N15</f>
        <v>62.422576725190815</v>
      </c>
      <c r="P60" s="503">
        <f ca="1">Taxes!O15</f>
        <v>58.957741364157279</v>
      </c>
      <c r="Q60" s="503">
        <f ca="1">Taxes!P15</f>
        <v>52.414182172596398</v>
      </c>
      <c r="R60" s="503">
        <f ca="1">Taxes!Q15</f>
        <v>47.492902368105952</v>
      </c>
      <c r="S60" s="503">
        <f ca="1">Taxes!R15</f>
        <v>44.193091410237365</v>
      </c>
      <c r="T60" s="503">
        <f ca="1">Taxes!S15</f>
        <v>40.872664654888915</v>
      </c>
      <c r="U60" s="503">
        <f ca="1">Taxes!T15</f>
        <v>37.531063413947038</v>
      </c>
      <c r="V60" s="503">
        <f ca="1">Taxes!U15</f>
        <v>34.167713858850504</v>
      </c>
      <c r="W60" s="503">
        <f ca="1">Taxes!V15</f>
        <v>30.782026610284273</v>
      </c>
      <c r="X60" s="503">
        <f ca="1">Taxes!W15</f>
        <v>27.37339631675405</v>
      </c>
      <c r="Y60" s="503">
        <f ca="1">Taxes!X15</f>
        <v>23.941201221740251</v>
      </c>
      <c r="Z60" s="503">
        <f ca="1">Taxes!Y15</f>
        <v>20.484802719121785</v>
      </c>
      <c r="AA60" s="503">
        <f ca="1">Taxes!Z15</f>
        <v>17.003544896551887</v>
      </c>
      <c r="AB60" s="503">
        <f ca="1">Taxes!AA15</f>
        <v>13.496754066459383</v>
      </c>
    </row>
    <row r="61" spans="1:28" ht="15.75">
      <c r="A61" s="134" t="s">
        <v>1382</v>
      </c>
      <c r="C61" s="344">
        <f>Assum!$O$56</f>
        <v>0</v>
      </c>
      <c r="D61" s="344">
        <f>Assum!$O$56</f>
        <v>0</v>
      </c>
      <c r="E61" s="344">
        <f>Assum!$O$56</f>
        <v>0</v>
      </c>
      <c r="F61" s="344">
        <f>Assum!$O$56</f>
        <v>0</v>
      </c>
      <c r="G61" s="344">
        <f>Assum!$O$56</f>
        <v>0</v>
      </c>
      <c r="H61" s="344">
        <f>Assum!$O$56</f>
        <v>0</v>
      </c>
      <c r="I61" s="344">
        <f>Assum!$O$56</f>
        <v>0</v>
      </c>
      <c r="J61" s="344">
        <f>Assum!$O$56</f>
        <v>0</v>
      </c>
      <c r="K61" s="344">
        <f>Assum!$O$56</f>
        <v>0</v>
      </c>
      <c r="L61" s="344">
        <f>Assum!$O$56</f>
        <v>0</v>
      </c>
      <c r="M61" s="344">
        <f>Assum!$O$56</f>
        <v>0</v>
      </c>
      <c r="N61" s="344">
        <f>Assum!$O$56</f>
        <v>0</v>
      </c>
      <c r="O61" s="344">
        <f>Assum!$O$56</f>
        <v>0</v>
      </c>
      <c r="P61" s="344">
        <f>Assum!$O$56</f>
        <v>0</v>
      </c>
      <c r="Q61" s="344">
        <f>Assum!$O$56</f>
        <v>0</v>
      </c>
      <c r="R61" s="344">
        <f>Assum!$O$56</f>
        <v>0</v>
      </c>
      <c r="S61" s="344">
        <f>Assum!$O$56</f>
        <v>0</v>
      </c>
      <c r="T61" s="344">
        <f>Assum!$O$56</f>
        <v>0</v>
      </c>
      <c r="U61" s="344">
        <f>Assum!$O$56</f>
        <v>0</v>
      </c>
      <c r="V61" s="344">
        <f>Assum!$O$56</f>
        <v>0</v>
      </c>
      <c r="W61" s="344">
        <f>Assum!$O$56</f>
        <v>0</v>
      </c>
      <c r="X61" s="344">
        <f>Assum!$O$56</f>
        <v>0</v>
      </c>
      <c r="Y61" s="344">
        <f>Assum!$O$56</f>
        <v>0</v>
      </c>
      <c r="Z61" s="344">
        <f>Assum!$O$56</f>
        <v>0</v>
      </c>
      <c r="AA61" s="344">
        <f>Assum!$O$56</f>
        <v>0</v>
      </c>
      <c r="AB61" s="344">
        <f>Assum!$O$56</f>
        <v>0</v>
      </c>
    </row>
    <row r="62" spans="1:28" ht="15.75">
      <c r="A62" s="134" t="s">
        <v>1235</v>
      </c>
      <c r="C62" s="337">
        <f ca="1">SUM(C58:C61)</f>
        <v>581.40115536277699</v>
      </c>
      <c r="D62" s="337">
        <f t="shared" ref="D62:R62" ca="1" si="12">SUM(D58:D61)</f>
        <v>524.20852014084221</v>
      </c>
      <c r="E62" s="337">
        <f t="shared" ca="1" si="12"/>
        <v>536.23460216596686</v>
      </c>
      <c r="F62" s="337">
        <f t="shared" ca="1" si="12"/>
        <v>549.71117701675507</v>
      </c>
      <c r="G62" s="337">
        <f t="shared" ca="1" si="12"/>
        <v>564.64319935243304</v>
      </c>
      <c r="H62" s="337">
        <f t="shared" ca="1" si="12"/>
        <v>581.04384819060135</v>
      </c>
      <c r="I62" s="337">
        <f t="shared" ca="1" si="12"/>
        <v>598.76182439527145</v>
      </c>
      <c r="J62" s="337">
        <f t="shared" ca="1" si="12"/>
        <v>617.66527012544555</v>
      </c>
      <c r="K62" s="337">
        <f t="shared" ca="1" si="12"/>
        <v>637.82547561334252</v>
      </c>
      <c r="L62" s="337">
        <f t="shared" ca="1" si="12"/>
        <v>659.29449732376895</v>
      </c>
      <c r="M62" s="337">
        <f t="shared" ca="1" si="12"/>
        <v>685.21563711289377</v>
      </c>
      <c r="N62" s="337">
        <f t="shared" ca="1" si="12"/>
        <v>712.58138583029358</v>
      </c>
      <c r="O62" s="337">
        <f t="shared" ca="1" si="12"/>
        <v>741.47558831682852</v>
      </c>
      <c r="P62" s="337">
        <f t="shared" ca="1" si="12"/>
        <v>771.9634035353771</v>
      </c>
      <c r="Q62" s="337">
        <f t="shared" ca="1" si="12"/>
        <v>801.07012745237694</v>
      </c>
      <c r="R62" s="337">
        <f t="shared" ca="1" si="12"/>
        <v>833.58164491187586</v>
      </c>
      <c r="S62" s="337">
        <f t="shared" ref="S62:AB62" ca="1" si="13">SUM(S58:S61)</f>
        <v>869.5862710811956</v>
      </c>
      <c r="T62" s="337">
        <f t="shared" ca="1" si="13"/>
        <v>907.53550330939527</v>
      </c>
      <c r="U62" s="337">
        <f t="shared" ca="1" si="13"/>
        <v>947.52704400117864</v>
      </c>
      <c r="V62" s="337">
        <f t="shared" ca="1" si="13"/>
        <v>989.6634934754436</v>
      </c>
      <c r="W62" s="337">
        <f t="shared" ca="1" si="13"/>
        <v>1034.0525952077071</v>
      </c>
      <c r="X62" s="337">
        <f t="shared" ca="1" si="13"/>
        <v>1080.807493344048</v>
      </c>
      <c r="Y62" s="337">
        <f t="shared" ca="1" si="13"/>
        <v>1130.0470031003988</v>
      </c>
      <c r="Z62" s="337">
        <f t="shared" ca="1" si="13"/>
        <v>1181.8958946917135</v>
      </c>
      <c r="AA62" s="337">
        <f t="shared" ca="1" si="13"/>
        <v>1236.4851914677729</v>
      </c>
      <c r="AB62" s="337">
        <f t="shared" ca="1" si="13"/>
        <v>1293.9524829662416</v>
      </c>
    </row>
    <row r="63" spans="1:28" ht="15.75">
      <c r="A63" s="134"/>
      <c r="C63" s="337"/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</row>
    <row r="64" spans="1:28" s="346" customFormat="1">
      <c r="A64" s="345" t="s">
        <v>1015</v>
      </c>
      <c r="C64" s="107">
        <f ca="1">C33+C38+C46+C54+C62</f>
        <v>1933.3613953547874</v>
      </c>
      <c r="D64" s="107">
        <f t="shared" ref="D64:S64" ca="1" si="14">D33+D38+D46+D54+D62</f>
        <v>2467.2058103884992</v>
      </c>
      <c r="E64" s="107">
        <f t="shared" ca="1" si="14"/>
        <v>2535.5788138308058</v>
      </c>
      <c r="F64" s="107">
        <f ca="1">F33+F38+F46+F54+F62</f>
        <v>2606.0366987140414</v>
      </c>
      <c r="G64" s="107">
        <f t="shared" ca="1" si="14"/>
        <v>2678.545835657244</v>
      </c>
      <c r="H64" s="107">
        <f t="shared" ca="1" si="14"/>
        <v>2752.444636202903</v>
      </c>
      <c r="I64" s="107">
        <f t="shared" ca="1" si="14"/>
        <v>2828.1390134475014</v>
      </c>
      <c r="J64" s="107">
        <f t="shared" ca="1" si="14"/>
        <v>2905.4521415308441</v>
      </c>
      <c r="K64" s="107">
        <f t="shared" ca="1" si="14"/>
        <v>2984.637248301</v>
      </c>
      <c r="L64" s="107">
        <f t="shared" ca="1" si="14"/>
        <v>3065.7152890376938</v>
      </c>
      <c r="M64" s="107">
        <f t="shared" ca="1" si="14"/>
        <v>3152.2782327780087</v>
      </c>
      <c r="N64" s="107">
        <f t="shared" ca="1" si="14"/>
        <v>3241.3205463870363</v>
      </c>
      <c r="O64" s="107">
        <f t="shared" ca="1" si="14"/>
        <v>3334.191849635657</v>
      </c>
      <c r="P64" s="107">
        <f t="shared" ca="1" si="14"/>
        <v>3431.3124727700992</v>
      </c>
      <c r="Q64" s="107">
        <f t="shared" ca="1" si="14"/>
        <v>3529.8282073941255</v>
      </c>
      <c r="R64" s="107">
        <f t="shared" ca="1" si="14"/>
        <v>3635.1975655880697</v>
      </c>
      <c r="S64" s="107">
        <f t="shared" ca="1" si="14"/>
        <v>3747.1259832077139</v>
      </c>
      <c r="T64" s="107">
        <f t="shared" ref="T64:AB64" ca="1" si="15">T33+T38+T46+T54+T62</f>
        <v>3863.0565416345416</v>
      </c>
      <c r="U64" s="107">
        <f t="shared" ca="1" si="15"/>
        <v>3983.1427024649361</v>
      </c>
      <c r="V64" s="107">
        <f t="shared" ca="1" si="15"/>
        <v>4107.5443362835686</v>
      </c>
      <c r="W64" s="107">
        <f t="shared" ca="1" si="15"/>
        <v>4236.4280088559326</v>
      </c>
      <c r="X64" s="107">
        <f t="shared" ca="1" si="15"/>
        <v>4369.9672807021398</v>
      </c>
      <c r="Y64" s="107">
        <f t="shared" ca="1" si="15"/>
        <v>4508.3430206958947</v>
      </c>
      <c r="Z64" s="107">
        <f t="shared" ca="1" si="15"/>
        <v>4651.7437343640468</v>
      </c>
      <c r="AA64" s="107">
        <f t="shared" ca="1" si="15"/>
        <v>4800.3659075952264</v>
      </c>
      <c r="AB64" s="107">
        <f t="shared" ca="1" si="15"/>
        <v>4954.4143665007487</v>
      </c>
    </row>
    <row r="65" spans="1:28">
      <c r="A65" s="4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89"/>
    </row>
    <row r="66" spans="1:28">
      <c r="A66" s="1" t="s">
        <v>1016</v>
      </c>
      <c r="C66" s="107">
        <f ca="1">C25-C64</f>
        <v>9045.607764645214</v>
      </c>
      <c r="D66" s="107">
        <f t="shared" ref="D66:S66" ca="1" si="16">D25-D64</f>
        <v>15475.2824244115</v>
      </c>
      <c r="E66" s="107">
        <f t="shared" ca="1" si="16"/>
        <v>15445.261579778395</v>
      </c>
      <c r="F66" s="107">
        <f t="shared" ca="1" si="16"/>
        <v>15413.587646113021</v>
      </c>
      <c r="G66" s="107">
        <f t="shared" ca="1" si="16"/>
        <v>15380.267990824976</v>
      </c>
      <c r="H66" s="107">
        <f t="shared" ca="1" si="16"/>
        <v>15345.504926359632</v>
      </c>
      <c r="I66" s="107">
        <f t="shared" ca="1" si="16"/>
        <v>15309.271802435454</v>
      </c>
      <c r="J66" s="107">
        <f t="shared" ca="1" si="16"/>
        <v>15271.714837728243</v>
      </c>
      <c r="K66" s="107">
        <f t="shared" ca="1" si="16"/>
        <v>15232.704639022975</v>
      </c>
      <c r="L66" s="107">
        <f t="shared" ca="1" si="16"/>
        <v>15192.199082224313</v>
      </c>
      <c r="M66" s="107">
        <f t="shared" ca="1" si="16"/>
        <v>15146.911580639797</v>
      </c>
      <c r="N66" s="107">
        <f t="shared" ca="1" si="16"/>
        <v>15099.849012366216</v>
      </c>
      <c r="O66" s="107">
        <f t="shared" ca="1" si="16"/>
        <v>15050.523298954051</v>
      </c>
      <c r="P66" s="107">
        <f t="shared" ca="1" si="16"/>
        <v>14998.755855138363</v>
      </c>
      <c r="Q66" s="107">
        <f t="shared" ca="1" si="16"/>
        <v>14947.482903872748</v>
      </c>
      <c r="R66" s="107">
        <f t="shared" ca="1" si="16"/>
        <v>14891.703752349629</v>
      </c>
      <c r="S66" s="107">
        <f t="shared" ca="1" si="16"/>
        <v>14831.452360446097</v>
      </c>
      <c r="T66" s="107">
        <f t="shared" ref="T66:AB66" ca="1" si="17">T25-T64</f>
        <v>14768.599275132285</v>
      </c>
      <c r="U66" s="107">
        <f t="shared" ca="1" si="17"/>
        <v>14703.028986936273</v>
      </c>
      <c r="V66" s="107">
        <f t="shared" ca="1" si="17"/>
        <v>14634.620605900411</v>
      </c>
      <c r="W66" s="107">
        <f t="shared" ca="1" si="17"/>
        <v>14563.247603261236</v>
      </c>
      <c r="X66" s="107">
        <f t="shared" ca="1" si="17"/>
        <v>14488.777540503406</v>
      </c>
      <c r="Y66" s="107">
        <f t="shared" ca="1" si="17"/>
        <v>14411.071785164317</v>
      </c>
      <c r="Z66" s="107">
        <f t="shared" ca="1" si="17"/>
        <v>14329.985212734979</v>
      </c>
      <c r="AA66" s="107">
        <f t="shared" ca="1" si="17"/>
        <v>14245.365893970182</v>
      </c>
      <c r="AB66" s="107">
        <f t="shared" ca="1" si="17"/>
        <v>13759.622471229135</v>
      </c>
    </row>
    <row r="67" spans="1:28">
      <c r="A67" s="1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</row>
    <row r="68" spans="1:28">
      <c r="A68" s="3" t="s">
        <v>1017</v>
      </c>
      <c r="C68" s="106">
        <f ca="1">Dep!D43</f>
        <v>2454.9255771863086</v>
      </c>
      <c r="D68" s="106">
        <f ca="1">Dep!E43</f>
        <v>4208.4438466050997</v>
      </c>
      <c r="E68" s="106">
        <f ca="1">Dep!F43</f>
        <v>4208.4438466050997</v>
      </c>
      <c r="F68" s="106">
        <f ca="1">Dep!G43</f>
        <v>4208.4438466050997</v>
      </c>
      <c r="G68" s="106">
        <f ca="1">Dep!H43</f>
        <v>4208.4438466050997</v>
      </c>
      <c r="H68" s="106">
        <f ca="1">Dep!I43</f>
        <v>4208.4438466050997</v>
      </c>
      <c r="I68" s="106">
        <f ca="1">Dep!J43</f>
        <v>4208.4438466050997</v>
      </c>
      <c r="J68" s="106">
        <f ca="1">Dep!K43</f>
        <v>4208.4438466050997</v>
      </c>
      <c r="K68" s="106">
        <f ca="1">Dep!L43</f>
        <v>4208.4438466050997</v>
      </c>
      <c r="L68" s="106">
        <f ca="1">Dep!M43</f>
        <v>4208.4438466050997</v>
      </c>
      <c r="M68" s="106">
        <f ca="1">Dep!N43</f>
        <v>4208.4438466050997</v>
      </c>
      <c r="N68" s="106">
        <f ca="1">Dep!O43</f>
        <v>4208.4438466050997</v>
      </c>
      <c r="O68" s="106">
        <f ca="1">Dep!P43</f>
        <v>4208.4438466050997</v>
      </c>
      <c r="P68" s="106">
        <f ca="1">Dep!Q43</f>
        <v>4208.4438466050997</v>
      </c>
      <c r="Q68" s="106">
        <f ca="1">Dep!R43</f>
        <v>4208.4438466050997</v>
      </c>
      <c r="R68" s="106">
        <f ca="1">Dep!S43</f>
        <v>4208.4438466050997</v>
      </c>
      <c r="S68" s="106">
        <f ca="1">Dep!T43</f>
        <v>4208.4438466050997</v>
      </c>
      <c r="T68" s="106">
        <f ca="1">Dep!U43</f>
        <v>4208.4438466050997</v>
      </c>
      <c r="U68" s="106">
        <f ca="1">Dep!V43</f>
        <v>4208.4438466050997</v>
      </c>
      <c r="V68" s="106">
        <f ca="1">Dep!W43</f>
        <v>4208.4438466050997</v>
      </c>
      <c r="W68" s="106">
        <f ca="1">Dep!X43</f>
        <v>4208.4438466050997</v>
      </c>
      <c r="X68" s="106">
        <f ca="1">Dep!Y43</f>
        <v>4208.4438466050997</v>
      </c>
      <c r="Y68" s="106">
        <f ca="1">Dep!Z43</f>
        <v>4208.4438466050997</v>
      </c>
      <c r="Z68" s="106">
        <f ca="1">Dep!AA43</f>
        <v>4208.4438466050997</v>
      </c>
      <c r="AA68" s="106">
        <f ca="1">Dep!AB43</f>
        <v>4208.4438466050997</v>
      </c>
      <c r="AB68" s="106">
        <f ca="1">Dep!AC43</f>
        <v>4208.4438466050997</v>
      </c>
    </row>
    <row r="69" spans="1:28">
      <c r="A69" s="3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</row>
    <row r="70" spans="1:28">
      <c r="A70" s="1" t="s">
        <v>1018</v>
      </c>
      <c r="C70" s="107">
        <f ca="1">C66-C68</f>
        <v>6590.6821874589059</v>
      </c>
      <c r="D70" s="107">
        <f t="shared" ref="D70:AB70" ca="1" si="18">D66-D68</f>
        <v>11266.8385778064</v>
      </c>
      <c r="E70" s="107">
        <f t="shared" ca="1" si="18"/>
        <v>11236.817733173295</v>
      </c>
      <c r="F70" s="107">
        <f t="shared" ca="1" si="18"/>
        <v>11205.143799507921</v>
      </c>
      <c r="G70" s="107">
        <f t="shared" ca="1" si="18"/>
        <v>11171.824144219876</v>
      </c>
      <c r="H70" s="107">
        <f t="shared" ca="1" si="18"/>
        <v>11137.061079754532</v>
      </c>
      <c r="I70" s="107">
        <f t="shared" ca="1" si="18"/>
        <v>11100.827955830355</v>
      </c>
      <c r="J70" s="107">
        <f t="shared" ca="1" si="18"/>
        <v>11063.270991123143</v>
      </c>
      <c r="K70" s="107">
        <f t="shared" ca="1" si="18"/>
        <v>11024.260792417876</v>
      </c>
      <c r="L70" s="107">
        <f t="shared" ca="1" si="18"/>
        <v>10983.755235619214</v>
      </c>
      <c r="M70" s="107">
        <f t="shared" ca="1" si="18"/>
        <v>10938.467734034697</v>
      </c>
      <c r="N70" s="107">
        <f t="shared" ca="1" si="18"/>
        <v>10891.405165761116</v>
      </c>
      <c r="O70" s="107">
        <f t="shared" ca="1" si="18"/>
        <v>10842.079452348951</v>
      </c>
      <c r="P70" s="107">
        <f t="shared" ca="1" si="18"/>
        <v>10790.312008533263</v>
      </c>
      <c r="Q70" s="107">
        <f t="shared" ca="1" si="18"/>
        <v>10739.039057267648</v>
      </c>
      <c r="R70" s="107">
        <f t="shared" ca="1" si="18"/>
        <v>10683.25990574453</v>
      </c>
      <c r="S70" s="107">
        <f t="shared" ca="1" si="18"/>
        <v>10623.008513840998</v>
      </c>
      <c r="T70" s="107">
        <f t="shared" ca="1" si="18"/>
        <v>10560.155428527185</v>
      </c>
      <c r="U70" s="107">
        <f t="shared" ca="1" si="18"/>
        <v>10494.585140331174</v>
      </c>
      <c r="V70" s="107">
        <f t="shared" ca="1" si="18"/>
        <v>10426.176759295311</v>
      </c>
      <c r="W70" s="107">
        <f t="shared" ca="1" si="18"/>
        <v>10354.803756656136</v>
      </c>
      <c r="X70" s="107">
        <f t="shared" ca="1" si="18"/>
        <v>10280.333693898307</v>
      </c>
      <c r="Y70" s="107">
        <f t="shared" ca="1" si="18"/>
        <v>10202.627938559217</v>
      </c>
      <c r="Z70" s="107">
        <f t="shared" ca="1" si="18"/>
        <v>10121.541366129879</v>
      </c>
      <c r="AA70" s="107">
        <f t="shared" ca="1" si="18"/>
        <v>10036.922047365082</v>
      </c>
      <c r="AB70" s="107">
        <f t="shared" ca="1" si="18"/>
        <v>9551.1786246240354</v>
      </c>
    </row>
    <row r="71" spans="1:28">
      <c r="A71" s="1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 spans="1:28">
      <c r="A72" s="3" t="s">
        <v>1193</v>
      </c>
      <c r="C72" s="106">
        <f>-SUM(Debt!C87)-CF!C114</f>
        <v>0</v>
      </c>
      <c r="D72" s="106">
        <f ca="1">-SUM(Debt!D87)-CF!D114</f>
        <v>0</v>
      </c>
      <c r="E72" s="106">
        <f ca="1">-SUM(Debt!E87)-CF!E114</f>
        <v>0</v>
      </c>
      <c r="F72" s="106">
        <f ca="1">-SUM(Debt!F87)-CF!F114</f>
        <v>0</v>
      </c>
      <c r="G72" s="106">
        <f ca="1">-SUM(Debt!G87)-CF!G114</f>
        <v>0</v>
      </c>
      <c r="H72" s="106">
        <f ca="1">-SUM(Debt!H87)-CF!H114</f>
        <v>0</v>
      </c>
      <c r="I72" s="106">
        <f ca="1">-SUM(Debt!I87)-CF!I114</f>
        <v>0</v>
      </c>
      <c r="J72" s="106">
        <f ca="1">-SUM(Debt!J87)-CF!J114</f>
        <v>0</v>
      </c>
      <c r="K72" s="106">
        <f ca="1">-SUM(Debt!K87)-CF!K114</f>
        <v>0</v>
      </c>
      <c r="L72" s="106">
        <f ca="1">-SUM(Debt!L87)-CF!L114</f>
        <v>0</v>
      </c>
      <c r="M72" s="106">
        <f ca="1">-SUM(Debt!M87)-CF!M114</f>
        <v>0</v>
      </c>
      <c r="N72" s="106">
        <f ca="1">-SUM(Debt!N87)-CF!N114</f>
        <v>0</v>
      </c>
      <c r="O72" s="106">
        <f ca="1">-SUM(Debt!O87)-CF!O114</f>
        <v>0</v>
      </c>
      <c r="P72" s="106">
        <f ca="1">-SUM(Debt!P87)-CF!P114</f>
        <v>0</v>
      </c>
      <c r="Q72" s="106">
        <f ca="1">-SUM(Debt!Q87)-CF!Q114</f>
        <v>0</v>
      </c>
      <c r="R72" s="106">
        <f ca="1">-SUM(Debt!R87)-CF!R114</f>
        <v>0</v>
      </c>
      <c r="S72" s="106">
        <f ca="1">-SUM(Debt!S87)-CF!S114</f>
        <v>0</v>
      </c>
      <c r="T72" s="106">
        <f ca="1">-SUM(Debt!T87)-CF!T114</f>
        <v>0</v>
      </c>
      <c r="U72" s="106">
        <f ca="1">-SUM(Debt!U87)-CF!U114</f>
        <v>0</v>
      </c>
      <c r="V72" s="106">
        <f ca="1">-SUM(Debt!V87)-CF!V114</f>
        <v>0</v>
      </c>
      <c r="W72" s="106">
        <f ca="1">-SUM(Debt!W87)-CF!W114</f>
        <v>0</v>
      </c>
      <c r="X72" s="106">
        <f ca="1">-SUM(Debt!X87)-CF!X114</f>
        <v>0</v>
      </c>
      <c r="Y72" s="106">
        <f ca="1">-SUM(Debt!Y87)-CF!Y114</f>
        <v>0</v>
      </c>
      <c r="Z72" s="106">
        <f ca="1">-SUM(Debt!Z87)-CF!Z114</f>
        <v>0</v>
      </c>
      <c r="AA72" s="106">
        <f ca="1">-SUM(Debt!AA87)-CF!AA114</f>
        <v>0</v>
      </c>
      <c r="AB72" s="106">
        <f ca="1">-SUM(Debt!AB87)-CF!AB114</f>
        <v>0</v>
      </c>
    </row>
    <row r="73" spans="1:28">
      <c r="A73" s="5" t="s">
        <v>1384</v>
      </c>
      <c r="C73" s="607">
        <f>AVERAGE(BS!B11:C11)*Assum!$B$122</f>
        <v>0</v>
      </c>
      <c r="D73" s="607">
        <f>AVERAGE(BS!C11:D11)*Assum!$B$122</f>
        <v>0</v>
      </c>
      <c r="E73" s="607">
        <f>AVERAGE(BS!D11:E11)*Assum!$B$122</f>
        <v>0</v>
      </c>
      <c r="F73" s="607">
        <f>AVERAGE(BS!E11:F11)*Assum!$B$122</f>
        <v>0</v>
      </c>
      <c r="G73" s="607">
        <f>AVERAGE(BS!F11:G11)*Assum!$B$122</f>
        <v>0</v>
      </c>
      <c r="H73" s="607">
        <f>AVERAGE(BS!G11:H11)*Assum!$B$122</f>
        <v>0</v>
      </c>
      <c r="I73" s="607">
        <f>AVERAGE(BS!H11:I11)*Assum!$B$122</f>
        <v>0</v>
      </c>
      <c r="J73" s="607">
        <f>AVERAGE(BS!I11:J11)*Assum!$B$122</f>
        <v>0</v>
      </c>
      <c r="K73" s="607">
        <f>AVERAGE(BS!J11:K11)*Assum!$B$122</f>
        <v>0</v>
      </c>
      <c r="L73" s="607">
        <f>AVERAGE(BS!K11:L11)*Assum!$B$122</f>
        <v>0</v>
      </c>
      <c r="M73" s="607">
        <f>AVERAGE(BS!L11:M11)*Assum!$B$122</f>
        <v>61.318776540242432</v>
      </c>
      <c r="N73" s="607">
        <f>AVERAGE(BS!M11:N11)*Assum!$B$122</f>
        <v>183.9563296207273</v>
      </c>
      <c r="O73" s="607">
        <f>AVERAGE(BS!N11:O11)*Assum!$B$122</f>
        <v>306.59388270121218</v>
      </c>
      <c r="P73" s="607">
        <f>AVERAGE(BS!O11:P11)*Assum!$B$122</f>
        <v>429.23143578169709</v>
      </c>
      <c r="Q73" s="607">
        <f>AVERAGE(BS!P11:Q11)*Assum!$B$122</f>
        <v>245.27510616096973</v>
      </c>
      <c r="R73" s="607">
        <f>AVERAGE(BS!Q11:R11)*Assum!$B$122</f>
        <v>0</v>
      </c>
      <c r="S73" s="607">
        <f>AVERAGE(BS!R11:S11)*Assum!$B$122</f>
        <v>0</v>
      </c>
      <c r="T73" s="607">
        <f>AVERAGE(BS!S11:T11)*Assum!$B$122</f>
        <v>0</v>
      </c>
      <c r="U73" s="607">
        <f>AVERAGE(BS!T11:U11)*Assum!$B$122</f>
        <v>0</v>
      </c>
      <c r="V73" s="607">
        <f>AVERAGE(BS!U11:V11)*Assum!$B$122</f>
        <v>0</v>
      </c>
      <c r="W73" s="607">
        <f>AVERAGE(BS!V11:W11)*Assum!$B$122</f>
        <v>0</v>
      </c>
      <c r="X73" s="607">
        <f>AVERAGE(BS!W11:X11)*Assum!$B$122</f>
        <v>0</v>
      </c>
      <c r="Y73" s="607">
        <f>AVERAGE(BS!X11:Y11)*Assum!$B$122</f>
        <v>0</v>
      </c>
      <c r="Z73" s="607">
        <f>AVERAGE(BS!Y11:Z11)*Assum!$B$122</f>
        <v>0</v>
      </c>
      <c r="AA73" s="607">
        <f>AVERAGE(BS!Z11:AA11)*Assum!$B$122</f>
        <v>0</v>
      </c>
      <c r="AB73" s="607">
        <f>AVERAGE(BS!AA11:AB11)*Assum!$B$122</f>
        <v>0</v>
      </c>
    </row>
    <row r="74" spans="1:28">
      <c r="A74" s="5" t="s">
        <v>1385</v>
      </c>
      <c r="C74" s="106">
        <f>SUM(C72:C73)</f>
        <v>0</v>
      </c>
      <c r="D74" s="106">
        <f ca="1">SUM(D72:D73)</f>
        <v>0</v>
      </c>
      <c r="E74" s="106">
        <f t="shared" ref="E74:R74" ca="1" si="19">SUM(E72:E73)</f>
        <v>0</v>
      </c>
      <c r="F74" s="106">
        <f t="shared" ca="1" si="19"/>
        <v>0</v>
      </c>
      <c r="G74" s="106">
        <f t="shared" ca="1" si="19"/>
        <v>0</v>
      </c>
      <c r="H74" s="106">
        <f t="shared" ca="1" si="19"/>
        <v>0</v>
      </c>
      <c r="I74" s="106">
        <f t="shared" ca="1" si="19"/>
        <v>0</v>
      </c>
      <c r="J74" s="106">
        <f t="shared" ca="1" si="19"/>
        <v>0</v>
      </c>
      <c r="K74" s="106">
        <f t="shared" ca="1" si="19"/>
        <v>0</v>
      </c>
      <c r="L74" s="106">
        <f t="shared" ca="1" si="19"/>
        <v>0</v>
      </c>
      <c r="M74" s="106">
        <f t="shared" ca="1" si="19"/>
        <v>61.318776540242432</v>
      </c>
      <c r="N74" s="106">
        <f t="shared" ca="1" si="19"/>
        <v>183.9563296207273</v>
      </c>
      <c r="O74" s="106">
        <f t="shared" ca="1" si="19"/>
        <v>306.59388270121218</v>
      </c>
      <c r="P74" s="106">
        <f t="shared" ca="1" si="19"/>
        <v>429.23143578169709</v>
      </c>
      <c r="Q74" s="106">
        <f t="shared" ca="1" si="19"/>
        <v>245.27510616096973</v>
      </c>
      <c r="R74" s="106">
        <f t="shared" ca="1" si="19"/>
        <v>0</v>
      </c>
      <c r="S74" s="106">
        <f t="shared" ref="S74:AB74" ca="1" si="20">SUM(S72:S73)</f>
        <v>0</v>
      </c>
      <c r="T74" s="106">
        <f t="shared" ca="1" si="20"/>
        <v>0</v>
      </c>
      <c r="U74" s="106">
        <f t="shared" ca="1" si="20"/>
        <v>0</v>
      </c>
      <c r="V74" s="106">
        <f t="shared" ca="1" si="20"/>
        <v>0</v>
      </c>
      <c r="W74" s="106">
        <f t="shared" ca="1" si="20"/>
        <v>0</v>
      </c>
      <c r="X74" s="106">
        <f t="shared" ca="1" si="20"/>
        <v>0</v>
      </c>
      <c r="Y74" s="106">
        <f t="shared" ca="1" si="20"/>
        <v>0</v>
      </c>
      <c r="Z74" s="106">
        <f t="shared" ca="1" si="20"/>
        <v>0</v>
      </c>
      <c r="AA74" s="106">
        <f t="shared" ca="1" si="20"/>
        <v>0</v>
      </c>
      <c r="AB74" s="106">
        <f t="shared" ca="1" si="20"/>
        <v>0</v>
      </c>
    </row>
    <row r="75" spans="1:28">
      <c r="A75" s="5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</row>
    <row r="76" spans="1:28">
      <c r="A76" s="1" t="s">
        <v>1019</v>
      </c>
      <c r="C76" s="107">
        <f ca="1">C70+C74</f>
        <v>6590.6821874589059</v>
      </c>
      <c r="D76" s="107">
        <f t="shared" ref="D76:S76" ca="1" si="21">D70+D74</f>
        <v>11266.8385778064</v>
      </c>
      <c r="E76" s="107">
        <f t="shared" ca="1" si="21"/>
        <v>11236.817733173295</v>
      </c>
      <c r="F76" s="107">
        <f t="shared" ca="1" si="21"/>
        <v>11205.143799507921</v>
      </c>
      <c r="G76" s="107">
        <f t="shared" ca="1" si="21"/>
        <v>11171.824144219876</v>
      </c>
      <c r="H76" s="107">
        <f t="shared" ca="1" si="21"/>
        <v>11137.061079754532</v>
      </c>
      <c r="I76" s="107">
        <f t="shared" ca="1" si="21"/>
        <v>11100.827955830355</v>
      </c>
      <c r="J76" s="107">
        <f t="shared" ca="1" si="21"/>
        <v>11063.270991123143</v>
      </c>
      <c r="K76" s="107">
        <f t="shared" ca="1" si="21"/>
        <v>11024.260792417876</v>
      </c>
      <c r="L76" s="107">
        <f t="shared" ca="1" si="21"/>
        <v>10983.755235619214</v>
      </c>
      <c r="M76" s="107">
        <f t="shared" ca="1" si="21"/>
        <v>10999.786510574939</v>
      </c>
      <c r="N76" s="107">
        <f t="shared" ca="1" si="21"/>
        <v>11075.361495381843</v>
      </c>
      <c r="O76" s="107">
        <f t="shared" ca="1" si="21"/>
        <v>11148.673335050164</v>
      </c>
      <c r="P76" s="107">
        <f t="shared" ca="1" si="21"/>
        <v>11219.543444314961</v>
      </c>
      <c r="Q76" s="107">
        <f t="shared" ca="1" si="21"/>
        <v>10984.314163428618</v>
      </c>
      <c r="R76" s="107">
        <f t="shared" ca="1" si="21"/>
        <v>10683.25990574453</v>
      </c>
      <c r="S76" s="107">
        <f t="shared" ca="1" si="21"/>
        <v>10623.008513840998</v>
      </c>
      <c r="T76" s="107">
        <f t="shared" ref="T76:AB76" ca="1" si="22">T70+T74</f>
        <v>10560.155428527185</v>
      </c>
      <c r="U76" s="107">
        <f t="shared" ca="1" si="22"/>
        <v>10494.585140331174</v>
      </c>
      <c r="V76" s="107">
        <f t="shared" ca="1" si="22"/>
        <v>10426.176759295311</v>
      </c>
      <c r="W76" s="107">
        <f t="shared" ca="1" si="22"/>
        <v>10354.803756656136</v>
      </c>
      <c r="X76" s="107">
        <f t="shared" ca="1" si="22"/>
        <v>10280.333693898307</v>
      </c>
      <c r="Y76" s="107">
        <f t="shared" ca="1" si="22"/>
        <v>10202.627938559217</v>
      </c>
      <c r="Z76" s="107">
        <f t="shared" ca="1" si="22"/>
        <v>10121.541366129879</v>
      </c>
      <c r="AA76" s="107">
        <f t="shared" ca="1" si="22"/>
        <v>10036.922047365082</v>
      </c>
      <c r="AB76" s="107">
        <f t="shared" ca="1" si="22"/>
        <v>9551.1786246240354</v>
      </c>
    </row>
    <row r="77" spans="1:28">
      <c r="A77" s="1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</row>
    <row r="78" spans="1:28">
      <c r="A78" s="3" t="s">
        <v>1020</v>
      </c>
      <c r="B78" s="98">
        <f>Assum!I106</f>
        <v>7.1800000000000003E-2</v>
      </c>
      <c r="C78" s="114">
        <f ca="1">-C76*$B$78</f>
        <v>-473.21098105954945</v>
      </c>
      <c r="D78" s="114">
        <f t="shared" ref="D78:S78" ca="1" si="23">-D76*$B$78</f>
        <v>-808.95900988649953</v>
      </c>
      <c r="E78" s="114">
        <f t="shared" ca="1" si="23"/>
        <v>-806.80351324184267</v>
      </c>
      <c r="F78" s="114">
        <f t="shared" ca="1" si="23"/>
        <v>-804.52932480466882</v>
      </c>
      <c r="G78" s="114">
        <f t="shared" ca="1" si="23"/>
        <v>-802.13697355498709</v>
      </c>
      <c r="H78" s="114">
        <f t="shared" ca="1" si="23"/>
        <v>-799.6409855263754</v>
      </c>
      <c r="I78" s="114">
        <f t="shared" ca="1" si="23"/>
        <v>-797.03944722861945</v>
      </c>
      <c r="J78" s="114">
        <f t="shared" ca="1" si="23"/>
        <v>-794.34285716264174</v>
      </c>
      <c r="K78" s="114">
        <f t="shared" ca="1" si="23"/>
        <v>-791.54192489560353</v>
      </c>
      <c r="L78" s="114">
        <f t="shared" ca="1" si="23"/>
        <v>-788.63362591745954</v>
      </c>
      <c r="M78" s="114">
        <f t="shared" ca="1" si="23"/>
        <v>-789.78467145928062</v>
      </c>
      <c r="N78" s="114">
        <f t="shared" ca="1" si="23"/>
        <v>-795.21095536841642</v>
      </c>
      <c r="O78" s="114">
        <f t="shared" ca="1" si="23"/>
        <v>-800.4747454566018</v>
      </c>
      <c r="P78" s="114">
        <f t="shared" ca="1" si="23"/>
        <v>-805.56321930181423</v>
      </c>
      <c r="Q78" s="114">
        <f t="shared" ca="1" si="23"/>
        <v>-788.67375693417489</v>
      </c>
      <c r="R78" s="114">
        <f t="shared" ca="1" si="23"/>
        <v>-767.05806123245725</v>
      </c>
      <c r="S78" s="114">
        <f t="shared" ca="1" si="23"/>
        <v>-762.73201129378367</v>
      </c>
      <c r="T78" s="114">
        <f t="shared" ref="T78:AB78" ca="1" si="24">-T76*$B$78</f>
        <v>-758.21915976825187</v>
      </c>
      <c r="U78" s="114">
        <f t="shared" ca="1" si="24"/>
        <v>-753.5112130757783</v>
      </c>
      <c r="V78" s="114">
        <f t="shared" ca="1" si="24"/>
        <v>-748.59949131740336</v>
      </c>
      <c r="W78" s="114">
        <f t="shared" ca="1" si="24"/>
        <v>-743.47490972791059</v>
      </c>
      <c r="X78" s="114">
        <f t="shared" ca="1" si="24"/>
        <v>-738.12795922189844</v>
      </c>
      <c r="Y78" s="114">
        <f t="shared" ca="1" si="24"/>
        <v>-732.54868598855182</v>
      </c>
      <c r="Z78" s="114">
        <f t="shared" ca="1" si="24"/>
        <v>-726.72667008812539</v>
      </c>
      <c r="AA78" s="114">
        <f t="shared" ca="1" si="24"/>
        <v>-720.65100300081292</v>
      </c>
      <c r="AB78" s="114">
        <f t="shared" ca="1" si="24"/>
        <v>-685.7746252480058</v>
      </c>
    </row>
    <row r="79" spans="1:28">
      <c r="A79" s="3" t="s">
        <v>1021</v>
      </c>
      <c r="B79" s="98">
        <f>Assum!I105</f>
        <v>0.35</v>
      </c>
      <c r="C79" s="114">
        <f ca="1">(C76+C78)*-$B$79</f>
        <v>-2141.1149222397748</v>
      </c>
      <c r="D79" s="114">
        <f t="shared" ref="D79:S79" ca="1" si="25">(D76+D78)*-$B$79</f>
        <v>-3660.2578487719652</v>
      </c>
      <c r="E79" s="114">
        <f t="shared" ca="1" si="25"/>
        <v>-3650.504976976008</v>
      </c>
      <c r="F79" s="114">
        <f t="shared" ca="1" si="25"/>
        <v>-3640.2150661461378</v>
      </c>
      <c r="G79" s="114">
        <f t="shared" ca="1" si="25"/>
        <v>-3629.3905097327111</v>
      </c>
      <c r="H79" s="114">
        <f t="shared" ca="1" si="25"/>
        <v>-3618.0970329798547</v>
      </c>
      <c r="I79" s="114">
        <f t="shared" ca="1" si="25"/>
        <v>-3606.3259780106073</v>
      </c>
      <c r="J79" s="114">
        <f t="shared" ca="1" si="25"/>
        <v>-3594.1248468861754</v>
      </c>
      <c r="K79" s="114">
        <f t="shared" ca="1" si="25"/>
        <v>-3581.451603632795</v>
      </c>
      <c r="L79" s="114">
        <f t="shared" ca="1" si="25"/>
        <v>-3568.2925633956133</v>
      </c>
      <c r="M79" s="114">
        <f t="shared" ca="1" si="25"/>
        <v>-3573.5006436904805</v>
      </c>
      <c r="N79" s="114">
        <f t="shared" ca="1" si="25"/>
        <v>-3598.052689004699</v>
      </c>
      <c r="O79" s="114">
        <f t="shared" ca="1" si="25"/>
        <v>-3621.8695063577461</v>
      </c>
      <c r="P79" s="114">
        <f t="shared" ca="1" si="25"/>
        <v>-3644.893078754601</v>
      </c>
      <c r="Q79" s="114">
        <f t="shared" ca="1" si="25"/>
        <v>-3568.4741422730549</v>
      </c>
      <c r="R79" s="114">
        <f t="shared" ca="1" si="25"/>
        <v>-3470.670645579225</v>
      </c>
      <c r="S79" s="114">
        <f t="shared" ca="1" si="25"/>
        <v>-3451.0967758915249</v>
      </c>
      <c r="T79" s="114">
        <f t="shared" ref="T79:AB79" ca="1" si="26">(T76+T78)*-$B$79</f>
        <v>-3430.6776940656264</v>
      </c>
      <c r="U79" s="114">
        <f t="shared" ca="1" si="26"/>
        <v>-3409.375874539388</v>
      </c>
      <c r="V79" s="114">
        <f t="shared" ca="1" si="26"/>
        <v>-3387.1520437922672</v>
      </c>
      <c r="W79" s="114">
        <f t="shared" ca="1" si="26"/>
        <v>-3363.9650964248785</v>
      </c>
      <c r="X79" s="114">
        <f t="shared" ca="1" si="26"/>
        <v>-3339.772007136743</v>
      </c>
      <c r="Y79" s="114">
        <f t="shared" ca="1" si="26"/>
        <v>-3314.5277383997327</v>
      </c>
      <c r="Z79" s="114">
        <f t="shared" ca="1" si="26"/>
        <v>-3288.1851436146139</v>
      </c>
      <c r="AA79" s="114">
        <f t="shared" ca="1" si="26"/>
        <v>-3260.6948655274941</v>
      </c>
      <c r="AB79" s="114">
        <f t="shared" ca="1" si="26"/>
        <v>-3102.8913997816098</v>
      </c>
    </row>
    <row r="80" spans="1:28">
      <c r="A80" s="5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</row>
    <row r="81" spans="1:29" ht="15.75">
      <c r="A81" s="75" t="s">
        <v>1022</v>
      </c>
      <c r="B81" s="76"/>
      <c r="C81" s="108">
        <f ca="1">C76+C78+C79</f>
        <v>3976.3562841595817</v>
      </c>
      <c r="D81" s="108">
        <f t="shared" ref="D81:S81" ca="1" si="27">D76+D78+D79</f>
        <v>6797.6217191479354</v>
      </c>
      <c r="E81" s="108">
        <f t="shared" ca="1" si="27"/>
        <v>6779.5092429554443</v>
      </c>
      <c r="F81" s="108">
        <f t="shared" ca="1" si="27"/>
        <v>6760.3994085571139</v>
      </c>
      <c r="G81" s="108">
        <f t="shared" ca="1" si="27"/>
        <v>6740.2966609321775</v>
      </c>
      <c r="H81" s="108">
        <f t="shared" ca="1" si="27"/>
        <v>6719.3230612483021</v>
      </c>
      <c r="I81" s="108">
        <f t="shared" ca="1" si="27"/>
        <v>6697.4625305911286</v>
      </c>
      <c r="J81" s="108">
        <f t="shared" ca="1" si="27"/>
        <v>6674.8032870743264</v>
      </c>
      <c r="K81" s="108">
        <f t="shared" ca="1" si="27"/>
        <v>6651.2672638894765</v>
      </c>
      <c r="L81" s="108">
        <f t="shared" ca="1" si="27"/>
        <v>6626.8290463061403</v>
      </c>
      <c r="M81" s="108">
        <f t="shared" ca="1" si="27"/>
        <v>6636.5011954251786</v>
      </c>
      <c r="N81" s="108">
        <f t="shared" ca="1" si="27"/>
        <v>6682.097851008728</v>
      </c>
      <c r="O81" s="108">
        <f t="shared" ca="1" si="27"/>
        <v>6726.3290832358152</v>
      </c>
      <c r="P81" s="108">
        <f t="shared" ca="1" si="27"/>
        <v>6769.0871462585455</v>
      </c>
      <c r="Q81" s="108">
        <f t="shared" ca="1" si="27"/>
        <v>6627.1662642213887</v>
      </c>
      <c r="R81" s="108">
        <f t="shared" ca="1" si="27"/>
        <v>6445.5311989328475</v>
      </c>
      <c r="S81" s="108">
        <f t="shared" ca="1" si="27"/>
        <v>6409.1797266556896</v>
      </c>
      <c r="T81" s="108">
        <f t="shared" ref="T81:AB81" ca="1" si="28">T76+T78+T79</f>
        <v>6371.2585746933064</v>
      </c>
      <c r="U81" s="108">
        <f t="shared" ca="1" si="28"/>
        <v>6331.6980527160067</v>
      </c>
      <c r="V81" s="108">
        <f t="shared" ca="1" si="28"/>
        <v>6290.4252241856402</v>
      </c>
      <c r="W81" s="108">
        <f t="shared" ca="1" si="28"/>
        <v>6247.3637505033466</v>
      </c>
      <c r="X81" s="108">
        <f t="shared" ca="1" si="28"/>
        <v>6202.4337275396656</v>
      </c>
      <c r="Y81" s="108">
        <f t="shared" ca="1" si="28"/>
        <v>6155.5515141709329</v>
      </c>
      <c r="Z81" s="108">
        <f t="shared" ca="1" si="28"/>
        <v>6106.6295524271409</v>
      </c>
      <c r="AA81" s="108">
        <f t="shared" ca="1" si="28"/>
        <v>6055.5761788367763</v>
      </c>
      <c r="AB81" s="108">
        <f t="shared" ca="1" si="28"/>
        <v>5762.512599594419</v>
      </c>
    </row>
    <row r="83" spans="1:29">
      <c r="C83" s="209"/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</row>
    <row r="84" spans="1:29">
      <c r="C84" s="132"/>
      <c r="D84" s="132"/>
      <c r="E84" s="132"/>
      <c r="F84" s="132"/>
      <c r="G84" s="132"/>
    </row>
    <row r="88" spans="1:29">
      <c r="A88" t="s">
        <v>1249</v>
      </c>
      <c r="C88" s="352">
        <f>Assum!$I$60*Assum!$I$13*Assum!$I$14*IF(C92&gt;Assum!$I$51, Assum!$I$51-B92, 1)</f>
        <v>473969.15999999992</v>
      </c>
      <c r="D88" s="352">
        <f>Assum!$I$60*Assum!$I$13*Assum!$I$14*IF(D92&gt;Assum!$I$51, Assum!$I$51-C92, 1)</f>
        <v>473969.15999999992</v>
      </c>
      <c r="E88" s="352">
        <f>Assum!$I$60*Assum!$I$13*Assum!$I$14*IF(E92&gt;Assum!$I$51, Assum!$I$51-D92, 1)</f>
        <v>473969.15999999992</v>
      </c>
      <c r="F88" s="352">
        <f>Assum!$I$60*Assum!$I$13*Assum!$I$14*IF(F92&gt;Assum!$I$51, Assum!$I$51-E92, 1)</f>
        <v>473969.15999999992</v>
      </c>
      <c r="G88" s="352">
        <f>Assum!$I$60*Assum!$I$13*Assum!$I$14*IF(G92&gt;Assum!$I$51, Assum!$I$51-F92, 1)</f>
        <v>473969.15999999992</v>
      </c>
      <c r="H88" s="352">
        <f>Assum!$I$60*Assum!$I$13*Assum!$I$14*IF(H92&gt;Assum!$I$51, Assum!$I$51-G92, 1)</f>
        <v>473969.15999999992</v>
      </c>
      <c r="I88" s="352">
        <f>Assum!$I$60*Assum!$I$13*Assum!$I$14*IF(I92&gt;Assum!$I$51, Assum!$I$51-H92, 1)</f>
        <v>473969.15999999992</v>
      </c>
      <c r="J88" s="352">
        <f>Assum!$I$60*Assum!$I$13*Assum!$I$14*IF(J92&gt;Assum!$I$51, Assum!$I$51-I92, 1)</f>
        <v>473969.15999999992</v>
      </c>
      <c r="K88" s="352">
        <f>Assum!$I$60*Assum!$I$13*Assum!$I$14*IF(K92&gt;Assum!$I$51, Assum!$I$51-J92, 1)</f>
        <v>473969.15999999992</v>
      </c>
      <c r="L88" s="352">
        <f>Assum!$I$60*Assum!$I$13*Assum!$I$14*IF(L92&gt;Assum!$I$51, Assum!$I$51-K92, 1)</f>
        <v>473969.15999999992</v>
      </c>
      <c r="M88" s="352">
        <f>Assum!$I$60*Assum!$I$13*Assum!$I$14*IF(M92&gt;Assum!$I$51, Assum!$I$51-L92, 1)</f>
        <v>473969.15999999992</v>
      </c>
      <c r="N88" s="352">
        <f>Assum!$I$60*Assum!$I$13*Assum!$I$14*IF(N92&gt;Assum!$I$51, Assum!$I$51-M92, 1)</f>
        <v>473969.15999999992</v>
      </c>
      <c r="O88" s="352">
        <f>Assum!$I$60*Assum!$I$13*Assum!$I$14*IF(O92&gt;Assum!$I$51, Assum!$I$51-N92, 1)</f>
        <v>473969.15999999992</v>
      </c>
      <c r="P88" s="352">
        <f>Assum!$I$60*Assum!$I$13*Assum!$I$14*IF(P92&gt;Assum!$I$51, Assum!$I$51-O92, 1)</f>
        <v>473969.15999999992</v>
      </c>
      <c r="Q88" s="352">
        <f>Assum!$I$60*Assum!$I$13*Assum!$I$14*IF(Q92&gt;Assum!$I$51, Assum!$I$51-P92, 1)</f>
        <v>473969.15999999992</v>
      </c>
      <c r="R88" s="352">
        <f>Assum!$I$60*Assum!$I$13*Assum!$I$14*IF(R92&gt;Assum!$I$51, Assum!$I$51-Q92, 1)</f>
        <v>473969.15999999992</v>
      </c>
      <c r="S88" s="352">
        <f>R88</f>
        <v>473969.15999999992</v>
      </c>
      <c r="T88" s="352">
        <f t="shared" ref="T88:AB88" si="29">S88</f>
        <v>473969.15999999992</v>
      </c>
      <c r="U88" s="352">
        <f t="shared" si="29"/>
        <v>473969.15999999992</v>
      </c>
      <c r="V88" s="352">
        <f t="shared" si="29"/>
        <v>473969.15999999992</v>
      </c>
      <c r="W88" s="352">
        <f t="shared" si="29"/>
        <v>473969.15999999992</v>
      </c>
      <c r="X88" s="352">
        <f t="shared" si="29"/>
        <v>473969.15999999992</v>
      </c>
      <c r="Y88" s="352">
        <f t="shared" si="29"/>
        <v>473969.15999999992</v>
      </c>
      <c r="Z88" s="352">
        <f t="shared" si="29"/>
        <v>473969.15999999992</v>
      </c>
      <c r="AA88" s="352">
        <f t="shared" si="29"/>
        <v>473969.15999999992</v>
      </c>
      <c r="AB88" s="352">
        <f t="shared" si="29"/>
        <v>473969.15999999992</v>
      </c>
      <c r="AC88" s="352"/>
    </row>
    <row r="89" spans="1:29">
      <c r="A89" t="s">
        <v>1239</v>
      </c>
      <c r="C89" s="106">
        <v>0</v>
      </c>
      <c r="D89" s="106">
        <v>1</v>
      </c>
      <c r="E89" s="106">
        <v>2</v>
      </c>
      <c r="F89" s="106">
        <v>3</v>
      </c>
      <c r="G89" s="106">
        <v>4</v>
      </c>
      <c r="H89" s="106">
        <v>5</v>
      </c>
      <c r="I89" s="106">
        <v>6</v>
      </c>
      <c r="J89" s="106">
        <v>7</v>
      </c>
      <c r="K89" s="106">
        <v>8</v>
      </c>
      <c r="L89" s="106">
        <v>9</v>
      </c>
      <c r="M89" s="106">
        <v>10</v>
      </c>
      <c r="N89" s="106">
        <v>11</v>
      </c>
      <c r="O89" s="106">
        <v>12</v>
      </c>
      <c r="P89" s="106">
        <v>13</v>
      </c>
      <c r="Q89" s="106">
        <v>14</v>
      </c>
      <c r="R89" s="106">
        <v>15</v>
      </c>
      <c r="S89" s="106">
        <v>16</v>
      </c>
      <c r="T89" s="106">
        <f>S89+1</f>
        <v>17</v>
      </c>
      <c r="U89" s="106">
        <f t="shared" ref="U89:AB89" si="30">T89+1</f>
        <v>18</v>
      </c>
      <c r="V89" s="106">
        <f t="shared" si="30"/>
        <v>19</v>
      </c>
      <c r="W89" s="106">
        <f t="shared" si="30"/>
        <v>20</v>
      </c>
      <c r="X89" s="106">
        <f t="shared" si="30"/>
        <v>21</v>
      </c>
      <c r="Y89" s="106">
        <f t="shared" si="30"/>
        <v>22</v>
      </c>
      <c r="Z89" s="106">
        <f t="shared" si="30"/>
        <v>23</v>
      </c>
      <c r="AA89" s="106">
        <f t="shared" si="30"/>
        <v>24</v>
      </c>
      <c r="AB89" s="106">
        <f t="shared" si="30"/>
        <v>25</v>
      </c>
      <c r="AC89" s="106"/>
    </row>
    <row r="90" spans="1:29">
      <c r="A90" t="s">
        <v>1220</v>
      </c>
      <c r="C90" s="106">
        <f>Assum!O12</f>
        <v>180</v>
      </c>
      <c r="D90" s="106">
        <f>Assum!$O$12+C90</f>
        <v>360</v>
      </c>
      <c r="E90" s="106">
        <f>Assum!$O$12+D90</f>
        <v>540</v>
      </c>
      <c r="F90" s="106">
        <f>Assum!$O$12+E90</f>
        <v>720</v>
      </c>
      <c r="G90" s="106">
        <f>Assum!$O$12+F90</f>
        <v>900</v>
      </c>
      <c r="H90" s="106">
        <f>Assum!$O$12+G90</f>
        <v>1080</v>
      </c>
      <c r="I90" s="106">
        <f>Assum!$O$12+H90</f>
        <v>1260</v>
      </c>
      <c r="J90" s="106">
        <f>Assum!$O$12+I90</f>
        <v>1440</v>
      </c>
      <c r="K90" s="106">
        <f>Assum!$O$12+J90</f>
        <v>1620</v>
      </c>
      <c r="L90" s="106">
        <f>Assum!$O$12+K90</f>
        <v>1800</v>
      </c>
      <c r="M90" s="106">
        <f>Assum!$O$12+L90</f>
        <v>1980</v>
      </c>
      <c r="N90" s="106">
        <f>Assum!$O$12+M90</f>
        <v>2160</v>
      </c>
      <c r="O90" s="106">
        <f>Assum!$O$12+N90</f>
        <v>2340</v>
      </c>
      <c r="P90" s="106">
        <f>Assum!$O$12+O90</f>
        <v>2520</v>
      </c>
      <c r="Q90" s="106">
        <f>Assum!$O$12+P90</f>
        <v>2700</v>
      </c>
      <c r="R90" s="106">
        <f>Assum!$O$12+Q90</f>
        <v>2880</v>
      </c>
      <c r="S90" s="106">
        <f>Assum!$O$12+R90</f>
        <v>3060</v>
      </c>
      <c r="T90" s="106">
        <f>Assum!$O$12+S90</f>
        <v>3240</v>
      </c>
      <c r="U90" s="106">
        <f>Assum!$O$12+T90</f>
        <v>3420</v>
      </c>
      <c r="V90" s="106">
        <f>Assum!$O$12+U90</f>
        <v>3600</v>
      </c>
      <c r="W90" s="106">
        <f>Assum!$O$12+V90</f>
        <v>3780</v>
      </c>
      <c r="X90" s="106">
        <f>Assum!$O$12+W90</f>
        <v>3960</v>
      </c>
      <c r="Y90" s="106">
        <f>Assum!$O$12+X90</f>
        <v>4140</v>
      </c>
      <c r="Z90" s="106">
        <f>Assum!$O$12+Y90</f>
        <v>4320</v>
      </c>
      <c r="AA90" s="106">
        <f>Assum!$O$12+Z90</f>
        <v>4500</v>
      </c>
      <c r="AB90" s="106">
        <f>Assum!$O$12+AA90</f>
        <v>4680</v>
      </c>
      <c r="AC90" s="106"/>
    </row>
    <row r="91" spans="1:29">
      <c r="A91" t="s">
        <v>1250</v>
      </c>
      <c r="C91" s="106">
        <f>C90-B90</f>
        <v>180</v>
      </c>
      <c r="D91" s="106">
        <f>D90-C90</f>
        <v>180</v>
      </c>
      <c r="E91" s="106">
        <f t="shared" ref="E91:S91" si="31">E90-D90</f>
        <v>180</v>
      </c>
      <c r="F91" s="106">
        <f t="shared" si="31"/>
        <v>180</v>
      </c>
      <c r="G91" s="106">
        <f t="shared" si="31"/>
        <v>180</v>
      </c>
      <c r="H91" s="106">
        <f t="shared" si="31"/>
        <v>180</v>
      </c>
      <c r="I91" s="106">
        <f t="shared" si="31"/>
        <v>180</v>
      </c>
      <c r="J91" s="106">
        <f t="shared" si="31"/>
        <v>180</v>
      </c>
      <c r="K91" s="106">
        <f t="shared" si="31"/>
        <v>180</v>
      </c>
      <c r="L91" s="106">
        <f t="shared" si="31"/>
        <v>180</v>
      </c>
      <c r="M91" s="106">
        <f t="shared" si="31"/>
        <v>180</v>
      </c>
      <c r="N91" s="106">
        <f t="shared" si="31"/>
        <v>180</v>
      </c>
      <c r="O91" s="106">
        <f t="shared" si="31"/>
        <v>180</v>
      </c>
      <c r="P91" s="106">
        <f t="shared" si="31"/>
        <v>180</v>
      </c>
      <c r="Q91" s="106">
        <f t="shared" si="31"/>
        <v>180</v>
      </c>
      <c r="R91" s="106">
        <f t="shared" si="31"/>
        <v>180</v>
      </c>
      <c r="S91" s="106">
        <f t="shared" si="31"/>
        <v>180</v>
      </c>
      <c r="T91" s="106">
        <f t="shared" ref="T91:AB91" si="32">T90-S90</f>
        <v>180</v>
      </c>
      <c r="U91" s="106">
        <f t="shared" si="32"/>
        <v>180</v>
      </c>
      <c r="V91" s="106">
        <f t="shared" si="32"/>
        <v>180</v>
      </c>
      <c r="W91" s="106">
        <f t="shared" si="32"/>
        <v>180</v>
      </c>
      <c r="X91" s="106">
        <f t="shared" si="32"/>
        <v>180</v>
      </c>
      <c r="Y91" s="106">
        <f t="shared" si="32"/>
        <v>180</v>
      </c>
      <c r="Z91" s="106">
        <f t="shared" si="32"/>
        <v>180</v>
      </c>
      <c r="AA91" s="106">
        <f t="shared" si="32"/>
        <v>180</v>
      </c>
      <c r="AB91" s="106">
        <f t="shared" si="32"/>
        <v>180</v>
      </c>
      <c r="AC91" s="106"/>
    </row>
    <row r="92" spans="1:29">
      <c r="A92" t="s">
        <v>1252</v>
      </c>
      <c r="C92" s="319">
        <f>'Power Price'!C9</f>
        <v>0.58333333333333337</v>
      </c>
      <c r="D92" s="319">
        <f>'Power Price'!D9</f>
        <v>1.5833333333333335</v>
      </c>
      <c r="E92" s="319">
        <f>'Power Price'!E9</f>
        <v>2.5833333333333335</v>
      </c>
      <c r="F92" s="319">
        <f>'Power Price'!F9</f>
        <v>3.5833333333333335</v>
      </c>
      <c r="G92" s="319">
        <f>'Power Price'!G9</f>
        <v>4.5833333333333339</v>
      </c>
      <c r="H92" s="319">
        <f>'Power Price'!H9</f>
        <v>5.5833333333333339</v>
      </c>
      <c r="I92" s="319">
        <f>'Power Price'!I9</f>
        <v>6.5833333333333339</v>
      </c>
      <c r="J92" s="319">
        <f>'Power Price'!J9</f>
        <v>7.5833333333333339</v>
      </c>
      <c r="K92" s="319">
        <f>'Power Price'!K9</f>
        <v>8.5833333333333339</v>
      </c>
      <c r="L92" s="319">
        <f>'Power Price'!L9</f>
        <v>9.5833333333333339</v>
      </c>
      <c r="M92" s="319">
        <f>'Power Price'!M9</f>
        <v>10.583333333333334</v>
      </c>
      <c r="N92" s="319">
        <f>'Power Price'!N9</f>
        <v>11.583333333333334</v>
      </c>
      <c r="O92" s="319">
        <f>'Power Price'!O9</f>
        <v>12.583333333333334</v>
      </c>
      <c r="P92" s="319">
        <f>'Power Price'!P9</f>
        <v>13.583333333333334</v>
      </c>
      <c r="Q92" s="319">
        <f>'Power Price'!Q9</f>
        <v>14.583333333333334</v>
      </c>
      <c r="R92" s="319">
        <f>'Power Price'!R9</f>
        <v>15.583333333333334</v>
      </c>
      <c r="S92" s="319">
        <f>'Power Price'!S9</f>
        <v>16.583333333333336</v>
      </c>
      <c r="T92" s="319">
        <f>'Power Price'!T9</f>
        <v>17.583333333333336</v>
      </c>
      <c r="U92" s="319">
        <f>'Power Price'!U9</f>
        <v>18.583333333333336</v>
      </c>
      <c r="V92" s="319">
        <f>'Power Price'!V9</f>
        <v>19.583333333333336</v>
      </c>
      <c r="W92" s="319">
        <f>'Power Price'!W9</f>
        <v>20.583333333333336</v>
      </c>
      <c r="X92" s="319">
        <f>'Power Price'!X9</f>
        <v>21.583333333333336</v>
      </c>
      <c r="Y92" s="319">
        <f>'Power Price'!Y9</f>
        <v>22.583333333333336</v>
      </c>
      <c r="Z92" s="319">
        <f>'Power Price'!Z9</f>
        <v>23.583333333333336</v>
      </c>
      <c r="AA92" s="319">
        <f>'Power Price'!AA9</f>
        <v>24.583333333333336</v>
      </c>
      <c r="AB92" s="319">
        <f>'Power Price'!AB9</f>
        <v>25.583333333333336</v>
      </c>
    </row>
    <row r="93" spans="1:29">
      <c r="A93" t="s">
        <v>1478</v>
      </c>
      <c r="C93" s="319"/>
      <c r="D93" s="687">
        <f t="array" ref="D93:S93">TRANSPOSE(Inflation!B9:B24)</f>
        <v>0.03</v>
      </c>
      <c r="E93" s="687">
        <v>2.9000000000000001E-2</v>
      </c>
      <c r="F93" s="687">
        <v>2.8500000000000001E-2</v>
      </c>
      <c r="G93" s="687">
        <v>2.8000000000000001E-2</v>
      </c>
      <c r="H93" s="687">
        <v>2.7199999999999998E-2</v>
      </c>
      <c r="I93" s="687">
        <v>2.6700000000000002E-2</v>
      </c>
      <c r="J93" s="687">
        <v>2.6200000000000001E-2</v>
      </c>
      <c r="K93" s="687">
        <v>2.58E-2</v>
      </c>
      <c r="L93" s="687">
        <v>2.5399999999999999E-2</v>
      </c>
      <c r="M93" s="687">
        <v>2.52E-2</v>
      </c>
      <c r="N93" s="687">
        <v>2.5000000000000001E-2</v>
      </c>
      <c r="O93" s="687">
        <v>2.53E-2</v>
      </c>
      <c r="P93" s="687">
        <v>2.5700000000000001E-2</v>
      </c>
      <c r="Q93" s="687">
        <v>2.6100000000000002E-2</v>
      </c>
      <c r="R93" s="687">
        <v>2.6700000000000002E-2</v>
      </c>
      <c r="S93" s="687">
        <v>2.7099999999999999E-2</v>
      </c>
      <c r="T93" s="1051">
        <f>S93</f>
        <v>2.7099999999999999E-2</v>
      </c>
      <c r="U93" s="1051">
        <f t="shared" ref="U93:AB93" si="33">T93</f>
        <v>2.7099999999999999E-2</v>
      </c>
      <c r="V93" s="1051">
        <f t="shared" si="33"/>
        <v>2.7099999999999999E-2</v>
      </c>
      <c r="W93" s="1051">
        <f t="shared" si="33"/>
        <v>2.7099999999999999E-2</v>
      </c>
      <c r="X93" s="1051">
        <f t="shared" si="33"/>
        <v>2.7099999999999999E-2</v>
      </c>
      <c r="Y93" s="1051">
        <f t="shared" si="33"/>
        <v>2.7099999999999999E-2</v>
      </c>
      <c r="Z93" s="1051">
        <f t="shared" si="33"/>
        <v>2.7099999999999999E-2</v>
      </c>
      <c r="AA93" s="1051">
        <f t="shared" si="33"/>
        <v>2.7099999999999999E-2</v>
      </c>
      <c r="AB93" s="1051">
        <f t="shared" si="33"/>
        <v>2.7099999999999999E-2</v>
      </c>
      <c r="AC93" s="1051"/>
    </row>
    <row r="94" spans="1:29">
      <c r="A94" t="s">
        <v>1479</v>
      </c>
      <c r="C94" s="688">
        <v>1</v>
      </c>
      <c r="D94">
        <f>1+D93</f>
        <v>1.03</v>
      </c>
      <c r="E94" s="688">
        <f>D94*(1+E93)</f>
        <v>1.0598699999999999</v>
      </c>
      <c r="F94" s="688">
        <f t="shared" ref="F94:S94" si="34">E94*(1+F93)</f>
        <v>1.0900762949999998</v>
      </c>
      <c r="G94" s="688">
        <f t="shared" si="34"/>
        <v>1.1205984312599999</v>
      </c>
      <c r="H94" s="688">
        <f t="shared" si="34"/>
        <v>1.1510787085902718</v>
      </c>
      <c r="I94" s="688">
        <f t="shared" si="34"/>
        <v>1.181812510109632</v>
      </c>
      <c r="J94" s="688">
        <f t="shared" si="34"/>
        <v>1.2127759978745043</v>
      </c>
      <c r="K94" s="688">
        <f t="shared" si="34"/>
        <v>1.2440656186196666</v>
      </c>
      <c r="L94" s="688">
        <f t="shared" si="34"/>
        <v>1.2756648853326062</v>
      </c>
      <c r="M94" s="688">
        <f t="shared" si="34"/>
        <v>1.3078116404429878</v>
      </c>
      <c r="N94" s="688">
        <f t="shared" si="34"/>
        <v>1.3405069314540623</v>
      </c>
      <c r="O94" s="688">
        <f t="shared" si="34"/>
        <v>1.3744217568198502</v>
      </c>
      <c r="P94" s="688">
        <f t="shared" si="34"/>
        <v>1.4097443959701204</v>
      </c>
      <c r="Q94" s="688">
        <f t="shared" si="34"/>
        <v>1.4465387247049406</v>
      </c>
      <c r="R94" s="688">
        <f t="shared" si="34"/>
        <v>1.4851613086545625</v>
      </c>
      <c r="S94" s="688">
        <f t="shared" si="34"/>
        <v>1.525409180119101</v>
      </c>
      <c r="T94" s="688">
        <f t="shared" ref="T94:AB94" si="35">S94*(1+T93)</f>
        <v>1.5667477689003284</v>
      </c>
      <c r="U94" s="688">
        <f t="shared" si="35"/>
        <v>1.6092066334375272</v>
      </c>
      <c r="V94" s="688">
        <f t="shared" si="35"/>
        <v>1.6528161332036841</v>
      </c>
      <c r="W94" s="688">
        <f t="shared" si="35"/>
        <v>1.6976074504135039</v>
      </c>
      <c r="X94" s="688">
        <f t="shared" si="35"/>
        <v>1.7436126123197098</v>
      </c>
      <c r="Y94" s="688">
        <f t="shared" si="35"/>
        <v>1.7908645141135737</v>
      </c>
      <c r="Z94" s="688">
        <f t="shared" si="35"/>
        <v>1.8393969424460515</v>
      </c>
      <c r="AA94" s="688">
        <f t="shared" si="35"/>
        <v>1.8892445995863392</v>
      </c>
      <c r="AB94" s="688">
        <f t="shared" si="35"/>
        <v>1.9404431282351289</v>
      </c>
      <c r="AC94" s="688"/>
    </row>
    <row r="95" spans="1:29">
      <c r="A95" t="s">
        <v>622</v>
      </c>
      <c r="C95" s="128">
        <f>IF(C8&lt;=Assum!$I$53, dem_charge, Assum!$I$54)</f>
        <v>5</v>
      </c>
      <c r="D95" s="128">
        <f>IF(D8&lt;=Assum!$I$53, dem_charge, Assum!$I$54)</f>
        <v>5</v>
      </c>
      <c r="E95" s="128">
        <f>IF(E8&lt;=Assum!$I$53, dem_charge, Assum!$I$54)</f>
        <v>5</v>
      </c>
      <c r="F95" s="128">
        <f>IF(F8&lt;=Assum!$I$53, dem_charge, Assum!$I$54)</f>
        <v>5</v>
      </c>
      <c r="G95" s="128">
        <f>IF(G8&lt;=Assum!$I$53, dem_charge, Assum!$I$54)</f>
        <v>5</v>
      </c>
      <c r="H95" s="128">
        <f>IF(H8&lt;=Assum!$I$53, dem_charge, Assum!$I$54)</f>
        <v>5</v>
      </c>
      <c r="I95" s="128">
        <f>IF(I8&lt;=Assum!$I$53, dem_charge, Assum!$I$54)</f>
        <v>5</v>
      </c>
      <c r="J95" s="128">
        <f>IF(J8&lt;=Assum!$I$53, dem_charge, Assum!$I$54)</f>
        <v>5</v>
      </c>
      <c r="K95" s="128">
        <f>IF(K8&lt;=Assum!$I$53, dem_charge, Assum!$I$54)</f>
        <v>5</v>
      </c>
      <c r="L95" s="128">
        <f>IF(L8&lt;=Assum!$I$53, dem_charge, Assum!$I$54)</f>
        <v>5</v>
      </c>
      <c r="M95" s="128">
        <f>IF(M8&lt;=Assum!$I$53, dem_charge, Assum!$I$54)</f>
        <v>5</v>
      </c>
      <c r="N95" s="128">
        <f>IF(N8&lt;=Assum!$I$53, dem_charge, Assum!$I$54)</f>
        <v>5</v>
      </c>
      <c r="O95" s="128">
        <f>IF(O8&lt;=Assum!$I$53, dem_charge, Assum!$I$54)</f>
        <v>5</v>
      </c>
      <c r="P95" s="128">
        <f>IF(P8&lt;=Assum!$I$53, dem_charge, Assum!$I$54)</f>
        <v>5</v>
      </c>
      <c r="Q95" s="128">
        <f>IF(Q8&lt;=Assum!$I$53, dem_charge, Assum!$I$54)</f>
        <v>5</v>
      </c>
      <c r="R95" s="128">
        <f>IF(R8&lt;=Assum!$I$53, dem_charge, Assum!$I$54)</f>
        <v>5</v>
      </c>
      <c r="S95" s="128">
        <f>IF(S8&lt;=Assum!$I$53, dem_charge, Assum!$I$54)</f>
        <v>5</v>
      </c>
      <c r="T95" s="128">
        <f>IF(T8&lt;=Assum!$I$53, dem_charge, Assum!$I$54)</f>
        <v>5</v>
      </c>
      <c r="U95" s="128">
        <f>IF(U8&lt;=Assum!$I$53, dem_charge, Assum!$I$54)</f>
        <v>5</v>
      </c>
      <c r="V95" s="128">
        <f>IF(V8&lt;=Assum!$I$53, dem_charge, Assum!$I$54)</f>
        <v>5</v>
      </c>
      <c r="W95" s="128">
        <f>IF(W8&lt;=Assum!$I$53, dem_charge, Assum!$I$54)</f>
        <v>5</v>
      </c>
      <c r="X95" s="128">
        <f>IF(X8&lt;=Assum!$I$53, dem_charge, Assum!$I$54)</f>
        <v>5</v>
      </c>
      <c r="Y95" s="128">
        <f>IF(Y8&lt;=Assum!$I$53, dem_charge, Assum!$I$54)</f>
        <v>5</v>
      </c>
      <c r="Z95" s="128">
        <f>IF(Z8&lt;=Assum!$I$53, dem_charge, Assum!$I$54)</f>
        <v>5</v>
      </c>
      <c r="AA95" s="128">
        <f>IF(AA8&lt;=Assum!$I$53, dem_charge, Assum!$I$54)</f>
        <v>5</v>
      </c>
      <c r="AB95" s="128">
        <f>IF(AB8&lt;=Assum!$I$53, dem_charge, Assum!$I$54)</f>
        <v>5</v>
      </c>
    </row>
    <row r="96" spans="1:29">
      <c r="C96" s="127"/>
      <c r="D96" s="127"/>
      <c r="E96" s="127"/>
      <c r="F96" s="127"/>
      <c r="G96" s="127"/>
    </row>
    <row r="97" spans="3:7">
      <c r="C97" s="128"/>
      <c r="D97" s="127"/>
      <c r="E97" s="127"/>
      <c r="F97" s="127"/>
      <c r="G97" s="127"/>
    </row>
    <row r="98" spans="3:7">
      <c r="C98" s="127"/>
      <c r="D98" s="127"/>
      <c r="E98" s="127"/>
      <c r="F98" s="127"/>
      <c r="G98" s="127"/>
    </row>
    <row r="99" spans="3:7">
      <c r="C99" s="127"/>
      <c r="D99" s="127"/>
      <c r="E99" s="127"/>
      <c r="F99" s="127"/>
      <c r="G99" s="127"/>
    </row>
  </sheetData>
  <pageMargins left="0.45" right="0.45" top="0.5" bottom="0.5" header="0.25" footer="0.25"/>
  <pageSetup paperSize="5" scale="50" orientation="landscape" r:id="rId1"/>
  <headerFooter alignWithMargins="0">
    <oddFooter xml:space="preserve">&amp;L&amp;T, &amp;D&amp;C&amp;F&amp;R&amp;P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B38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6" sqref="A26"/>
    </sheetView>
  </sheetViews>
  <sheetFormatPr defaultRowHeight="12.75"/>
  <cols>
    <col min="1" max="1" width="16" style="14" customWidth="1"/>
    <col min="2" max="2" width="22.42578125" style="14" bestFit="1" customWidth="1"/>
    <col min="3" max="3" width="9" style="14" customWidth="1"/>
    <col min="4" max="24" width="9.140625" style="14"/>
  </cols>
  <sheetData>
    <row r="1" spans="1:28" ht="20.25">
      <c r="A1" s="362" t="str">
        <f>Assum!A2</f>
        <v xml:space="preserve">PROJECT NAME: PLANO </v>
      </c>
      <c r="B1" s="6"/>
      <c r="C1" s="6"/>
      <c r="D1" s="6"/>
    </row>
    <row r="2" spans="1:28">
      <c r="A2" s="96" t="s">
        <v>1255</v>
      </c>
      <c r="B2" s="6"/>
      <c r="C2" s="6"/>
      <c r="D2" s="6"/>
    </row>
    <row r="3" spans="1:28">
      <c r="C3" s="363">
        <v>1</v>
      </c>
      <c r="D3" s="363">
        <v>2</v>
      </c>
      <c r="E3" s="363">
        <v>3</v>
      </c>
      <c r="F3" s="363">
        <v>4</v>
      </c>
      <c r="G3" s="363">
        <v>5</v>
      </c>
      <c r="H3" s="363">
        <v>6</v>
      </c>
      <c r="I3" s="363">
        <v>7</v>
      </c>
      <c r="J3" s="363">
        <v>8</v>
      </c>
      <c r="K3" s="363">
        <v>9</v>
      </c>
      <c r="L3" s="363">
        <v>10</v>
      </c>
      <c r="M3" s="363">
        <v>11</v>
      </c>
      <c r="N3" s="363">
        <v>12</v>
      </c>
      <c r="O3" s="363">
        <v>13</v>
      </c>
      <c r="P3" s="363">
        <v>14</v>
      </c>
      <c r="Q3" s="363">
        <v>15</v>
      </c>
      <c r="R3" s="363">
        <v>16</v>
      </c>
      <c r="S3" s="363">
        <v>17</v>
      </c>
      <c r="T3" s="1133">
        <f>S3+1</f>
        <v>18</v>
      </c>
      <c r="U3" s="1133">
        <f t="shared" ref="U3:AB3" si="0">T3+1</f>
        <v>19</v>
      </c>
      <c r="V3" s="1133">
        <f t="shared" si="0"/>
        <v>20</v>
      </c>
      <c r="W3" s="1133">
        <f t="shared" si="0"/>
        <v>21</v>
      </c>
      <c r="X3" s="1133">
        <f t="shared" si="0"/>
        <v>22</v>
      </c>
      <c r="Y3" s="1133">
        <f t="shared" si="0"/>
        <v>23</v>
      </c>
      <c r="Z3" s="1133">
        <f t="shared" si="0"/>
        <v>24</v>
      </c>
      <c r="AA3" s="1133">
        <f t="shared" si="0"/>
        <v>25</v>
      </c>
      <c r="AB3" s="1133">
        <f t="shared" si="0"/>
        <v>26</v>
      </c>
    </row>
    <row r="4" spans="1:28">
      <c r="A4" s="364"/>
      <c r="B4" s="85"/>
      <c r="C4" s="365">
        <f>IS!C7</f>
        <v>2001</v>
      </c>
      <c r="D4" s="365">
        <f>IS!D7</f>
        <v>2002</v>
      </c>
      <c r="E4" s="365">
        <f>IS!E7</f>
        <v>2003</v>
      </c>
      <c r="F4" s="365">
        <f>IS!F7</f>
        <v>2004</v>
      </c>
      <c r="G4" s="365">
        <f>IS!G7</f>
        <v>2005</v>
      </c>
      <c r="H4" s="365">
        <f>IS!H7</f>
        <v>2006</v>
      </c>
      <c r="I4" s="365">
        <f>IS!I7</f>
        <v>2007</v>
      </c>
      <c r="J4" s="365">
        <f>IS!J7</f>
        <v>2008</v>
      </c>
      <c r="K4" s="365">
        <f>IS!K7</f>
        <v>2009</v>
      </c>
      <c r="L4" s="365">
        <f>IS!L7</f>
        <v>2010</v>
      </c>
      <c r="M4" s="365">
        <f>IS!M7</f>
        <v>2011</v>
      </c>
      <c r="N4" s="365">
        <f>IS!N7</f>
        <v>2012</v>
      </c>
      <c r="O4" s="365">
        <f>IS!O7</f>
        <v>2013</v>
      </c>
      <c r="P4" s="365">
        <f>IS!P7</f>
        <v>2014</v>
      </c>
      <c r="Q4" s="365">
        <f>IS!Q7</f>
        <v>2015</v>
      </c>
      <c r="R4" s="365">
        <f>IS!R7</f>
        <v>2016</v>
      </c>
      <c r="S4" s="365">
        <f>IS!S7</f>
        <v>2017</v>
      </c>
      <c r="T4" s="365">
        <f>IS!T7</f>
        <v>2018</v>
      </c>
      <c r="U4" s="365">
        <f>IS!U7</f>
        <v>2019</v>
      </c>
      <c r="V4" s="365">
        <f>IS!V7</f>
        <v>2020</v>
      </c>
      <c r="W4" s="365">
        <f>IS!W7</f>
        <v>2021</v>
      </c>
      <c r="X4" s="365">
        <f>IS!X7</f>
        <v>2022</v>
      </c>
      <c r="Y4" s="365">
        <f>IS!Y7</f>
        <v>2023</v>
      </c>
      <c r="Z4" s="365">
        <f>IS!Z7</f>
        <v>2024</v>
      </c>
      <c r="AA4" s="365">
        <f>IS!AA7</f>
        <v>2025</v>
      </c>
      <c r="AB4" s="365">
        <f>IS!AB7</f>
        <v>2026</v>
      </c>
    </row>
    <row r="5" spans="1:28">
      <c r="A5" s="366" t="s">
        <v>1256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28">
      <c r="A6" s="367"/>
      <c r="B6" s="368" t="s">
        <v>1257</v>
      </c>
      <c r="C6" s="122">
        <f>WC!C7</f>
        <v>0</v>
      </c>
      <c r="D6" s="122">
        <f>WC!D7</f>
        <v>0</v>
      </c>
      <c r="E6" s="122">
        <f>WC!E7</f>
        <v>0</v>
      </c>
      <c r="F6" s="122">
        <f>WC!F7</f>
        <v>0</v>
      </c>
      <c r="G6" s="122">
        <f>WC!G7</f>
        <v>0</v>
      </c>
      <c r="H6" s="122">
        <f>WC!H7</f>
        <v>0</v>
      </c>
      <c r="I6" s="122">
        <f>WC!I7</f>
        <v>0</v>
      </c>
      <c r="J6" s="122">
        <f>WC!J7</f>
        <v>0</v>
      </c>
      <c r="K6" s="122">
        <f>WC!K7</f>
        <v>0</v>
      </c>
      <c r="L6" s="122">
        <f>WC!L7</f>
        <v>0</v>
      </c>
      <c r="M6" s="122">
        <f>WC!M7</f>
        <v>0</v>
      </c>
      <c r="N6" s="122">
        <f>WC!N7</f>
        <v>0</v>
      </c>
      <c r="O6" s="122">
        <f>WC!O7</f>
        <v>0</v>
      </c>
      <c r="P6" s="122">
        <f>WC!P7</f>
        <v>0</v>
      </c>
      <c r="Q6" s="122">
        <f>WC!Q7</f>
        <v>0</v>
      </c>
      <c r="R6" s="122">
        <f>WC!R7</f>
        <v>0</v>
      </c>
      <c r="S6" s="122">
        <f>WC!S7</f>
        <v>0</v>
      </c>
      <c r="T6" s="122">
        <f>WC!T7</f>
        <v>0</v>
      </c>
      <c r="U6" s="122">
        <f>WC!U7</f>
        <v>0</v>
      </c>
      <c r="V6" s="122">
        <f>WC!V7</f>
        <v>0</v>
      </c>
      <c r="W6" s="122">
        <f>WC!W7</f>
        <v>0</v>
      </c>
      <c r="X6" s="122">
        <f>WC!X7</f>
        <v>0</v>
      </c>
      <c r="Y6" s="122">
        <f>WC!Y7</f>
        <v>0</v>
      </c>
      <c r="Z6" s="122">
        <f>WC!Z7</f>
        <v>0</v>
      </c>
      <c r="AA6" s="122">
        <f>WC!AA7</f>
        <v>0</v>
      </c>
      <c r="AB6" s="122">
        <f>WC!AB7</f>
        <v>0</v>
      </c>
    </row>
    <row r="7" spans="1:28">
      <c r="A7" s="367"/>
      <c r="B7" s="368" t="s">
        <v>1258</v>
      </c>
      <c r="C7" s="15">
        <f>WC!C8</f>
        <v>0</v>
      </c>
      <c r="D7" s="15">
        <f>WC!D8</f>
        <v>0</v>
      </c>
      <c r="E7" s="15">
        <f>WC!E8</f>
        <v>0</v>
      </c>
      <c r="F7" s="15">
        <f>WC!F8</f>
        <v>0</v>
      </c>
      <c r="G7" s="15">
        <f>WC!G8</f>
        <v>0</v>
      </c>
      <c r="H7" s="15">
        <f>WC!H8</f>
        <v>0</v>
      </c>
      <c r="I7" s="15">
        <f>WC!I8</f>
        <v>0</v>
      </c>
      <c r="J7" s="15">
        <f>WC!J8</f>
        <v>0</v>
      </c>
      <c r="K7" s="15">
        <f>WC!K8</f>
        <v>0</v>
      </c>
      <c r="L7" s="15">
        <f>WC!L8</f>
        <v>0</v>
      </c>
      <c r="M7" s="15">
        <f>WC!M8</f>
        <v>0</v>
      </c>
      <c r="N7" s="15">
        <f>WC!N8</f>
        <v>0</v>
      </c>
      <c r="O7" s="15">
        <f>WC!O8</f>
        <v>0</v>
      </c>
      <c r="P7" s="15">
        <f>WC!P8</f>
        <v>0</v>
      </c>
      <c r="Q7" s="15">
        <f>WC!Q8</f>
        <v>0</v>
      </c>
      <c r="R7" s="15">
        <f>WC!R8</f>
        <v>0</v>
      </c>
      <c r="S7" s="15">
        <f>WC!S8</f>
        <v>0</v>
      </c>
      <c r="T7" s="15">
        <f>WC!T8</f>
        <v>0</v>
      </c>
      <c r="U7" s="15">
        <f>WC!U8</f>
        <v>0</v>
      </c>
      <c r="V7" s="15">
        <f>WC!V8</f>
        <v>0</v>
      </c>
      <c r="W7" s="15">
        <f>WC!W8</f>
        <v>0</v>
      </c>
      <c r="X7" s="15">
        <f>WC!X8</f>
        <v>0</v>
      </c>
      <c r="Y7" s="15">
        <f>WC!Y8</f>
        <v>0</v>
      </c>
      <c r="Z7" s="15">
        <f>WC!Z8</f>
        <v>0</v>
      </c>
      <c r="AA7" s="15">
        <f>WC!AA8</f>
        <v>0</v>
      </c>
      <c r="AB7" s="15">
        <f>WC!AB8</f>
        <v>0</v>
      </c>
    </row>
    <row r="8" spans="1:28">
      <c r="A8" s="367"/>
      <c r="B8" s="368" t="s">
        <v>1259</v>
      </c>
      <c r="C8" s="15">
        <f>WC!C9</f>
        <v>0</v>
      </c>
      <c r="D8" s="15">
        <f>WC!D9</f>
        <v>0</v>
      </c>
      <c r="E8" s="15">
        <f>WC!E9</f>
        <v>0</v>
      </c>
      <c r="F8" s="15">
        <f>WC!F9</f>
        <v>0</v>
      </c>
      <c r="G8" s="15">
        <f>WC!G9</f>
        <v>0</v>
      </c>
      <c r="H8" s="15">
        <f>WC!H9</f>
        <v>0</v>
      </c>
      <c r="I8" s="15">
        <f>WC!I9</f>
        <v>0</v>
      </c>
      <c r="J8" s="15">
        <f>WC!J9</f>
        <v>0</v>
      </c>
      <c r="K8" s="15">
        <f>WC!K9</f>
        <v>0</v>
      </c>
      <c r="L8" s="15">
        <f>WC!L9</f>
        <v>0</v>
      </c>
      <c r="M8" s="15">
        <f>WC!M9</f>
        <v>0</v>
      </c>
      <c r="N8" s="15">
        <f>WC!N9</f>
        <v>0</v>
      </c>
      <c r="O8" s="15">
        <f>WC!O9</f>
        <v>0</v>
      </c>
      <c r="P8" s="15">
        <f>WC!P9</f>
        <v>0</v>
      </c>
      <c r="Q8" s="15">
        <f>WC!Q9</f>
        <v>0</v>
      </c>
      <c r="R8" s="15">
        <f>WC!R9</f>
        <v>0</v>
      </c>
      <c r="S8" s="15">
        <f>WC!S9</f>
        <v>0</v>
      </c>
      <c r="T8" s="15">
        <f>WC!T9</f>
        <v>0</v>
      </c>
      <c r="U8" s="15">
        <f>WC!U9</f>
        <v>0</v>
      </c>
      <c r="V8" s="15">
        <f>WC!V9</f>
        <v>0</v>
      </c>
      <c r="W8" s="15">
        <f>WC!W9</f>
        <v>0</v>
      </c>
      <c r="X8" s="15">
        <f>WC!X9</f>
        <v>0</v>
      </c>
      <c r="Y8" s="15">
        <f>WC!Y9</f>
        <v>0</v>
      </c>
      <c r="Z8" s="15">
        <f>WC!Z9</f>
        <v>0</v>
      </c>
      <c r="AA8" s="15">
        <f>WC!AA9</f>
        <v>0</v>
      </c>
      <c r="AB8" s="15">
        <f>WC!AB9</f>
        <v>0</v>
      </c>
    </row>
    <row r="9" spans="1:28">
      <c r="A9" s="367"/>
      <c r="B9" s="368" t="s">
        <v>1260</v>
      </c>
      <c r="C9" s="15">
        <f>WC!C10</f>
        <v>0</v>
      </c>
      <c r="D9" s="15">
        <f>WC!D10</f>
        <v>0</v>
      </c>
      <c r="E9" s="15">
        <f>WC!E10</f>
        <v>0</v>
      </c>
      <c r="F9" s="15">
        <f>WC!F10</f>
        <v>0</v>
      </c>
      <c r="G9" s="15">
        <f>WC!G10</f>
        <v>0</v>
      </c>
      <c r="H9" s="15">
        <f>WC!H10</f>
        <v>0</v>
      </c>
      <c r="I9" s="15">
        <f>WC!I10</f>
        <v>0</v>
      </c>
      <c r="J9" s="15">
        <f>WC!J10</f>
        <v>0</v>
      </c>
      <c r="K9" s="15">
        <f>WC!K10</f>
        <v>0</v>
      </c>
      <c r="L9" s="15">
        <f>WC!L10</f>
        <v>0</v>
      </c>
      <c r="M9" s="15">
        <f>WC!M10</f>
        <v>0</v>
      </c>
      <c r="N9" s="15">
        <f>WC!N10</f>
        <v>0</v>
      </c>
      <c r="O9" s="15">
        <f>WC!O10</f>
        <v>0</v>
      </c>
      <c r="P9" s="15">
        <f>WC!P10</f>
        <v>0</v>
      </c>
      <c r="Q9" s="15">
        <f>WC!Q10</f>
        <v>0</v>
      </c>
      <c r="R9" s="15">
        <f>WC!R10</f>
        <v>0</v>
      </c>
      <c r="S9" s="15">
        <f>WC!S10</f>
        <v>0</v>
      </c>
      <c r="T9" s="15">
        <f>WC!T10</f>
        <v>0</v>
      </c>
      <c r="U9" s="15">
        <f>WC!U10</f>
        <v>0</v>
      </c>
      <c r="V9" s="15">
        <f>WC!V10</f>
        <v>0</v>
      </c>
      <c r="W9" s="15">
        <f>WC!W10</f>
        <v>0</v>
      </c>
      <c r="X9" s="15">
        <f>WC!X10</f>
        <v>0</v>
      </c>
      <c r="Y9" s="15">
        <f>WC!Y10</f>
        <v>0</v>
      </c>
      <c r="Z9" s="15">
        <f>WC!Z10</f>
        <v>0</v>
      </c>
      <c r="AA9" s="15">
        <f>WC!AA10</f>
        <v>0</v>
      </c>
      <c r="AB9" s="15">
        <f>WC!AB10</f>
        <v>0</v>
      </c>
    </row>
    <row r="10" spans="1:28">
      <c r="A10" s="367"/>
      <c r="B10" s="368" t="s">
        <v>1261</v>
      </c>
      <c r="C10" s="369">
        <v>0</v>
      </c>
      <c r="D10" s="369">
        <v>0</v>
      </c>
      <c r="E10" s="369">
        <v>0</v>
      </c>
      <c r="F10" s="369">
        <v>0</v>
      </c>
      <c r="G10" s="369">
        <v>0</v>
      </c>
      <c r="H10" s="369">
        <v>0</v>
      </c>
      <c r="I10" s="369">
        <v>0</v>
      </c>
      <c r="J10" s="369">
        <v>0</v>
      </c>
      <c r="K10" s="369">
        <v>0</v>
      </c>
      <c r="L10" s="369">
        <v>0</v>
      </c>
      <c r="M10" s="369">
        <v>0</v>
      </c>
      <c r="N10" s="369">
        <v>0</v>
      </c>
      <c r="O10" s="369">
        <v>0</v>
      </c>
      <c r="P10" s="369">
        <v>0</v>
      </c>
      <c r="Q10" s="369">
        <v>0</v>
      </c>
      <c r="R10" s="369">
        <v>0</v>
      </c>
      <c r="S10" s="369">
        <v>0</v>
      </c>
      <c r="T10" s="369">
        <v>0</v>
      </c>
      <c r="U10" s="369">
        <v>0</v>
      </c>
      <c r="V10" s="369">
        <v>0</v>
      </c>
      <c r="W10" s="369">
        <v>0</v>
      </c>
      <c r="X10" s="369">
        <v>0</v>
      </c>
      <c r="Y10" s="369">
        <v>0</v>
      </c>
      <c r="Z10" s="369">
        <v>0</v>
      </c>
      <c r="AA10" s="369">
        <v>0</v>
      </c>
      <c r="AB10" s="369">
        <v>0</v>
      </c>
    </row>
    <row r="11" spans="1:28">
      <c r="A11" s="367"/>
      <c r="B11" s="368" t="s">
        <v>1262</v>
      </c>
      <c r="C11" s="370">
        <f>Maint!D22</f>
        <v>0</v>
      </c>
      <c r="D11" s="370">
        <f>Maint!E22</f>
        <v>0</v>
      </c>
      <c r="E11" s="370">
        <f>Maint!F22</f>
        <v>0</v>
      </c>
      <c r="F11" s="370">
        <f>Maint!G22</f>
        <v>0</v>
      </c>
      <c r="G11" s="370">
        <f>Maint!H22</f>
        <v>0</v>
      </c>
      <c r="H11" s="370">
        <f>Maint!I22</f>
        <v>0</v>
      </c>
      <c r="I11" s="370">
        <f>Maint!J22</f>
        <v>0</v>
      </c>
      <c r="J11" s="370">
        <f>Maint!K22</f>
        <v>0</v>
      </c>
      <c r="K11" s="370">
        <f>Maint!L22</f>
        <v>0</v>
      </c>
      <c r="L11" s="370">
        <f>Maint!M22</f>
        <v>0</v>
      </c>
      <c r="M11" s="370">
        <f>Maint!N22</f>
        <v>3065.9388270121217</v>
      </c>
      <c r="N11" s="370">
        <f>Maint!O22</f>
        <v>6131.8776540242434</v>
      </c>
      <c r="O11" s="370">
        <f>Maint!P22</f>
        <v>9197.8164810363651</v>
      </c>
      <c r="P11" s="370">
        <f>Maint!Q22</f>
        <v>12263.755308048487</v>
      </c>
      <c r="Q11" s="370">
        <f>Maint!R22</f>
        <v>0</v>
      </c>
      <c r="R11" s="370">
        <f>Maint!S22</f>
        <v>0</v>
      </c>
      <c r="S11" s="370">
        <f>Maint!T22</f>
        <v>0</v>
      </c>
      <c r="T11" s="370">
        <f>Maint!U22</f>
        <v>0</v>
      </c>
      <c r="U11" s="370">
        <f>Maint!V22</f>
        <v>0</v>
      </c>
      <c r="V11" s="370">
        <f>Maint!W22</f>
        <v>0</v>
      </c>
      <c r="W11" s="370">
        <f>Maint!X22</f>
        <v>0</v>
      </c>
      <c r="X11" s="370">
        <f>Maint!Y22</f>
        <v>0</v>
      </c>
      <c r="Y11" s="370">
        <f>Maint!Z22</f>
        <v>0</v>
      </c>
      <c r="Z11" s="370">
        <f>Maint!AA22</f>
        <v>0</v>
      </c>
      <c r="AA11" s="370">
        <f>Maint!AB22</f>
        <v>0</v>
      </c>
      <c r="AB11" s="370">
        <f>Maint!AC22</f>
        <v>0</v>
      </c>
    </row>
    <row r="12" spans="1:28">
      <c r="A12" s="367"/>
      <c r="B12" s="368" t="s">
        <v>1263</v>
      </c>
      <c r="C12" s="122">
        <f>SUM(C6:C11)</f>
        <v>0</v>
      </c>
      <c r="D12" s="122">
        <f t="shared" ref="D12:S12" si="1">SUM(D6:D11)</f>
        <v>0</v>
      </c>
      <c r="E12" s="122">
        <f t="shared" si="1"/>
        <v>0</v>
      </c>
      <c r="F12" s="122">
        <f t="shared" si="1"/>
        <v>0</v>
      </c>
      <c r="G12" s="122">
        <f t="shared" si="1"/>
        <v>0</v>
      </c>
      <c r="H12" s="122">
        <f t="shared" si="1"/>
        <v>0</v>
      </c>
      <c r="I12" s="122">
        <f t="shared" si="1"/>
        <v>0</v>
      </c>
      <c r="J12" s="122">
        <f t="shared" si="1"/>
        <v>0</v>
      </c>
      <c r="K12" s="122">
        <f t="shared" si="1"/>
        <v>0</v>
      </c>
      <c r="L12" s="122">
        <f t="shared" si="1"/>
        <v>0</v>
      </c>
      <c r="M12" s="122">
        <f t="shared" si="1"/>
        <v>3065.9388270121217</v>
      </c>
      <c r="N12" s="122">
        <f t="shared" si="1"/>
        <v>6131.8776540242434</v>
      </c>
      <c r="O12" s="122">
        <f t="shared" si="1"/>
        <v>9197.8164810363651</v>
      </c>
      <c r="P12" s="122">
        <f t="shared" si="1"/>
        <v>12263.755308048487</v>
      </c>
      <c r="Q12" s="122">
        <f t="shared" si="1"/>
        <v>0</v>
      </c>
      <c r="R12" s="122">
        <f t="shared" si="1"/>
        <v>0</v>
      </c>
      <c r="S12" s="122">
        <f t="shared" si="1"/>
        <v>0</v>
      </c>
      <c r="T12" s="122">
        <f t="shared" ref="T12:AB12" si="2">SUM(T6:T11)</f>
        <v>0</v>
      </c>
      <c r="U12" s="122">
        <f t="shared" si="2"/>
        <v>0</v>
      </c>
      <c r="V12" s="122">
        <f t="shared" si="2"/>
        <v>0</v>
      </c>
      <c r="W12" s="122">
        <f t="shared" si="2"/>
        <v>0</v>
      </c>
      <c r="X12" s="122">
        <f t="shared" si="2"/>
        <v>0</v>
      </c>
      <c r="Y12" s="122">
        <f t="shared" si="2"/>
        <v>0</v>
      </c>
      <c r="Z12" s="122">
        <f t="shared" si="2"/>
        <v>0</v>
      </c>
      <c r="AA12" s="122">
        <f t="shared" si="2"/>
        <v>0</v>
      </c>
      <c r="AB12" s="122">
        <f t="shared" si="2"/>
        <v>0</v>
      </c>
    </row>
    <row r="13" spans="1:28">
      <c r="A13" s="37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28">
      <c r="A14" s="37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28">
      <c r="A15" s="367"/>
      <c r="B15" s="368" t="s">
        <v>1264</v>
      </c>
      <c r="C15" s="122">
        <f ca="1">Dep!$B$43</f>
        <v>140281.46155350332</v>
      </c>
      <c r="D15" s="122">
        <f ca="1">Dep!$B$43</f>
        <v>140281.46155350332</v>
      </c>
      <c r="E15" s="122">
        <f ca="1">Dep!$B$43</f>
        <v>140281.46155350332</v>
      </c>
      <c r="F15" s="122">
        <f ca="1">Dep!$B$43</f>
        <v>140281.46155350332</v>
      </c>
      <c r="G15" s="122">
        <f ca="1">Dep!$B$43</f>
        <v>140281.46155350332</v>
      </c>
      <c r="H15" s="122">
        <f ca="1">Dep!$B$43</f>
        <v>140281.46155350332</v>
      </c>
      <c r="I15" s="122">
        <f ca="1">Dep!$B$43</f>
        <v>140281.46155350332</v>
      </c>
      <c r="J15" s="122">
        <f ca="1">Dep!$B$43</f>
        <v>140281.46155350332</v>
      </c>
      <c r="K15" s="122">
        <f ca="1">Dep!$B$43</f>
        <v>140281.46155350332</v>
      </c>
      <c r="L15" s="122">
        <f ca="1">Dep!$B$43</f>
        <v>140281.46155350332</v>
      </c>
      <c r="M15" s="122">
        <f ca="1">Dep!$B$43</f>
        <v>140281.46155350332</v>
      </c>
      <c r="N15" s="122">
        <f ca="1">Dep!$B$43</f>
        <v>140281.46155350332</v>
      </c>
      <c r="O15" s="122">
        <f ca="1">Dep!$B$43</f>
        <v>140281.46155350332</v>
      </c>
      <c r="P15" s="122">
        <f ca="1">Dep!$B$43</f>
        <v>140281.46155350332</v>
      </c>
      <c r="Q15" s="122">
        <f ca="1">Dep!$B$43</f>
        <v>140281.46155350332</v>
      </c>
      <c r="R15" s="122">
        <f ca="1">Dep!$B$43</f>
        <v>140281.46155350332</v>
      </c>
      <c r="S15" s="122">
        <f ca="1">Dep!$B$43</f>
        <v>140281.46155350332</v>
      </c>
      <c r="T15" s="122">
        <f ca="1">Dep!$B$43</f>
        <v>140281.46155350332</v>
      </c>
      <c r="U15" s="122">
        <f ca="1">Dep!$B$43</f>
        <v>140281.46155350332</v>
      </c>
      <c r="V15" s="122">
        <f ca="1">Dep!$B$43</f>
        <v>140281.46155350332</v>
      </c>
      <c r="W15" s="122">
        <f ca="1">Dep!$B$43</f>
        <v>140281.46155350332</v>
      </c>
      <c r="X15" s="122">
        <f ca="1">Dep!$B$43</f>
        <v>140281.46155350332</v>
      </c>
      <c r="Y15" s="122">
        <f ca="1">Dep!$B$43</f>
        <v>140281.46155350332</v>
      </c>
      <c r="Z15" s="122">
        <f ca="1">Dep!$B$43</f>
        <v>140281.46155350332</v>
      </c>
      <c r="AA15" s="122">
        <f ca="1">Dep!$B$43</f>
        <v>140281.46155350332</v>
      </c>
      <c r="AB15" s="122">
        <f ca="1">Dep!$B$43</f>
        <v>140281.46155350332</v>
      </c>
    </row>
    <row r="16" spans="1:28">
      <c r="A16" s="367"/>
      <c r="B16" s="368" t="s">
        <v>1265</v>
      </c>
      <c r="C16" s="372">
        <f ca="1">SUM(IS!$C$68:'IS'!C68)</f>
        <v>2454.9255771863086</v>
      </c>
      <c r="D16" s="372">
        <f ca="1">SUM(IS!$C$68:'IS'!D68)</f>
        <v>6663.3694237914078</v>
      </c>
      <c r="E16" s="372">
        <f ca="1">SUM(IS!$C$68:'IS'!E68)</f>
        <v>10871.813270396508</v>
      </c>
      <c r="F16" s="372">
        <f ca="1">SUM(IS!$C$68:'IS'!F68)</f>
        <v>15080.257117001607</v>
      </c>
      <c r="G16" s="372">
        <f ca="1">SUM(IS!$C$68:'IS'!G68)</f>
        <v>19288.700963606709</v>
      </c>
      <c r="H16" s="372">
        <f ca="1">SUM(IS!$C$68:'IS'!H68)</f>
        <v>23497.144810211808</v>
      </c>
      <c r="I16" s="372">
        <f ca="1">SUM(IS!$C$68:'IS'!I68)</f>
        <v>27705.588656816908</v>
      </c>
      <c r="J16" s="372">
        <f ca="1">SUM(IS!$C$68:'IS'!J68)</f>
        <v>31914.032503422008</v>
      </c>
      <c r="K16" s="372">
        <f ca="1">SUM(IS!$C$68:'IS'!K68)</f>
        <v>36122.476350027107</v>
      </c>
      <c r="L16" s="372">
        <f ca="1">SUM(IS!$C$68:'IS'!L68)</f>
        <v>40330.920196632207</v>
      </c>
      <c r="M16" s="372">
        <f ca="1">SUM(IS!$C$68:'IS'!M68)</f>
        <v>44539.364043237307</v>
      </c>
      <c r="N16" s="372">
        <f ca="1">SUM(IS!$C$68:'IS'!N68)</f>
        <v>48747.807889842406</v>
      </c>
      <c r="O16" s="372">
        <f ca="1">SUM(IS!$C$68:'IS'!O68)</f>
        <v>52956.251736447506</v>
      </c>
      <c r="P16" s="372">
        <f ca="1">SUM(IS!$C$68:'IS'!P68)</f>
        <v>57164.695583052606</v>
      </c>
      <c r="Q16" s="372">
        <f ca="1">SUM(IS!$C$68:'IS'!Q68)</f>
        <v>61373.139429657705</v>
      </c>
      <c r="R16" s="372">
        <f ca="1">SUM(IS!$C$68:'IS'!R68)</f>
        <v>65581.583276262798</v>
      </c>
      <c r="S16" s="372">
        <f ca="1">SUM(IS!$C$68:'IS'!S68)</f>
        <v>69790.027122867905</v>
      </c>
      <c r="T16" s="372">
        <f ca="1">SUM(IS!$C$68:'IS'!T68)</f>
        <v>73998.470969473012</v>
      </c>
      <c r="U16" s="372">
        <f ca="1">SUM(IS!$C$68:'IS'!U68)</f>
        <v>78206.914816078119</v>
      </c>
      <c r="V16" s="372">
        <f ca="1">SUM(IS!$C$68:'IS'!V68)</f>
        <v>82415.358662683226</v>
      </c>
      <c r="W16" s="372">
        <f ca="1">SUM(IS!$C$68:'IS'!W68)</f>
        <v>86623.802509288333</v>
      </c>
      <c r="X16" s="372">
        <f ca="1">SUM(IS!$C$68:'IS'!X68)</f>
        <v>90832.24635589344</v>
      </c>
      <c r="Y16" s="372">
        <f ca="1">SUM(IS!$C$68:'IS'!Y68)</f>
        <v>95040.690202498547</v>
      </c>
      <c r="Z16" s="372">
        <f ca="1">SUM(IS!$C$68:'IS'!Z68)</f>
        <v>99249.134049103654</v>
      </c>
      <c r="AA16" s="372">
        <f ca="1">SUM(IS!$C$68:'IS'!AA68)</f>
        <v>103457.57789570876</v>
      </c>
      <c r="AB16" s="372">
        <f ca="1">SUM(IS!$C$68:'IS'!AB68)</f>
        <v>107666.02174231387</v>
      </c>
    </row>
    <row r="17" spans="1:28">
      <c r="A17" s="367"/>
      <c r="B17" s="368" t="s">
        <v>1266</v>
      </c>
      <c r="C17" s="122">
        <f t="shared" ref="C17:S17" ca="1" si="3">C15-C16</f>
        <v>137826.53597631701</v>
      </c>
      <c r="D17" s="122">
        <f t="shared" ca="1" si="3"/>
        <v>133618.09212971191</v>
      </c>
      <c r="E17" s="122">
        <f t="shared" ca="1" si="3"/>
        <v>129409.64828310681</v>
      </c>
      <c r="F17" s="122">
        <f t="shared" ca="1" si="3"/>
        <v>125201.20443650172</v>
      </c>
      <c r="G17" s="122">
        <f t="shared" ca="1" si="3"/>
        <v>120992.76058989661</v>
      </c>
      <c r="H17" s="122">
        <f t="shared" ca="1" si="3"/>
        <v>116784.31674329151</v>
      </c>
      <c r="I17" s="122">
        <f t="shared" ca="1" si="3"/>
        <v>112575.87289668641</v>
      </c>
      <c r="J17" s="122">
        <f t="shared" ca="1" si="3"/>
        <v>108367.42905008132</v>
      </c>
      <c r="K17" s="122">
        <f t="shared" ca="1" si="3"/>
        <v>104158.98520347622</v>
      </c>
      <c r="L17" s="122">
        <f t="shared" ca="1" si="3"/>
        <v>99950.541356871108</v>
      </c>
      <c r="M17" s="122">
        <f t="shared" ca="1" si="3"/>
        <v>95742.097510266016</v>
      </c>
      <c r="N17" s="122">
        <f t="shared" ca="1" si="3"/>
        <v>91533.653663660923</v>
      </c>
      <c r="O17" s="122">
        <f t="shared" ca="1" si="3"/>
        <v>87325.209817055817</v>
      </c>
      <c r="P17" s="122">
        <f t="shared" ca="1" si="3"/>
        <v>83116.76597045071</v>
      </c>
      <c r="Q17" s="122">
        <f t="shared" ca="1" si="3"/>
        <v>78908.322123845617</v>
      </c>
      <c r="R17" s="122">
        <f t="shared" ca="1" si="3"/>
        <v>74699.878277240525</v>
      </c>
      <c r="S17" s="122">
        <f t="shared" ca="1" si="3"/>
        <v>70491.434430635418</v>
      </c>
      <c r="T17" s="122">
        <f t="shared" ref="T17:AB17" ca="1" si="4">T15-T16</f>
        <v>66282.990584030311</v>
      </c>
      <c r="U17" s="122">
        <f t="shared" ca="1" si="4"/>
        <v>62074.546737425204</v>
      </c>
      <c r="V17" s="122">
        <f t="shared" ca="1" si="4"/>
        <v>57866.102890820097</v>
      </c>
      <c r="W17" s="122">
        <f t="shared" ca="1" si="4"/>
        <v>53657.65904421499</v>
      </c>
      <c r="X17" s="122">
        <f t="shared" ca="1" si="4"/>
        <v>49449.215197609883</v>
      </c>
      <c r="Y17" s="122">
        <f t="shared" ca="1" si="4"/>
        <v>45240.771351004776</v>
      </c>
      <c r="Z17" s="122">
        <f t="shared" ca="1" si="4"/>
        <v>41032.327504399669</v>
      </c>
      <c r="AA17" s="122">
        <f t="shared" ca="1" si="4"/>
        <v>36823.883657794562</v>
      </c>
      <c r="AB17" s="122">
        <f t="shared" ca="1" si="4"/>
        <v>32615.439811189455</v>
      </c>
    </row>
    <row r="18" spans="1:28">
      <c r="A18" s="367"/>
      <c r="B18" s="368" t="s">
        <v>1267</v>
      </c>
      <c r="C18" s="370">
        <v>0</v>
      </c>
      <c r="D18" s="370">
        <v>0</v>
      </c>
      <c r="E18" s="370">
        <v>0</v>
      </c>
      <c r="F18" s="370">
        <v>0</v>
      </c>
      <c r="G18" s="370">
        <v>0</v>
      </c>
      <c r="H18" s="370">
        <v>0</v>
      </c>
      <c r="I18" s="370">
        <v>0</v>
      </c>
      <c r="J18" s="370">
        <v>0</v>
      </c>
      <c r="K18" s="370">
        <v>0</v>
      </c>
      <c r="L18" s="370">
        <v>0</v>
      </c>
      <c r="M18" s="370">
        <v>0</v>
      </c>
      <c r="N18" s="370">
        <v>0</v>
      </c>
      <c r="O18" s="370">
        <v>0</v>
      </c>
      <c r="P18" s="370">
        <v>0</v>
      </c>
      <c r="Q18" s="370">
        <v>0</v>
      </c>
      <c r="R18" s="370">
        <v>0</v>
      </c>
      <c r="S18" s="370">
        <v>0</v>
      </c>
      <c r="T18" s="370">
        <v>0</v>
      </c>
      <c r="U18" s="370">
        <v>0</v>
      </c>
      <c r="V18" s="370">
        <v>0</v>
      </c>
      <c r="W18" s="370">
        <v>0</v>
      </c>
      <c r="X18" s="370">
        <v>0</v>
      </c>
      <c r="Y18" s="370">
        <v>0</v>
      </c>
      <c r="Z18" s="370">
        <v>0</v>
      </c>
      <c r="AA18" s="370">
        <v>0</v>
      </c>
      <c r="AB18" s="370">
        <v>0</v>
      </c>
    </row>
    <row r="19" spans="1:28">
      <c r="A19" s="37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>
      <c r="A20" s="373" t="s">
        <v>1268</v>
      </c>
      <c r="B20" s="87"/>
      <c r="C20" s="123">
        <f ca="1">C12+SUM(C17:C18)</f>
        <v>137826.53597631701</v>
      </c>
      <c r="D20" s="123">
        <f t="shared" ref="D20:S20" ca="1" si="5">D12+SUM(D17:D18)</f>
        <v>133618.09212971191</v>
      </c>
      <c r="E20" s="123">
        <f t="shared" ca="1" si="5"/>
        <v>129409.64828310681</v>
      </c>
      <c r="F20" s="123">
        <f t="shared" ca="1" si="5"/>
        <v>125201.20443650172</v>
      </c>
      <c r="G20" s="123">
        <f t="shared" ca="1" si="5"/>
        <v>120992.76058989661</v>
      </c>
      <c r="H20" s="123">
        <f t="shared" ca="1" si="5"/>
        <v>116784.31674329151</v>
      </c>
      <c r="I20" s="123">
        <f t="shared" ca="1" si="5"/>
        <v>112575.87289668641</v>
      </c>
      <c r="J20" s="123">
        <f t="shared" ca="1" si="5"/>
        <v>108367.42905008132</v>
      </c>
      <c r="K20" s="123">
        <f t="shared" ca="1" si="5"/>
        <v>104158.98520347622</v>
      </c>
      <c r="L20" s="123">
        <f t="shared" ca="1" si="5"/>
        <v>99950.541356871108</v>
      </c>
      <c r="M20" s="123">
        <f t="shared" ca="1" si="5"/>
        <v>98808.036337278143</v>
      </c>
      <c r="N20" s="123">
        <f t="shared" ca="1" si="5"/>
        <v>97665.531317685163</v>
      </c>
      <c r="O20" s="123">
        <f t="shared" ca="1" si="5"/>
        <v>96523.026298092183</v>
      </c>
      <c r="P20" s="123">
        <f t="shared" ca="1" si="5"/>
        <v>95380.521278499189</v>
      </c>
      <c r="Q20" s="123">
        <f t="shared" ca="1" si="5"/>
        <v>78908.322123845617</v>
      </c>
      <c r="R20" s="123">
        <f t="shared" ca="1" si="5"/>
        <v>74699.878277240525</v>
      </c>
      <c r="S20" s="123">
        <f t="shared" ca="1" si="5"/>
        <v>70491.434430635418</v>
      </c>
      <c r="T20" s="123">
        <f t="shared" ref="T20:AB20" ca="1" si="6">T12+SUM(T17:T18)</f>
        <v>66282.990584030311</v>
      </c>
      <c r="U20" s="123">
        <f t="shared" ca="1" si="6"/>
        <v>62074.546737425204</v>
      </c>
      <c r="V20" s="123">
        <f t="shared" ca="1" si="6"/>
        <v>57866.102890820097</v>
      </c>
      <c r="W20" s="123">
        <f t="shared" ca="1" si="6"/>
        <v>53657.65904421499</v>
      </c>
      <c r="X20" s="123">
        <f t="shared" ca="1" si="6"/>
        <v>49449.215197609883</v>
      </c>
      <c r="Y20" s="123">
        <f t="shared" ca="1" si="6"/>
        <v>45240.771351004776</v>
      </c>
      <c r="Z20" s="123">
        <f t="shared" ca="1" si="6"/>
        <v>41032.327504399669</v>
      </c>
      <c r="AA20" s="123">
        <f t="shared" ca="1" si="6"/>
        <v>36823.883657794562</v>
      </c>
      <c r="AB20" s="123">
        <f t="shared" ca="1" si="6"/>
        <v>32615.439811189455</v>
      </c>
    </row>
    <row r="21" spans="1:28">
      <c r="A21" s="22"/>
      <c r="Y21" s="14"/>
      <c r="Z21" s="14"/>
      <c r="AA21" s="14"/>
      <c r="AB21" s="14"/>
    </row>
    <row r="22" spans="1:28">
      <c r="A22" s="374" t="s">
        <v>1269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1135"/>
      <c r="Z22" s="1135"/>
      <c r="AA22" s="1135"/>
      <c r="AB22" s="1135"/>
    </row>
    <row r="23" spans="1:28">
      <c r="A23" s="367"/>
      <c r="B23" s="368" t="s">
        <v>1270</v>
      </c>
      <c r="C23" s="375">
        <f ca="1">WC!C11</f>
        <v>0</v>
      </c>
      <c r="D23" s="375">
        <f>WC!D11</f>
        <v>0</v>
      </c>
      <c r="E23" s="375">
        <f>WC!E11</f>
        <v>0</v>
      </c>
      <c r="F23" s="375">
        <f>WC!F11</f>
        <v>0</v>
      </c>
      <c r="G23" s="375">
        <f>WC!G11</f>
        <v>0</v>
      </c>
      <c r="H23" s="375">
        <f>WC!H11</f>
        <v>0</v>
      </c>
      <c r="I23" s="375">
        <f>WC!I11</f>
        <v>0</v>
      </c>
      <c r="J23" s="375">
        <f>WC!J11</f>
        <v>0</v>
      </c>
      <c r="K23" s="375">
        <f>WC!K11</f>
        <v>0</v>
      </c>
      <c r="L23" s="375">
        <f>WC!L11</f>
        <v>0</v>
      </c>
      <c r="M23" s="375">
        <f>WC!M11</f>
        <v>0</v>
      </c>
      <c r="N23" s="375">
        <f>WC!N11</f>
        <v>0</v>
      </c>
      <c r="O23" s="375">
        <f>WC!O11</f>
        <v>0</v>
      </c>
      <c r="P23" s="375">
        <f>WC!P11</f>
        <v>0</v>
      </c>
      <c r="Q23" s="375">
        <f>WC!Q11</f>
        <v>0</v>
      </c>
      <c r="R23" s="375">
        <f>WC!R11</f>
        <v>0</v>
      </c>
      <c r="S23" s="375">
        <f>WC!S11</f>
        <v>0</v>
      </c>
      <c r="T23" s="375">
        <f>WC!T11</f>
        <v>0</v>
      </c>
      <c r="U23" s="375">
        <f>WC!U11</f>
        <v>0</v>
      </c>
      <c r="V23" s="375">
        <f>WC!V11</f>
        <v>0</v>
      </c>
      <c r="W23" s="375">
        <f>WC!W11</f>
        <v>0</v>
      </c>
      <c r="X23" s="375">
        <f>WC!X11</f>
        <v>0</v>
      </c>
      <c r="Y23" s="375">
        <f>WC!Y11</f>
        <v>0</v>
      </c>
      <c r="Z23" s="375">
        <f>WC!Z11</f>
        <v>0</v>
      </c>
      <c r="AA23" s="375">
        <f>WC!AA11</f>
        <v>0</v>
      </c>
      <c r="AB23" s="375">
        <f>WC!AB11</f>
        <v>0</v>
      </c>
    </row>
    <row r="24" spans="1:28">
      <c r="A24" s="367"/>
      <c r="B24" s="368" t="s">
        <v>1271</v>
      </c>
      <c r="C24" s="375">
        <f>WC!C12</f>
        <v>0</v>
      </c>
      <c r="D24" s="375">
        <f>WC!D12</f>
        <v>0</v>
      </c>
      <c r="E24" s="375">
        <f>WC!E12</f>
        <v>0</v>
      </c>
      <c r="F24" s="375">
        <f>WC!F12</f>
        <v>0</v>
      </c>
      <c r="G24" s="375">
        <f>WC!G12</f>
        <v>0</v>
      </c>
      <c r="H24" s="375">
        <f>WC!H12</f>
        <v>0</v>
      </c>
      <c r="I24" s="375">
        <f>WC!I12</f>
        <v>0</v>
      </c>
      <c r="J24" s="375">
        <f>WC!J12</f>
        <v>0</v>
      </c>
      <c r="K24" s="375">
        <f>WC!K12</f>
        <v>0</v>
      </c>
      <c r="L24" s="375">
        <f>WC!L12</f>
        <v>0</v>
      </c>
      <c r="M24" s="375">
        <f>WC!M12</f>
        <v>0</v>
      </c>
      <c r="N24" s="375">
        <f>WC!N12</f>
        <v>0</v>
      </c>
      <c r="O24" s="375">
        <f>WC!O12</f>
        <v>0</v>
      </c>
      <c r="P24" s="375">
        <f>WC!P12</f>
        <v>0</v>
      </c>
      <c r="Q24" s="375">
        <f>WC!Q12</f>
        <v>0</v>
      </c>
      <c r="R24" s="375">
        <f>WC!R12</f>
        <v>0</v>
      </c>
      <c r="S24" s="375">
        <f>WC!S12</f>
        <v>0</v>
      </c>
      <c r="T24" s="375">
        <f>WC!T12</f>
        <v>0</v>
      </c>
      <c r="U24" s="375">
        <f>WC!U12</f>
        <v>0</v>
      </c>
      <c r="V24" s="375">
        <f>WC!V12</f>
        <v>0</v>
      </c>
      <c r="W24" s="375">
        <f>WC!W12</f>
        <v>0</v>
      </c>
      <c r="X24" s="375">
        <f>WC!X12</f>
        <v>0</v>
      </c>
      <c r="Y24" s="375">
        <f>WC!Y12</f>
        <v>0</v>
      </c>
      <c r="Z24" s="375">
        <f>WC!Z12</f>
        <v>0</v>
      </c>
      <c r="AA24" s="375">
        <f>WC!AA12</f>
        <v>0</v>
      </c>
      <c r="AB24" s="375">
        <f>WC!AB12</f>
        <v>0</v>
      </c>
    </row>
    <row r="25" spans="1:28">
      <c r="A25" s="367"/>
      <c r="B25" s="368" t="s">
        <v>1272</v>
      </c>
      <c r="C25" s="122">
        <f ca="1">Taxes!B61</f>
        <v>1808.4770390189155</v>
      </c>
      <c r="D25" s="122">
        <f ca="1">Taxes!C61</f>
        <v>5425.4311170567462</v>
      </c>
      <c r="E25" s="122">
        <f ca="1">Taxes!D61</f>
        <v>8513.7534452275104</v>
      </c>
      <c r="F25" s="122">
        <f ca="1">Taxes!E61</f>
        <v>11129.089470885634</v>
      </c>
      <c r="G25" s="122">
        <f ca="1">Taxes!F61</f>
        <v>13315.955551914662</v>
      </c>
      <c r="H25" s="122">
        <f ca="1">Taxes!G61</f>
        <v>15113.303501462691</v>
      </c>
      <c r="I25" s="122">
        <f ca="1">Taxes!H61</f>
        <v>16727.021474741108</v>
      </c>
      <c r="J25" s="122">
        <f ca="1">Taxes!I61</f>
        <v>18346.303992754969</v>
      </c>
      <c r="K25" s="122">
        <f ca="1">Taxes!J61</f>
        <v>19960.021966033386</v>
      </c>
      <c r="L25" s="122">
        <f ca="1">Taxes!K61</f>
        <v>21579.304484047243</v>
      </c>
      <c r="M25" s="122">
        <f ca="1">Taxes!L61</f>
        <v>23193.02245732566</v>
      </c>
      <c r="N25" s="122">
        <f ca="1">Taxes!M61</f>
        <v>24812.304975339521</v>
      </c>
      <c r="O25" s="122">
        <f ca="1">Taxes!N61</f>
        <v>26426.022948617938</v>
      </c>
      <c r="P25" s="122">
        <f ca="1">Taxes!O61</f>
        <v>28045.305466631798</v>
      </c>
      <c r="Q25" s="122">
        <f ca="1">Taxes!P61</f>
        <v>29659.023439910216</v>
      </c>
      <c r="R25" s="122">
        <f ca="1">Taxes!Q61</f>
        <v>29631.200716233001</v>
      </c>
      <c r="S25" s="122">
        <f ca="1">Taxes!R61</f>
        <v>27961.837295600155</v>
      </c>
      <c r="T25" s="122">
        <f ca="1">Taxes!S61</f>
        <v>26292.473874967312</v>
      </c>
      <c r="U25" s="122">
        <f ca="1">Taxes!T61</f>
        <v>24623.110454334466</v>
      </c>
      <c r="V25" s="122">
        <f ca="1">Taxes!U61</f>
        <v>22953.74703370162</v>
      </c>
      <c r="W25" s="122">
        <f ca="1">Taxes!V61</f>
        <v>21284.383613068774</v>
      </c>
      <c r="X25" s="122">
        <f ca="1">Taxes!W61</f>
        <v>19615.020192435928</v>
      </c>
      <c r="Y25" s="122">
        <f ca="1">Taxes!X61</f>
        <v>17945.656771803082</v>
      </c>
      <c r="Z25" s="122">
        <f ca="1">Taxes!Y61</f>
        <v>16276.293351170238</v>
      </c>
      <c r="AA25" s="122">
        <f ca="1">Taxes!Z61</f>
        <v>14606.929930537393</v>
      </c>
      <c r="AB25" s="122">
        <f ca="1">Taxes!AA61</f>
        <v>12937.566509904549</v>
      </c>
    </row>
    <row r="26" spans="1:28">
      <c r="A26" s="367"/>
      <c r="B26" s="368" t="s">
        <v>1373</v>
      </c>
      <c r="C26" s="122">
        <f>Maint!D15</f>
        <v>498.70588235294122</v>
      </c>
      <c r="D26" s="122">
        <f>Maint!E15</f>
        <v>1012.3729411764707</v>
      </c>
      <c r="E26" s="122">
        <f>Maint!F15</f>
        <v>1540.9363447058824</v>
      </c>
      <c r="F26" s="122">
        <f>Maint!G15</f>
        <v>2084.5638052358827</v>
      </c>
      <c r="G26" s="122">
        <f>Maint!H15</f>
        <v>2643.4128346607226</v>
      </c>
      <c r="H26" s="122">
        <f>Maint!I15</f>
        <v>3217.4625576859185</v>
      </c>
      <c r="I26" s="122">
        <f>Maint!J15</f>
        <v>3806.8394083158869</v>
      </c>
      <c r="J26" s="122">
        <f>Maint!K15</f>
        <v>4411.6579324323602</v>
      </c>
      <c r="K26" s="122">
        <f>Maint!L15</f>
        <v>5032.0807744710391</v>
      </c>
      <c r="L26" s="122">
        <f>Maint!M15</f>
        <v>5668.2623566974999</v>
      </c>
      <c r="M26" s="122">
        <f>Maint!N15</f>
        <v>6320.4757147960681</v>
      </c>
      <c r="N26" s="122">
        <f>Maint!O15</f>
        <v>6988.9944068470995</v>
      </c>
      <c r="O26" s="122">
        <f>Maint!P15</f>
        <v>7674.4266218070225</v>
      </c>
      <c r="P26" s="122">
        <f>Maint!Q15</f>
        <v>8377.4744446914156</v>
      </c>
      <c r="Q26" s="122">
        <f>Maint!R15</f>
        <v>-3164.8834922953956</v>
      </c>
      <c r="R26" s="122">
        <f>Maint!S15</f>
        <v>-2424.224811426373</v>
      </c>
      <c r="S26" s="122">
        <f>Maint!T15</f>
        <v>-1663.4942803058</v>
      </c>
      <c r="T26" s="122">
        <f>Maint!U15</f>
        <v>-882.14795179185967</v>
      </c>
      <c r="U26" s="122">
        <f>Maint!V15</f>
        <v>-79.627137775191613</v>
      </c>
      <c r="V26" s="122">
        <f>Maint!W15</f>
        <v>744.64199030132818</v>
      </c>
      <c r="W26" s="122">
        <f>Maint!X15</f>
        <v>1591.2488117487217</v>
      </c>
      <c r="X26" s="122">
        <f>Maint!Y15</f>
        <v>2460.7986780573392</v>
      </c>
      <c r="Y26" s="122">
        <f>Maint!Z15</f>
        <v>3353.9133457429207</v>
      </c>
      <c r="Z26" s="122">
        <f>Maint!AA15</f>
        <v>4271.2314209227807</v>
      </c>
      <c r="AA26" s="122">
        <f>Maint!AB15</f>
        <v>5213.4088159400153</v>
      </c>
      <c r="AB26" s="122">
        <f>Maint!AC15</f>
        <v>6181.119218362217</v>
      </c>
    </row>
    <row r="27" spans="1:28">
      <c r="A27" s="367"/>
      <c r="B27" s="368" t="s">
        <v>1273</v>
      </c>
      <c r="C27" s="369">
        <f ca="1">CF!C113</f>
        <v>0</v>
      </c>
      <c r="D27" s="369">
        <f ca="1">CF!D113</f>
        <v>0</v>
      </c>
      <c r="E27" s="369">
        <f ca="1">CF!E113</f>
        <v>0</v>
      </c>
      <c r="F27" s="369">
        <f ca="1">CF!F113</f>
        <v>0</v>
      </c>
      <c r="G27" s="369">
        <f ca="1">CF!G113</f>
        <v>0</v>
      </c>
      <c r="H27" s="369">
        <f ca="1">CF!H113</f>
        <v>0</v>
      </c>
      <c r="I27" s="369">
        <f ca="1">CF!I113</f>
        <v>0</v>
      </c>
      <c r="J27" s="369">
        <f ca="1">CF!J113</f>
        <v>0</v>
      </c>
      <c r="K27" s="369">
        <f ca="1">CF!K113</f>
        <v>0</v>
      </c>
      <c r="L27" s="369">
        <f ca="1">CF!L113</f>
        <v>0</v>
      </c>
      <c r="M27" s="369">
        <f ca="1">CF!M113</f>
        <v>0</v>
      </c>
      <c r="N27" s="369">
        <f ca="1">CF!N113</f>
        <v>0</v>
      </c>
      <c r="O27" s="369">
        <f ca="1">CF!O113</f>
        <v>0</v>
      </c>
      <c r="P27" s="369">
        <f ca="1">CF!P113</f>
        <v>0</v>
      </c>
      <c r="Q27" s="369">
        <f ca="1">CF!Q113</f>
        <v>0</v>
      </c>
      <c r="R27" s="369">
        <f ca="1">CF!R113</f>
        <v>0</v>
      </c>
      <c r="S27" s="369">
        <f ca="1">CF!S113</f>
        <v>0</v>
      </c>
      <c r="T27" s="369">
        <f ca="1">CF!T113</f>
        <v>0</v>
      </c>
      <c r="U27" s="369">
        <f ca="1">CF!U113</f>
        <v>0</v>
      </c>
      <c r="V27" s="369">
        <f ca="1">CF!V113</f>
        <v>0</v>
      </c>
      <c r="W27" s="369">
        <f ca="1">CF!W113</f>
        <v>0</v>
      </c>
      <c r="X27" s="369">
        <f ca="1">CF!X113</f>
        <v>0</v>
      </c>
      <c r="Y27" s="369">
        <f ca="1">CF!Y113</f>
        <v>0</v>
      </c>
      <c r="Z27" s="369">
        <f ca="1">CF!Z113</f>
        <v>0</v>
      </c>
      <c r="AA27" s="369">
        <f ca="1">CF!AA113</f>
        <v>0</v>
      </c>
      <c r="AB27" s="369">
        <f ca="1">CF!AB113</f>
        <v>0</v>
      </c>
    </row>
    <row r="28" spans="1:28">
      <c r="A28" s="367"/>
      <c r="B28" s="368" t="s">
        <v>1274</v>
      </c>
      <c r="C28" s="122">
        <f>Debt!C40+Debt!C56+Debt!C72</f>
        <v>0</v>
      </c>
      <c r="D28" s="122">
        <f ca="1">Debt!D40+Debt!D56+Debt!D72</f>
        <v>0</v>
      </c>
      <c r="E28" s="122">
        <f ca="1">Debt!E40+Debt!E56+Debt!E72</f>
        <v>0</v>
      </c>
      <c r="F28" s="122">
        <f ca="1">Debt!F40+Debt!F56+Debt!F72</f>
        <v>0</v>
      </c>
      <c r="G28" s="122">
        <f ca="1">Debt!G40+Debt!G56+Debt!G72</f>
        <v>0</v>
      </c>
      <c r="H28" s="122">
        <f ca="1">Debt!H40+Debt!H56+Debt!H72</f>
        <v>0</v>
      </c>
      <c r="I28" s="122">
        <f ca="1">Debt!I40+Debt!I56+Debt!I72</f>
        <v>0</v>
      </c>
      <c r="J28" s="122">
        <f ca="1">Debt!J40+Debt!J56+Debt!J72</f>
        <v>0</v>
      </c>
      <c r="K28" s="122">
        <f ca="1">Debt!K40+Debt!K56+Debt!K72</f>
        <v>0</v>
      </c>
      <c r="L28" s="122">
        <f ca="1">Debt!L40+Debt!L56+Debt!L72</f>
        <v>0</v>
      </c>
      <c r="M28" s="122">
        <f ca="1">Debt!M40+Debt!M56+Debt!M72</f>
        <v>0</v>
      </c>
      <c r="N28" s="122">
        <f ca="1">Debt!N40+Debt!N56+Debt!N72</f>
        <v>0</v>
      </c>
      <c r="O28" s="122">
        <f ca="1">Debt!O40+Debt!O56+Debt!O72</f>
        <v>0</v>
      </c>
      <c r="P28" s="122">
        <f ca="1">Debt!P40+Debt!P56+Debt!P72</f>
        <v>0</v>
      </c>
      <c r="Q28" s="122">
        <f ca="1">Debt!Q40+Debt!Q56+Debt!Q72</f>
        <v>0</v>
      </c>
      <c r="R28" s="122">
        <f ca="1">Debt!R40+Debt!R56+Debt!R72</f>
        <v>0</v>
      </c>
      <c r="S28" s="122">
        <f ca="1">Debt!S40+Debt!S56+Debt!S72</f>
        <v>0</v>
      </c>
      <c r="T28" s="122">
        <f ca="1">Debt!T40+Debt!T56+Debt!T72</f>
        <v>0</v>
      </c>
      <c r="U28" s="122">
        <f ca="1">Debt!U40+Debt!U56+Debt!U72</f>
        <v>0</v>
      </c>
      <c r="V28" s="122">
        <f ca="1">Debt!V40+Debt!V56+Debt!V72</f>
        <v>0</v>
      </c>
      <c r="W28" s="122">
        <f ca="1">Debt!W40+Debt!W56+Debt!W72</f>
        <v>0</v>
      </c>
      <c r="X28" s="122">
        <f ca="1">Debt!X40+Debt!X56+Debt!X72</f>
        <v>0</v>
      </c>
      <c r="Y28" s="122">
        <f ca="1">Debt!Y40+Debt!Y56+Debt!Y72</f>
        <v>0</v>
      </c>
      <c r="Z28" s="122">
        <f ca="1">Debt!Z40+Debt!Z56+Debt!Z72</f>
        <v>0</v>
      </c>
      <c r="AA28" s="122">
        <f ca="1">Debt!AA40+Debt!AA56+Debt!AA72</f>
        <v>0</v>
      </c>
      <c r="AB28" s="122">
        <f ca="1">Debt!AB40+Debt!AB56+Debt!AB72</f>
        <v>0</v>
      </c>
    </row>
    <row r="29" spans="1:28">
      <c r="A29" s="367"/>
      <c r="B29" s="368" t="s">
        <v>1275</v>
      </c>
      <c r="C29" s="370">
        <v>0</v>
      </c>
      <c r="D29" s="370">
        <v>0</v>
      </c>
      <c r="E29" s="370">
        <v>0</v>
      </c>
      <c r="F29" s="370">
        <v>0</v>
      </c>
      <c r="G29" s="370">
        <v>0</v>
      </c>
      <c r="H29" s="370">
        <v>0</v>
      </c>
      <c r="I29" s="370">
        <v>0</v>
      </c>
      <c r="J29" s="370">
        <v>0</v>
      </c>
      <c r="K29" s="370">
        <v>0</v>
      </c>
      <c r="L29" s="370">
        <v>0</v>
      </c>
      <c r="M29" s="370">
        <v>0</v>
      </c>
      <c r="N29" s="370">
        <v>0</v>
      </c>
      <c r="O29" s="370">
        <v>0</v>
      </c>
      <c r="P29" s="370">
        <v>0</v>
      </c>
      <c r="Q29" s="370">
        <v>0</v>
      </c>
      <c r="R29" s="370">
        <v>0</v>
      </c>
      <c r="S29" s="370">
        <v>0</v>
      </c>
      <c r="T29" s="370">
        <v>0</v>
      </c>
      <c r="U29" s="370">
        <v>0</v>
      </c>
      <c r="V29" s="370">
        <v>0</v>
      </c>
      <c r="W29" s="370">
        <v>0</v>
      </c>
      <c r="X29" s="370">
        <v>0</v>
      </c>
      <c r="Y29" s="370">
        <v>0</v>
      </c>
      <c r="Z29" s="370">
        <v>0</v>
      </c>
      <c r="AA29" s="370">
        <v>0</v>
      </c>
      <c r="AB29" s="370">
        <v>0</v>
      </c>
    </row>
    <row r="30" spans="1:28">
      <c r="A30" s="376" t="s">
        <v>1276</v>
      </c>
      <c r="B30" s="15"/>
      <c r="C30" s="122">
        <f ca="1">SUM(C23:C29)</f>
        <v>2307.1829213718565</v>
      </c>
      <c r="D30" s="122">
        <f t="shared" ref="D30:S30" ca="1" si="7">SUM(D23:D29)</f>
        <v>6437.8040582332169</v>
      </c>
      <c r="E30" s="122">
        <f t="shared" ca="1" si="7"/>
        <v>10054.689789933393</v>
      </c>
      <c r="F30" s="122">
        <f t="shared" ca="1" si="7"/>
        <v>13213.653276121517</v>
      </c>
      <c r="G30" s="122">
        <f t="shared" ca="1" si="7"/>
        <v>15959.368386575385</v>
      </c>
      <c r="H30" s="122">
        <f t="shared" ca="1" si="7"/>
        <v>18330.766059148609</v>
      </c>
      <c r="I30" s="122">
        <f t="shared" ca="1" si="7"/>
        <v>20533.860883056994</v>
      </c>
      <c r="J30" s="122">
        <f t="shared" ca="1" si="7"/>
        <v>22757.96192518733</v>
      </c>
      <c r="K30" s="122">
        <f t="shared" ca="1" si="7"/>
        <v>24992.102740504426</v>
      </c>
      <c r="L30" s="122">
        <f t="shared" ca="1" si="7"/>
        <v>27247.566840744745</v>
      </c>
      <c r="M30" s="122">
        <f t="shared" ca="1" si="7"/>
        <v>29513.498172121726</v>
      </c>
      <c r="N30" s="122">
        <f t="shared" ca="1" si="7"/>
        <v>31801.299382186618</v>
      </c>
      <c r="O30" s="122">
        <f t="shared" ca="1" si="7"/>
        <v>34100.449570424957</v>
      </c>
      <c r="P30" s="122">
        <f t="shared" ca="1" si="7"/>
        <v>36422.779911323218</v>
      </c>
      <c r="Q30" s="122">
        <f ca="1">SUM(Q23:Q29)</f>
        <v>26494.139947614822</v>
      </c>
      <c r="R30" s="122">
        <f t="shared" ca="1" si="7"/>
        <v>27206.975904806626</v>
      </c>
      <c r="S30" s="122">
        <f t="shared" ca="1" si="7"/>
        <v>26298.343015294355</v>
      </c>
      <c r="T30" s="122">
        <f t="shared" ref="T30:AB30" ca="1" si="8">SUM(T23:T29)</f>
        <v>25410.325923175453</v>
      </c>
      <c r="U30" s="122">
        <f t="shared" ca="1" si="8"/>
        <v>24543.483316559275</v>
      </c>
      <c r="V30" s="122">
        <f t="shared" ca="1" si="8"/>
        <v>23698.389024002947</v>
      </c>
      <c r="W30" s="122">
        <f t="shared" ca="1" si="8"/>
        <v>22875.632424817497</v>
      </c>
      <c r="X30" s="122">
        <f t="shared" ca="1" si="8"/>
        <v>22075.818870493269</v>
      </c>
      <c r="Y30" s="122">
        <f t="shared" ca="1" si="8"/>
        <v>21299.570117546002</v>
      </c>
      <c r="Z30" s="122">
        <f t="shared" ca="1" si="8"/>
        <v>20547.52477209302</v>
      </c>
      <c r="AA30" s="122">
        <f t="shared" ca="1" si="8"/>
        <v>19820.33874647741</v>
      </c>
      <c r="AB30" s="122">
        <f t="shared" ca="1" si="8"/>
        <v>19118.685728266766</v>
      </c>
    </row>
    <row r="31" spans="1:28">
      <c r="A31" s="37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>
      <c r="A32" s="366" t="s">
        <v>1277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>
      <c r="A33" s="367"/>
      <c r="B33" s="377" t="s">
        <v>1278</v>
      </c>
      <c r="C33" s="122">
        <f ca="1">Assum!$C$10</f>
        <v>140281.46155350332</v>
      </c>
      <c r="D33" s="122">
        <f ca="1">Assum!$C$10</f>
        <v>140281.46155350332</v>
      </c>
      <c r="E33" s="122">
        <f ca="1">Assum!$C$10</f>
        <v>140281.46155350332</v>
      </c>
      <c r="F33" s="122">
        <f ca="1">Assum!$C$10</f>
        <v>140281.46155350332</v>
      </c>
      <c r="G33" s="122">
        <f ca="1">Assum!$C$10</f>
        <v>140281.46155350332</v>
      </c>
      <c r="H33" s="122">
        <f ca="1">Assum!$C$10</f>
        <v>140281.46155350332</v>
      </c>
      <c r="I33" s="122">
        <f ca="1">Assum!$C$10</f>
        <v>140281.46155350332</v>
      </c>
      <c r="J33" s="122">
        <f ca="1">Assum!$C$10</f>
        <v>140281.46155350332</v>
      </c>
      <c r="K33" s="122">
        <f ca="1">Assum!$C$10</f>
        <v>140281.46155350332</v>
      </c>
      <c r="L33" s="122">
        <f ca="1">Assum!$C$10</f>
        <v>140281.46155350332</v>
      </c>
      <c r="M33" s="122">
        <f ca="1">Assum!$C$10</f>
        <v>140281.46155350332</v>
      </c>
      <c r="N33" s="122">
        <f ca="1">Assum!$C$10</f>
        <v>140281.46155350332</v>
      </c>
      <c r="O33" s="122">
        <f ca="1">Assum!$C$10</f>
        <v>140281.46155350332</v>
      </c>
      <c r="P33" s="122">
        <f ca="1">Assum!$C$10</f>
        <v>140281.46155350332</v>
      </c>
      <c r="Q33" s="122">
        <f ca="1">Assum!$C$10</f>
        <v>140281.46155350332</v>
      </c>
      <c r="R33" s="122">
        <f ca="1">Assum!$C$10</f>
        <v>140281.46155350332</v>
      </c>
      <c r="S33" s="122">
        <f ca="1">Assum!$C$10</f>
        <v>140281.46155350332</v>
      </c>
      <c r="T33" s="122">
        <f ca="1">Assum!$C$10</f>
        <v>140281.46155350332</v>
      </c>
      <c r="U33" s="122">
        <f ca="1">Assum!$C$10</f>
        <v>140281.46155350332</v>
      </c>
      <c r="V33" s="122">
        <f ca="1">Assum!$C$10</f>
        <v>140281.46155350332</v>
      </c>
      <c r="W33" s="122">
        <f ca="1">Assum!$C$10</f>
        <v>140281.46155350332</v>
      </c>
      <c r="X33" s="122">
        <f ca="1">Assum!$C$10</f>
        <v>140281.46155350332</v>
      </c>
      <c r="Y33" s="122">
        <f ca="1">Assum!$C$10</f>
        <v>140281.46155350332</v>
      </c>
      <c r="Z33" s="122">
        <f ca="1">Assum!$C$10</f>
        <v>140281.46155350332</v>
      </c>
      <c r="AA33" s="122">
        <f ca="1">Assum!$C$10</f>
        <v>140281.46155350332</v>
      </c>
      <c r="AB33" s="122">
        <f ca="1">Assum!$C$10</f>
        <v>140281.46155350332</v>
      </c>
    </row>
    <row r="34" spans="1:28">
      <c r="A34" s="367"/>
      <c r="B34" s="377" t="s">
        <v>1279</v>
      </c>
      <c r="C34" s="378">
        <f ca="1">IS!C81+CF!C104</f>
        <v>-4762.1084985448397</v>
      </c>
      <c r="D34" s="621">
        <f ca="1">IS!D81+CF!D104+C34</f>
        <v>-13101.173481992435</v>
      </c>
      <c r="E34" s="621">
        <f ca="1">IS!E81+CF!E104+D34</f>
        <v>-20926.503060264709</v>
      </c>
      <c r="F34" s="621">
        <f ca="1">IS!F81+CF!F104+E34</f>
        <v>-28293.910393006565</v>
      </c>
      <c r="G34" s="621">
        <f ca="1">IS!G81+CF!G104+F34</f>
        <v>-35248.069349991507</v>
      </c>
      <c r="H34" s="621">
        <f ca="1">IS!H81+CF!H104+G34</f>
        <v>-41827.910869068801</v>
      </c>
      <c r="I34" s="621">
        <f ca="1">IS!I81+CF!I104+H34</f>
        <v>-48239.449539449866</v>
      </c>
      <c r="J34" s="621">
        <f ca="1">IS!J81+CF!J104+I34</f>
        <v>-54671.99442801706</v>
      </c>
      <c r="K34" s="621">
        <f ca="1">IS!K81+CF!K104+J34</f>
        <v>-61114.579089730731</v>
      </c>
      <c r="L34" s="621">
        <f ca="1">IS!L81+CF!L104+K34</f>
        <v>-67578.487036322826</v>
      </c>
      <c r="M34" s="621">
        <f ca="1">IS!M81+CF!M104+L34</f>
        <v>-70986.923386990107</v>
      </c>
      <c r="N34" s="621">
        <f ca="1">IS!N81+CF!N104+M34</f>
        <v>-74417.229616291326</v>
      </c>
      <c r="O34" s="621">
        <f ca="1">IS!O81+CF!O104+N34</f>
        <v>-77858.884823707398</v>
      </c>
      <c r="P34" s="621">
        <f ca="1">IS!P81+CF!P104+O34</f>
        <v>-81323.720183720085</v>
      </c>
      <c r="Q34" s="621">
        <f ca="1">IS!Q81+CF!Q104+P34</f>
        <v>-87867.279374118705</v>
      </c>
      <c r="R34" s="621">
        <f ca="1">IS!R81+CF!R104+Q34</f>
        <v>-92788.559177296309</v>
      </c>
      <c r="S34" s="621">
        <f ca="1">IS!S81+CF!S104+R34</f>
        <v>-96088.370133692442</v>
      </c>
      <c r="T34" s="1137">
        <f ca="1">IS!T81+CF!T104+S34</f>
        <v>-99408.796887399993</v>
      </c>
      <c r="U34" s="621">
        <f ca="1">IS!U81+CF!U104+T34</f>
        <v>-102750.3981265238</v>
      </c>
      <c r="V34" s="621">
        <f ca="1">IS!V81+CF!V104+U34</f>
        <v>-106113.74767961656</v>
      </c>
      <c r="W34" s="621">
        <f ca="1">IS!W81+CF!W104+V34</f>
        <v>-109499.43492598493</v>
      </c>
      <c r="X34" s="621">
        <f ca="1">IS!X81+CF!X104+W34</f>
        <v>-112908.06521711497</v>
      </c>
      <c r="Y34" s="621">
        <f ca="1">IS!Y81+CF!Y104+X34</f>
        <v>-116340.26030951821</v>
      </c>
      <c r="Z34" s="621">
        <f ca="1">IS!Z81+CF!Z104+Y34</f>
        <v>-119796.65880930782</v>
      </c>
      <c r="AA34" s="621">
        <f ca="1">IS!AA81+CF!AA104+Z34</f>
        <v>-123277.91662882279</v>
      </c>
      <c r="AB34" s="621">
        <f ca="1">IS!AB81+CF!AB104+AA34</f>
        <v>-126784.70745562672</v>
      </c>
    </row>
    <row r="35" spans="1:28">
      <c r="A35" s="367"/>
      <c r="B35" s="377" t="s">
        <v>1280</v>
      </c>
      <c r="C35" s="372">
        <f ca="1">SUM(C33:C34)</f>
        <v>135519.35305495848</v>
      </c>
      <c r="D35" s="372">
        <f t="shared" ref="D35:S35" ca="1" si="9">SUM(D33:D34)</f>
        <v>127180.28807151089</v>
      </c>
      <c r="E35" s="372">
        <f t="shared" ca="1" si="9"/>
        <v>119354.95849323861</v>
      </c>
      <c r="F35" s="372">
        <f t="shared" ca="1" si="9"/>
        <v>111987.55116049676</v>
      </c>
      <c r="G35" s="372">
        <f t="shared" ca="1" si="9"/>
        <v>105033.39220351182</v>
      </c>
      <c r="H35" s="372">
        <f t="shared" ca="1" si="9"/>
        <v>98453.550684434522</v>
      </c>
      <c r="I35" s="372">
        <f t="shared" ca="1" si="9"/>
        <v>92042.012014053456</v>
      </c>
      <c r="J35" s="372">
        <f t="shared" ca="1" si="9"/>
        <v>85609.467125486262</v>
      </c>
      <c r="K35" s="372">
        <f t="shared" ca="1" si="9"/>
        <v>79166.882463772592</v>
      </c>
      <c r="L35" s="372">
        <f t="shared" ca="1" si="9"/>
        <v>72702.974517180497</v>
      </c>
      <c r="M35" s="372">
        <f t="shared" ca="1" si="9"/>
        <v>69294.538166513215</v>
      </c>
      <c r="N35" s="372">
        <f t="shared" ca="1" si="9"/>
        <v>65864.231937211996</v>
      </c>
      <c r="O35" s="372">
        <f t="shared" ca="1" si="9"/>
        <v>62422.576729795925</v>
      </c>
      <c r="P35" s="372">
        <f t="shared" ca="1" si="9"/>
        <v>58957.741369783238</v>
      </c>
      <c r="Q35" s="372">
        <f t="shared" ca="1" si="9"/>
        <v>52414.182179384617</v>
      </c>
      <c r="R35" s="372">
        <f t="shared" ca="1" si="9"/>
        <v>47492.902376207014</v>
      </c>
      <c r="S35" s="372">
        <f t="shared" ca="1" si="9"/>
        <v>44193.09141981088</v>
      </c>
      <c r="T35" s="372">
        <f t="shared" ref="T35:AB35" ca="1" si="10">SUM(T33:T34)</f>
        <v>40872.66466610333</v>
      </c>
      <c r="U35" s="372">
        <f t="shared" ca="1" si="10"/>
        <v>37531.063426979526</v>
      </c>
      <c r="V35" s="372">
        <f t="shared" ca="1" si="10"/>
        <v>34167.713873886765</v>
      </c>
      <c r="W35" s="372">
        <f t="shared" ca="1" si="10"/>
        <v>30782.026627518397</v>
      </c>
      <c r="X35" s="372">
        <f t="shared" ca="1" si="10"/>
        <v>27373.396336388352</v>
      </c>
      <c r="Y35" s="372">
        <f t="shared" ca="1" si="10"/>
        <v>23941.20124398511</v>
      </c>
      <c r="Z35" s="372">
        <f t="shared" ca="1" si="10"/>
        <v>20484.802744195506</v>
      </c>
      <c r="AA35" s="372">
        <f t="shared" ca="1" si="10"/>
        <v>17003.544924680536</v>
      </c>
      <c r="AB35" s="372">
        <f t="shared" ca="1" si="10"/>
        <v>13496.754097876605</v>
      </c>
    </row>
    <row r="36" spans="1:28">
      <c r="A36" s="376" t="s">
        <v>1281</v>
      </c>
      <c r="B36" s="15"/>
      <c r="C36" s="122">
        <f ca="1">C30+C35</f>
        <v>137826.53597633034</v>
      </c>
      <c r="D36" s="122">
        <f t="shared" ref="D36:S36" ca="1" si="11">D30+D35</f>
        <v>133618.09212974409</v>
      </c>
      <c r="E36" s="122">
        <f t="shared" ca="1" si="11"/>
        <v>129409.64828317199</v>
      </c>
      <c r="F36" s="122">
        <f t="shared" ca="1" si="11"/>
        <v>125201.20443661828</v>
      </c>
      <c r="G36" s="122">
        <f t="shared" ca="1" si="11"/>
        <v>120992.7605900872</v>
      </c>
      <c r="H36" s="122">
        <f ca="1">H30+H35</f>
        <v>116784.31674358313</v>
      </c>
      <c r="I36" s="122">
        <f t="shared" ca="1" si="11"/>
        <v>112575.87289711044</v>
      </c>
      <c r="J36" s="122">
        <f t="shared" ca="1" si="11"/>
        <v>108367.42905067359</v>
      </c>
      <c r="K36" s="122">
        <f t="shared" ca="1" si="11"/>
        <v>104158.98520427702</v>
      </c>
      <c r="L36" s="122">
        <f t="shared" ca="1" si="11"/>
        <v>99950.541357925249</v>
      </c>
      <c r="M36" s="122">
        <f t="shared" ca="1" si="11"/>
        <v>98808.036338634935</v>
      </c>
      <c r="N36" s="122">
        <f t="shared" ca="1" si="11"/>
        <v>97665.531319398608</v>
      </c>
      <c r="O36" s="122">
        <f t="shared" ca="1" si="11"/>
        <v>96523.026300220881</v>
      </c>
      <c r="P36" s="122">
        <f t="shared" ca="1" si="11"/>
        <v>95380.521281106456</v>
      </c>
      <c r="Q36" s="122">
        <f t="shared" ca="1" si="11"/>
        <v>78908.322126999439</v>
      </c>
      <c r="R36" s="122">
        <f t="shared" ca="1" si="11"/>
        <v>74699.878281013633</v>
      </c>
      <c r="S36" s="122">
        <f t="shared" ca="1" si="11"/>
        <v>70491.434435105242</v>
      </c>
      <c r="T36" s="122">
        <f t="shared" ref="T36:AB36" ca="1" si="12">T30+T35</f>
        <v>66282.990589278779</v>
      </c>
      <c r="U36" s="122">
        <f t="shared" ca="1" si="12"/>
        <v>62074.546743538798</v>
      </c>
      <c r="V36" s="122">
        <f t="shared" ca="1" si="12"/>
        <v>57866.102897889708</v>
      </c>
      <c r="W36" s="122">
        <f t="shared" ca="1" si="12"/>
        <v>53657.65905233589</v>
      </c>
      <c r="X36" s="122">
        <f t="shared" ca="1" si="12"/>
        <v>49449.215206881621</v>
      </c>
      <c r="Y36" s="122">
        <f t="shared" ca="1" si="12"/>
        <v>45240.771361531108</v>
      </c>
      <c r="Z36" s="122">
        <f t="shared" ca="1" si="12"/>
        <v>41032.327516288526</v>
      </c>
      <c r="AA36" s="122">
        <f t="shared" ca="1" si="12"/>
        <v>36823.88367115795</v>
      </c>
      <c r="AB36" s="122">
        <f t="shared" ca="1" si="12"/>
        <v>32615.439826143371</v>
      </c>
    </row>
    <row r="37" spans="1:28">
      <c r="A37" s="113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</row>
    <row r="38" spans="1:28">
      <c r="A38" s="379" t="s">
        <v>1282</v>
      </c>
      <c r="B38" s="380"/>
      <c r="C38" s="381">
        <f ca="1">C20-C36</f>
        <v>-1.3329554349184036E-8</v>
      </c>
      <c r="D38" s="381">
        <f t="shared" ref="D38:S38" ca="1" si="13">D20-D36</f>
        <v>-3.2188836485147476E-8</v>
      </c>
      <c r="E38" s="381">
        <f t="shared" ca="1" si="13"/>
        <v>-6.5178028307855129E-8</v>
      </c>
      <c r="F38" s="381">
        <f t="shared" ca="1" si="13"/>
        <v>-1.1656084097921848E-7</v>
      </c>
      <c r="G38" s="381">
        <f t="shared" ca="1" si="13"/>
        <v>-1.9058643374592066E-7</v>
      </c>
      <c r="H38" s="381">
        <f t="shared" ca="1" si="13"/>
        <v>-2.9162038117647171E-7</v>
      </c>
      <c r="I38" s="381">
        <f t="shared" ca="1" si="13"/>
        <v>-4.2402825783938169E-7</v>
      </c>
      <c r="J38" s="381">
        <f t="shared" ca="1" si="13"/>
        <v>-5.9226294979453087E-7</v>
      </c>
      <c r="K38" s="381">
        <f t="shared" ca="1" si="13"/>
        <v>-8.0080644693225622E-7</v>
      </c>
      <c r="L38" s="381">
        <f t="shared" ca="1" si="13"/>
        <v>-1.0541407391428947E-6</v>
      </c>
      <c r="M38" s="381">
        <f t="shared" ca="1" si="13"/>
        <v>-1.3567914720624685E-6</v>
      </c>
      <c r="N38" s="381">
        <f t="shared" ca="1" si="13"/>
        <v>-1.7134443623945117E-6</v>
      </c>
      <c r="O38" s="381">
        <f t="shared" ca="1" si="13"/>
        <v>-2.1286978153511882E-6</v>
      </c>
      <c r="P38" s="381">
        <f t="shared" ca="1" si="13"/>
        <v>-2.6072666514664888E-6</v>
      </c>
      <c r="Q38" s="381">
        <f t="shared" ca="1" si="13"/>
        <v>-3.1538220355287194E-6</v>
      </c>
      <c r="R38" s="381">
        <f t="shared" ca="1" si="13"/>
        <v>-3.7731078919023275E-6</v>
      </c>
      <c r="S38" s="381">
        <f t="shared" ca="1" si="13"/>
        <v>-4.4698244892060757E-6</v>
      </c>
      <c r="T38" s="381">
        <f t="shared" ref="T38:AB38" ca="1" si="14">T20-T36</f>
        <v>-5.2484683692455292E-6</v>
      </c>
      <c r="U38" s="381">
        <f t="shared" ca="1" si="14"/>
        <v>-6.1135942814871669E-6</v>
      </c>
      <c r="V38" s="381">
        <f t="shared" ca="1" si="14"/>
        <v>-7.0696114562451839E-6</v>
      </c>
      <c r="W38" s="381">
        <f t="shared" ca="1" si="14"/>
        <v>-8.1209000200033188E-6</v>
      </c>
      <c r="X38" s="381">
        <f t="shared" ca="1" si="14"/>
        <v>-9.2717382358387113E-6</v>
      </c>
      <c r="Y38" s="381">
        <f t="shared" ca="1" si="14"/>
        <v>-1.0526331607252359E-5</v>
      </c>
      <c r="Z38" s="381">
        <f t="shared" ca="1" si="14"/>
        <v>-1.1888856533914804E-5</v>
      </c>
      <c r="AA38" s="381">
        <f t="shared" ca="1" si="14"/>
        <v>-1.3363387552089989E-5</v>
      </c>
      <c r="AB38" s="381">
        <f t="shared" ca="1" si="14"/>
        <v>-1.4953915524529293E-5</v>
      </c>
    </row>
  </sheetData>
  <printOptions horizontalCentered="1"/>
  <pageMargins left="0.75" right="0.75" top="1" bottom="1" header="0.5" footer="0.5"/>
  <pageSetup scale="63" orientation="landscape" r:id="rId1"/>
  <headerFooter alignWithMargins="0">
    <oddFooter>&amp;L&amp;D  &amp;T&amp;R&amp;F
&amp;A 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AE118"/>
  <sheetViews>
    <sheetView showGridLines="0" zoomScale="75" zoomScaleNormal="75" workbookViewId="0">
      <pane xSplit="1" ySplit="9" topLeftCell="B39" activePane="bottomRight" state="frozen"/>
      <selection pane="topRight" activeCell="B1" sqref="B1"/>
      <selection pane="bottomLeft" activeCell="A10" sqref="A10"/>
      <selection pane="bottomRight" activeCell="B63" sqref="B63"/>
    </sheetView>
  </sheetViews>
  <sheetFormatPr defaultRowHeight="12.75" outlineLevelRow="1"/>
  <cols>
    <col min="1" max="1" width="63.5703125" style="14" customWidth="1"/>
    <col min="2" max="19" width="12.85546875" style="14" customWidth="1"/>
    <col min="20" max="20" width="10.85546875" style="14" customWidth="1"/>
    <col min="21" max="16384" width="9.140625" style="14"/>
  </cols>
  <sheetData>
    <row r="2" spans="1:19" ht="18.75">
      <c r="A2" s="126" t="str">
        <f>Assum!A2</f>
        <v xml:space="preserve">PROJECT NAME: PLANO </v>
      </c>
    </row>
    <row r="4" spans="1:19" ht="18.75">
      <c r="A4" s="90" t="s">
        <v>1082</v>
      </c>
    </row>
    <row r="7" spans="1:19" ht="18.75">
      <c r="A7" s="126" t="s">
        <v>1119</v>
      </c>
    </row>
    <row r="8" spans="1:19">
      <c r="B8" s="321">
        <v>0</v>
      </c>
      <c r="C8" s="321">
        <f>'Power Price'!C9</f>
        <v>0.58333333333333337</v>
      </c>
      <c r="D8" s="321">
        <f>'Power Price'!D9</f>
        <v>1.5833333333333335</v>
      </c>
      <c r="E8" s="321">
        <f>'Power Price'!E9</f>
        <v>2.5833333333333335</v>
      </c>
      <c r="F8" s="321">
        <f>'Power Price'!F9</f>
        <v>3.5833333333333335</v>
      </c>
      <c r="G8" s="321">
        <f>'Power Price'!G9</f>
        <v>4.5833333333333339</v>
      </c>
      <c r="H8" s="321">
        <f>'Power Price'!H9</f>
        <v>5.5833333333333339</v>
      </c>
      <c r="I8" s="321">
        <f>'Power Price'!I9</f>
        <v>6.5833333333333339</v>
      </c>
      <c r="J8" s="321">
        <f>'Power Price'!J9</f>
        <v>7.5833333333333339</v>
      </c>
      <c r="K8" s="321">
        <f>'Power Price'!K9</f>
        <v>8.5833333333333339</v>
      </c>
      <c r="L8" s="321">
        <f>'Power Price'!L9</f>
        <v>9.5833333333333339</v>
      </c>
      <c r="M8" s="321">
        <f>'Power Price'!M9</f>
        <v>10.583333333333334</v>
      </c>
      <c r="N8" s="321">
        <f>'Power Price'!N9</f>
        <v>11.583333333333334</v>
      </c>
      <c r="O8" s="321">
        <f>'Power Price'!O9</f>
        <v>12.583333333333334</v>
      </c>
      <c r="P8" s="321">
        <f>'Power Price'!P9</f>
        <v>13.583333333333334</v>
      </c>
      <c r="Q8" s="321">
        <f>'Power Price'!Q9</f>
        <v>14.583333333333334</v>
      </c>
      <c r="R8" s="321">
        <f>'Power Price'!R9</f>
        <v>15.583333333333334</v>
      </c>
      <c r="S8" s="321">
        <f>'Power Price'!S9</f>
        <v>16.583333333333336</v>
      </c>
    </row>
    <row r="9" spans="1:19" ht="13.5" thickBot="1">
      <c r="A9" s="151" t="s">
        <v>1011</v>
      </c>
      <c r="B9" s="7">
        <f>YEAR(Assum!B130)</f>
        <v>2000</v>
      </c>
      <c r="C9" s="7">
        <f>'Power Price'!C10</f>
        <v>2001</v>
      </c>
      <c r="D9" s="7">
        <f>'Power Price'!D10</f>
        <v>2002</v>
      </c>
      <c r="E9" s="7">
        <f>'Power Price'!E10</f>
        <v>2003</v>
      </c>
      <c r="F9" s="7">
        <f>'Power Price'!F10</f>
        <v>2004</v>
      </c>
      <c r="G9" s="7">
        <f>'Power Price'!G10</f>
        <v>2005</v>
      </c>
      <c r="H9" s="7">
        <f>'Power Price'!H10</f>
        <v>2006</v>
      </c>
      <c r="I9" s="7">
        <f>'Power Price'!I10</f>
        <v>2007</v>
      </c>
      <c r="J9" s="7">
        <f>'Power Price'!J10</f>
        <v>2008</v>
      </c>
      <c r="K9" s="7">
        <f>'Power Price'!K10</f>
        <v>2009</v>
      </c>
      <c r="L9" s="7">
        <f>'Power Price'!L10</f>
        <v>2010</v>
      </c>
      <c r="M9" s="7">
        <f>'Power Price'!M10</f>
        <v>2011</v>
      </c>
      <c r="N9" s="7">
        <f>'Power Price'!N10</f>
        <v>2012</v>
      </c>
      <c r="O9" s="7">
        <f>'Power Price'!O10</f>
        <v>2013</v>
      </c>
      <c r="P9" s="7">
        <f>'Power Price'!P10</f>
        <v>2014</v>
      </c>
      <c r="Q9" s="7">
        <f>'Power Price'!Q10</f>
        <v>2015</v>
      </c>
      <c r="R9" s="7">
        <f>'Power Price'!R10</f>
        <v>2016</v>
      </c>
      <c r="S9" s="7">
        <f>'Power Price'!S10</f>
        <v>2017</v>
      </c>
    </row>
    <row r="10" spans="1:19">
      <c r="A10" s="173"/>
      <c r="B10" s="207">
        <f>Assum!B130</f>
        <v>36647</v>
      </c>
      <c r="C10" s="207">
        <f>IS!C8</f>
        <v>37256</v>
      </c>
      <c r="D10" s="207">
        <f>IS!D8</f>
        <v>37621</v>
      </c>
      <c r="E10" s="207">
        <f>IS!E8</f>
        <v>37986</v>
      </c>
      <c r="F10" s="207">
        <f>IS!F8</f>
        <v>38352</v>
      </c>
      <c r="G10" s="207">
        <f>IS!G8</f>
        <v>38717</v>
      </c>
      <c r="H10" s="207">
        <f>IS!H8</f>
        <v>39082</v>
      </c>
      <c r="I10" s="207">
        <f>IS!I8</f>
        <v>39447</v>
      </c>
      <c r="J10" s="207">
        <f>IS!J8</f>
        <v>39813</v>
      </c>
      <c r="K10" s="207">
        <f>IS!K8</f>
        <v>40178</v>
      </c>
      <c r="L10" s="207">
        <f>IS!L8</f>
        <v>40543</v>
      </c>
      <c r="M10" s="207">
        <f>IS!M8</f>
        <v>40908</v>
      </c>
      <c r="N10" s="207">
        <f>IS!N8</f>
        <v>41274</v>
      </c>
      <c r="O10" s="207">
        <f>IS!O8</f>
        <v>41639</v>
      </c>
      <c r="P10" s="207">
        <f>IS!P8</f>
        <v>42004</v>
      </c>
      <c r="Q10" s="207">
        <f>IS!Q8</f>
        <v>42369</v>
      </c>
      <c r="R10" s="207">
        <f>IS!R8</f>
        <v>42735</v>
      </c>
      <c r="S10" s="207">
        <f>IS!S8</f>
        <v>43100</v>
      </c>
    </row>
    <row r="11" spans="1:19">
      <c r="A11" s="2"/>
      <c r="B11" s="2"/>
      <c r="C11" s="9"/>
      <c r="D11" s="9"/>
      <c r="E11" s="9"/>
      <c r="F11" s="9"/>
      <c r="G11" s="9"/>
      <c r="H11" s="9"/>
      <c r="I11" s="238"/>
      <c r="J11" s="238"/>
      <c r="K11" s="239"/>
      <c r="L11" s="239"/>
      <c r="M11" s="238"/>
      <c r="N11" s="238"/>
      <c r="O11" s="9"/>
      <c r="P11" s="9"/>
      <c r="Q11" s="9"/>
      <c r="R11" s="9"/>
      <c r="S11" s="9"/>
    </row>
    <row r="12" spans="1:19">
      <c r="A12" s="10" t="s">
        <v>1016</v>
      </c>
      <c r="B12" s="89">
        <v>0</v>
      </c>
      <c r="C12" s="89">
        <f ca="1">IS!C66</f>
        <v>9045.6077646456088</v>
      </c>
      <c r="D12" s="89">
        <f ca="1">IS!D66</f>
        <v>15475.282424412293</v>
      </c>
      <c r="E12" s="89">
        <f ca="1">IS!E66</f>
        <v>15445.261579780281</v>
      </c>
      <c r="F12" s="89">
        <f ca="1">IS!F66</f>
        <v>15413.587646116757</v>
      </c>
      <c r="G12" s="89">
        <f ca="1">IS!G66</f>
        <v>15380.267990831486</v>
      </c>
      <c r="H12" s="89">
        <f ca="1">IS!H66</f>
        <v>15345.504926369997</v>
      </c>
      <c r="I12" s="89">
        <f ca="1">IS!I66</f>
        <v>15309.271802450894</v>
      </c>
      <c r="J12" s="89">
        <f ca="1">IS!J66</f>
        <v>15271.714837750125</v>
      </c>
      <c r="K12" s="89">
        <f ca="1">IS!K66</f>
        <v>15232.704639052812</v>
      </c>
      <c r="L12" s="89">
        <f ca="1">IS!L66</f>
        <v>15192.199082263758</v>
      </c>
      <c r="M12" s="89">
        <f ca="1">IS!M66</f>
        <v>15146.91158069065</v>
      </c>
      <c r="N12" s="89">
        <f ca="1">IS!N66</f>
        <v>15099.849012430426</v>
      </c>
      <c r="O12" s="89">
        <f ca="1">IS!O66</f>
        <v>15050.523299033706</v>
      </c>
      <c r="P12" s="89">
        <f ca="1">IS!P66</f>
        <v>14998.755855235695</v>
      </c>
      <c r="Q12" s="89">
        <f ca="1">IS!Q66</f>
        <v>14947.482903990138</v>
      </c>
      <c r="R12" s="89">
        <f ca="1">IS!R66</f>
        <v>14891.703752489528</v>
      </c>
      <c r="S12" s="89">
        <f ca="1">IS!S66</f>
        <v>14831.452360610943</v>
      </c>
    </row>
    <row r="13" spans="1:19"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</row>
    <row r="14" spans="1:19">
      <c r="A14" s="11" t="s">
        <v>1078</v>
      </c>
      <c r="B14" s="328">
        <v>0</v>
      </c>
      <c r="C14" s="328">
        <f>Debt!C83</f>
        <v>0</v>
      </c>
      <c r="D14" s="328">
        <f>Debt!D83</f>
        <v>0</v>
      </c>
      <c r="E14" s="328">
        <f>Debt!E83</f>
        <v>0</v>
      </c>
      <c r="F14" s="328">
        <f>Debt!F83</f>
        <v>0</v>
      </c>
      <c r="G14" s="328">
        <f>Debt!G83</f>
        <v>0</v>
      </c>
      <c r="H14" s="328">
        <f>Debt!H83</f>
        <v>0</v>
      </c>
      <c r="I14" s="328">
        <f>Debt!I83</f>
        <v>0</v>
      </c>
      <c r="J14" s="328">
        <f>Debt!J83</f>
        <v>0</v>
      </c>
      <c r="K14" s="328">
        <f>Debt!K83</f>
        <v>0</v>
      </c>
      <c r="L14" s="328">
        <f>Debt!L83</f>
        <v>0</v>
      </c>
      <c r="M14" s="328">
        <f>Debt!M83</f>
        <v>0</v>
      </c>
      <c r="N14" s="328">
        <f>Debt!N83</f>
        <v>0</v>
      </c>
      <c r="O14" s="328">
        <f>Debt!O83</f>
        <v>0</v>
      </c>
      <c r="P14" s="328">
        <f>Debt!P83</f>
        <v>0</v>
      </c>
      <c r="Q14" s="328">
        <f>Debt!Q83</f>
        <v>0</v>
      </c>
      <c r="R14" s="328">
        <f>Debt!R83</f>
        <v>0</v>
      </c>
      <c r="S14" s="328">
        <f>Debt!S83</f>
        <v>0</v>
      </c>
    </row>
    <row r="15" spans="1:19">
      <c r="A15" s="11" t="s">
        <v>1076</v>
      </c>
      <c r="B15" s="328">
        <v>0</v>
      </c>
      <c r="C15" s="243">
        <f>-Debt!C88</f>
        <v>0</v>
      </c>
      <c r="D15" s="243">
        <f ca="1">-Debt!D88</f>
        <v>0</v>
      </c>
      <c r="E15" s="243">
        <f ca="1">-Debt!E88</f>
        <v>0</v>
      </c>
      <c r="F15" s="243">
        <f ca="1">-Debt!F88</f>
        <v>0</v>
      </c>
      <c r="G15" s="243">
        <f ca="1">-Debt!G88</f>
        <v>0</v>
      </c>
      <c r="H15" s="243">
        <f ca="1">-Debt!H88</f>
        <v>0</v>
      </c>
      <c r="I15" s="243">
        <f ca="1">-Debt!I88</f>
        <v>0</v>
      </c>
      <c r="J15" s="243">
        <f ca="1">-Debt!J88</f>
        <v>0</v>
      </c>
      <c r="K15" s="243">
        <f ca="1">-Debt!K88</f>
        <v>0</v>
      </c>
      <c r="L15" s="243">
        <f ca="1">-Debt!L88</f>
        <v>0</v>
      </c>
      <c r="M15" s="243">
        <f ca="1">-Debt!M88</f>
        <v>0</v>
      </c>
      <c r="N15" s="243">
        <f ca="1">-Debt!N88</f>
        <v>0</v>
      </c>
      <c r="O15" s="243">
        <f ca="1">-Debt!O88</f>
        <v>0</v>
      </c>
      <c r="P15" s="243">
        <f ca="1">-Debt!P88</f>
        <v>0</v>
      </c>
      <c r="Q15" s="243">
        <f ca="1">-Debt!Q88</f>
        <v>0</v>
      </c>
      <c r="R15" s="243">
        <f ca="1">-Debt!R88</f>
        <v>0</v>
      </c>
      <c r="S15" s="243">
        <f>-Debt!S88</f>
        <v>0</v>
      </c>
    </row>
    <row r="16" spans="1:19">
      <c r="A16" s="11" t="s">
        <v>1075</v>
      </c>
      <c r="B16" s="115">
        <v>0</v>
      </c>
      <c r="C16" s="115">
        <f>-Debt!C87</f>
        <v>0</v>
      </c>
      <c r="D16" s="115">
        <f ca="1">-Debt!D87</f>
        <v>0</v>
      </c>
      <c r="E16" s="115">
        <f ca="1">-Debt!E87</f>
        <v>0</v>
      </c>
      <c r="F16" s="115">
        <f ca="1">-Debt!F87</f>
        <v>0</v>
      </c>
      <c r="G16" s="115">
        <f ca="1">-Debt!G87</f>
        <v>0</v>
      </c>
      <c r="H16" s="115">
        <f ca="1">-Debt!H87</f>
        <v>0</v>
      </c>
      <c r="I16" s="115">
        <f ca="1">-Debt!I87</f>
        <v>0</v>
      </c>
      <c r="J16" s="115">
        <f ca="1">-Debt!J87</f>
        <v>0</v>
      </c>
      <c r="K16" s="115">
        <f ca="1">-Debt!K87</f>
        <v>0</v>
      </c>
      <c r="L16" s="115">
        <f ca="1">-Debt!L87</f>
        <v>0</v>
      </c>
      <c r="M16" s="115">
        <f ca="1">-Debt!M87</f>
        <v>0</v>
      </c>
      <c r="N16" s="115">
        <f ca="1">-Debt!N87</f>
        <v>0</v>
      </c>
      <c r="O16" s="115">
        <f ca="1">-Debt!O87</f>
        <v>0</v>
      </c>
      <c r="P16" s="115">
        <f ca="1">-Debt!P87</f>
        <v>0</v>
      </c>
      <c r="Q16" s="115">
        <f ca="1">-Debt!Q87</f>
        <v>0</v>
      </c>
      <c r="R16" s="115">
        <f ca="1">-Debt!R87</f>
        <v>0</v>
      </c>
      <c r="S16" s="115">
        <f ca="1">-Debt!S87</f>
        <v>0</v>
      </c>
    </row>
    <row r="17" spans="1:28">
      <c r="A17" s="11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</row>
    <row r="18" spans="1:28">
      <c r="A18" s="10" t="s">
        <v>1023</v>
      </c>
      <c r="B18" s="329">
        <v>0</v>
      </c>
      <c r="C18" s="329">
        <f t="shared" ref="C18:S18" ca="1" si="0">SUM(C12:C16)</f>
        <v>9045.6077646456088</v>
      </c>
      <c r="D18" s="153">
        <f t="shared" ca="1" si="0"/>
        <v>15475.282424412293</v>
      </c>
      <c r="E18" s="153">
        <f t="shared" ca="1" si="0"/>
        <v>15445.261579780281</v>
      </c>
      <c r="F18" s="153">
        <f t="shared" ca="1" si="0"/>
        <v>15413.587646116757</v>
      </c>
      <c r="G18" s="153">
        <f t="shared" ca="1" si="0"/>
        <v>15380.267990831486</v>
      </c>
      <c r="H18" s="153">
        <f t="shared" ca="1" si="0"/>
        <v>15345.504926369997</v>
      </c>
      <c r="I18" s="153">
        <f t="shared" ca="1" si="0"/>
        <v>15309.271802450894</v>
      </c>
      <c r="J18" s="153">
        <f t="shared" ca="1" si="0"/>
        <v>15271.714837750125</v>
      </c>
      <c r="K18" s="153">
        <f t="shared" ca="1" si="0"/>
        <v>15232.704639052812</v>
      </c>
      <c r="L18" s="153">
        <f t="shared" ca="1" si="0"/>
        <v>15192.199082263758</v>
      </c>
      <c r="M18" s="153">
        <f t="shared" ca="1" si="0"/>
        <v>15146.91158069065</v>
      </c>
      <c r="N18" s="153">
        <f t="shared" ca="1" si="0"/>
        <v>15099.849012430426</v>
      </c>
      <c r="O18" s="153">
        <f t="shared" ca="1" si="0"/>
        <v>15050.523299033706</v>
      </c>
      <c r="P18" s="153">
        <f t="shared" ca="1" si="0"/>
        <v>14998.755855235695</v>
      </c>
      <c r="Q18" s="153">
        <f t="shared" ca="1" si="0"/>
        <v>14947.482903990138</v>
      </c>
      <c r="R18" s="153">
        <f t="shared" ca="1" si="0"/>
        <v>14891.703752489528</v>
      </c>
      <c r="S18" s="153">
        <f t="shared" ca="1" si="0"/>
        <v>14831.452360610943</v>
      </c>
    </row>
    <row r="19" spans="1:28">
      <c r="A19" s="10"/>
      <c r="B19" s="89"/>
      <c r="C19" s="89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</row>
    <row r="20" spans="1:28">
      <c r="A20" s="3" t="s">
        <v>1186</v>
      </c>
      <c r="B20" s="89">
        <v>0</v>
      </c>
      <c r="C20" s="100">
        <f ca="1">-Taxes!B35</f>
        <v>-145.86419052447778</v>
      </c>
      <c r="D20" s="100">
        <f ca="1">-Taxes!C35</f>
        <v>-154.26542881635649</v>
      </c>
      <c r="E20" s="100">
        <f ca="1">-Taxes!D35</f>
        <v>-247.79591709742252</v>
      </c>
      <c r="F20" s="100">
        <f ca="1">-Taxes!E35</f>
        <v>-331.13550464648466</v>
      </c>
      <c r="G20" s="100">
        <f ca="1">-Taxes!F35</f>
        <v>-406.29916223147205</v>
      </c>
      <c r="H20" s="100">
        <f ca="1">-Taxes!G35</f>
        <v>-474.30863677992795</v>
      </c>
      <c r="I20" s="100">
        <f ca="1">-Taxes!H35</f>
        <v>-504.94538798302352</v>
      </c>
      <c r="J20" s="100">
        <f ca="1">-Taxes!I35</f>
        <v>-501.2415770235541</v>
      </c>
      <c r="K20" s="100">
        <f ca="1">-Taxes!J35</f>
        <v>-499.44786565104124</v>
      </c>
      <c r="L20" s="100">
        <f ca="1">-Taxes!K35</f>
        <v>-495.53234577963292</v>
      </c>
      <c r="M20" s="100">
        <f ca="1">-Taxes!L35</f>
        <v>-497.69061221622735</v>
      </c>
      <c r="N20" s="100">
        <f ca="1">-Taxes!M35</f>
        <v>-502.10967523236792</v>
      </c>
      <c r="O20" s="100">
        <f ca="1">-Taxes!N35</f>
        <v>-508.38068621561649</v>
      </c>
      <c r="P20" s="100">
        <f ca="1">-Taxes!O35</f>
        <v>-512.46193916814389</v>
      </c>
      <c r="Q20" s="100">
        <f ca="1">-Taxes!P35</f>
        <v>-496.57969769589891</v>
      </c>
      <c r="R20" s="100">
        <f ca="1">-Taxes!Q35</f>
        <v>-772.09416571227268</v>
      </c>
      <c r="S20" s="100">
        <f ca="1">-Taxes!R35</f>
        <v>-1064.8982794918659</v>
      </c>
    </row>
    <row r="21" spans="1:28">
      <c r="A21" s="3" t="s">
        <v>1187</v>
      </c>
      <c r="B21" s="154">
        <v>0</v>
      </c>
      <c r="C21" s="154">
        <f ca="1">-Taxes!B51</f>
        <v>-659.98467375608766</v>
      </c>
      <c r="D21" s="154">
        <f ca="1">-Taxes!C51</f>
        <v>-697.99735180459231</v>
      </c>
      <c r="E21" s="154">
        <f ca="1">-Taxes!D51</f>
        <v>-1121.1902449504128</v>
      </c>
      <c r="F21" s="154">
        <f ca="1">-Taxes!E51</f>
        <v>-1498.2728606476805</v>
      </c>
      <c r="G21" s="154">
        <f ca="1">-Taxes!F51</f>
        <v>-1838.3622400297816</v>
      </c>
      <c r="H21" s="154">
        <f ca="1">-Taxes!G51</f>
        <v>-2146.0814321823841</v>
      </c>
      <c r="I21" s="154">
        <f ca="1">-Taxes!H51</f>
        <v>-2284.7020639839111</v>
      </c>
      <c r="J21" s="154">
        <f ca="1">-Taxes!I51</f>
        <v>-2267.9436090200838</v>
      </c>
      <c r="K21" s="154">
        <f ca="1">-Taxes!J51</f>
        <v>-2259.8276896107764</v>
      </c>
      <c r="L21" s="154">
        <f ca="1">-Taxes!K51</f>
        <v>-2242.1113255352275</v>
      </c>
      <c r="M21" s="154">
        <f ca="1">-Taxes!L51</f>
        <v>-2251.8767296752894</v>
      </c>
      <c r="N21" s="154">
        <f ca="1">-Taxes!M51</f>
        <v>-2271.8714511523585</v>
      </c>
      <c r="O21" s="154">
        <f ca="1">-Taxes!N51</f>
        <v>-2300.2455923519124</v>
      </c>
      <c r="P21" s="154">
        <f ca="1">-Taxes!O51</f>
        <v>-2318.7118409130208</v>
      </c>
      <c r="Q21" s="154">
        <f ca="1">-Taxes!P51</f>
        <v>-2246.8502282794798</v>
      </c>
      <c r="R21" s="154">
        <f ca="1">-Taxes!Q51</f>
        <v>-3493.4572648321168</v>
      </c>
      <c r="S21" s="154">
        <f ca="1">-Taxes!R51</f>
        <v>-4818.2939283916767</v>
      </c>
    </row>
    <row r="22" spans="1:28">
      <c r="A22" s="11"/>
      <c r="B22" s="330"/>
      <c r="C22" s="330"/>
      <c r="D22" s="330"/>
      <c r="E22" s="330"/>
      <c r="F22" s="330"/>
      <c r="G22" s="330"/>
      <c r="H22" s="330"/>
      <c r="I22" s="330"/>
      <c r="J22" s="330"/>
      <c r="K22" s="330"/>
      <c r="L22" s="330"/>
      <c r="M22" s="330"/>
      <c r="N22" s="330"/>
      <c r="O22" s="330"/>
      <c r="P22" s="330"/>
      <c r="Q22" s="330"/>
      <c r="R22" s="330"/>
      <c r="S22" s="330"/>
    </row>
    <row r="23" spans="1:28" s="13" customFormat="1">
      <c r="A23" s="10" t="s">
        <v>1024</v>
      </c>
      <c r="B23" s="329">
        <v>0</v>
      </c>
      <c r="C23" s="329">
        <f t="shared" ref="C23:S23" ca="1" si="1">C18+C21+C20</f>
        <v>8239.7589003650428</v>
      </c>
      <c r="D23" s="329">
        <f t="shared" ca="1" si="1"/>
        <v>14623.019643791346</v>
      </c>
      <c r="E23" s="329">
        <f t="shared" ca="1" si="1"/>
        <v>14076.275417732446</v>
      </c>
      <c r="F23" s="329">
        <f t="shared" ca="1" si="1"/>
        <v>13584.179280822591</v>
      </c>
      <c r="G23" s="329">
        <f t="shared" ca="1" si="1"/>
        <v>13135.606588570234</v>
      </c>
      <c r="H23" s="329">
        <f t="shared" ca="1" si="1"/>
        <v>12725.114857407685</v>
      </c>
      <c r="I23" s="329">
        <f t="shared" ca="1" si="1"/>
        <v>12519.62435048396</v>
      </c>
      <c r="J23" s="329">
        <f t="shared" ca="1" si="1"/>
        <v>12502.529651706487</v>
      </c>
      <c r="K23" s="329">
        <f t="shared" ca="1" si="1"/>
        <v>12473.429083790994</v>
      </c>
      <c r="L23" s="329">
        <f t="shared" ca="1" si="1"/>
        <v>12454.555410948898</v>
      </c>
      <c r="M23" s="329">
        <f t="shared" ca="1" si="1"/>
        <v>12397.344238799133</v>
      </c>
      <c r="N23" s="329">
        <f t="shared" ca="1" si="1"/>
        <v>12325.8678860457</v>
      </c>
      <c r="O23" s="329">
        <f t="shared" ca="1" si="1"/>
        <v>12241.897020466178</v>
      </c>
      <c r="P23" s="329">
        <f t="shared" ca="1" si="1"/>
        <v>12167.582075154529</v>
      </c>
      <c r="Q23" s="329">
        <f t="shared" ca="1" si="1"/>
        <v>12204.052978014759</v>
      </c>
      <c r="R23" s="329">
        <f t="shared" ca="1" si="1"/>
        <v>10626.152321945137</v>
      </c>
      <c r="S23" s="329">
        <f t="shared" ca="1" si="1"/>
        <v>8948.2601527274001</v>
      </c>
    </row>
    <row r="24" spans="1:28">
      <c r="A24" s="11"/>
      <c r="B24" s="89"/>
      <c r="C24" s="89"/>
      <c r="D24" s="330"/>
      <c r="E24" s="330"/>
      <c r="F24" s="330"/>
      <c r="G24" s="330"/>
      <c r="H24" s="330"/>
      <c r="I24" s="330"/>
      <c r="J24" s="330"/>
      <c r="K24" s="330"/>
      <c r="L24" s="330"/>
      <c r="M24" s="330"/>
      <c r="N24" s="330"/>
      <c r="O24" s="330"/>
      <c r="P24" s="330"/>
      <c r="Q24" s="330"/>
      <c r="R24" s="330"/>
      <c r="S24" s="330"/>
    </row>
    <row r="25" spans="1:28">
      <c r="A25" s="58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</row>
    <row r="26" spans="1:28" ht="18.75" outlineLevel="1">
      <c r="A26" s="126" t="s">
        <v>1025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</row>
    <row r="27" spans="1:28" outlineLevel="1"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</row>
    <row r="28" spans="1:28" ht="13.5" outlineLevel="1" thickBot="1">
      <c r="A28" s="151" t="s">
        <v>1011</v>
      </c>
      <c r="B28" s="7">
        <f t="shared" ref="B28:S28" si="2">B9</f>
        <v>2000</v>
      </c>
      <c r="C28" s="7">
        <f t="shared" si="2"/>
        <v>2001</v>
      </c>
      <c r="D28" s="7">
        <f t="shared" si="2"/>
        <v>2002</v>
      </c>
      <c r="E28" s="7">
        <f t="shared" si="2"/>
        <v>2003</v>
      </c>
      <c r="F28" s="7">
        <f t="shared" si="2"/>
        <v>2004</v>
      </c>
      <c r="G28" s="7">
        <f t="shared" si="2"/>
        <v>2005</v>
      </c>
      <c r="H28" s="7">
        <f t="shared" si="2"/>
        <v>2006</v>
      </c>
      <c r="I28" s="7">
        <f t="shared" si="2"/>
        <v>2007</v>
      </c>
      <c r="J28" s="7">
        <f t="shared" si="2"/>
        <v>2008</v>
      </c>
      <c r="K28" s="7">
        <f t="shared" si="2"/>
        <v>2009</v>
      </c>
      <c r="L28" s="7">
        <f t="shared" si="2"/>
        <v>2010</v>
      </c>
      <c r="M28" s="7">
        <f t="shared" si="2"/>
        <v>2011</v>
      </c>
      <c r="N28" s="7">
        <f t="shared" si="2"/>
        <v>2012</v>
      </c>
      <c r="O28" s="7">
        <f t="shared" si="2"/>
        <v>2013</v>
      </c>
      <c r="P28" s="7">
        <f t="shared" si="2"/>
        <v>2014</v>
      </c>
      <c r="Q28" s="7">
        <f t="shared" si="2"/>
        <v>2015</v>
      </c>
      <c r="R28" s="7">
        <f t="shared" si="2"/>
        <v>2016</v>
      </c>
      <c r="S28" s="7">
        <f t="shared" si="2"/>
        <v>2017</v>
      </c>
      <c r="T28" s="7">
        <f>IS!T7</f>
        <v>2018</v>
      </c>
      <c r="U28" s="7">
        <f>IS!U7</f>
        <v>2019</v>
      </c>
      <c r="V28" s="7">
        <f>IS!V7</f>
        <v>2020</v>
      </c>
      <c r="W28" s="7">
        <f>IS!W7</f>
        <v>2021</v>
      </c>
      <c r="X28" s="7">
        <f>IS!X7</f>
        <v>2022</v>
      </c>
      <c r="Y28" s="7">
        <f>IS!Y7</f>
        <v>2023</v>
      </c>
      <c r="Z28" s="7">
        <f>IS!Z7</f>
        <v>2024</v>
      </c>
      <c r="AA28" s="7">
        <f>IS!AA7</f>
        <v>2025</v>
      </c>
      <c r="AB28" s="7">
        <f>IS!AB7</f>
        <v>2026</v>
      </c>
    </row>
    <row r="29" spans="1:28" ht="14.25" customHeight="1" outlineLevel="1">
      <c r="A29" s="155"/>
      <c r="B29" s="236">
        <f>B10</f>
        <v>36647</v>
      </c>
      <c r="C29" s="313">
        <f>IS!C8</f>
        <v>37256</v>
      </c>
      <c r="D29" s="313">
        <f>IS!D8</f>
        <v>37621</v>
      </c>
      <c r="E29" s="313">
        <f>IS!E8</f>
        <v>37986</v>
      </c>
      <c r="F29" s="313">
        <f>IS!F8</f>
        <v>38352</v>
      </c>
      <c r="G29" s="313">
        <f>IS!G8</f>
        <v>38717</v>
      </c>
      <c r="H29" s="313">
        <f>IS!H8</f>
        <v>39082</v>
      </c>
      <c r="I29" s="313">
        <f>IS!I8</f>
        <v>39447</v>
      </c>
      <c r="J29" s="313">
        <f>IS!J8</f>
        <v>39813</v>
      </c>
      <c r="K29" s="313">
        <f>IS!K8</f>
        <v>40178</v>
      </c>
      <c r="L29" s="313">
        <f>IS!L8</f>
        <v>40543</v>
      </c>
      <c r="M29" s="313">
        <f>IS!M8</f>
        <v>40908</v>
      </c>
      <c r="N29" s="313">
        <f>IS!N8</f>
        <v>41274</v>
      </c>
      <c r="O29" s="313">
        <f>IS!O8</f>
        <v>41639</v>
      </c>
      <c r="P29" s="313">
        <f>IS!P8</f>
        <v>42004</v>
      </c>
      <c r="Q29" s="313">
        <f>IS!Q8</f>
        <v>42369</v>
      </c>
      <c r="R29" s="313">
        <f>IS!R8</f>
        <v>42735</v>
      </c>
      <c r="S29" s="313">
        <f>IS!S8</f>
        <v>43100</v>
      </c>
      <c r="T29" s="313">
        <f>IS!T8</f>
        <v>43465</v>
      </c>
      <c r="U29" s="313">
        <f>IS!U8</f>
        <v>43830</v>
      </c>
      <c r="V29" s="313">
        <f>IS!V8</f>
        <v>44196</v>
      </c>
      <c r="W29" s="313">
        <f>IS!W8</f>
        <v>44561</v>
      </c>
      <c r="X29" s="313">
        <f>IS!X8</f>
        <v>44926</v>
      </c>
      <c r="Y29" s="313">
        <f>IS!Y8</f>
        <v>45291</v>
      </c>
      <c r="Z29" s="313">
        <f>IS!Z8</f>
        <v>45657</v>
      </c>
      <c r="AA29" s="313">
        <f>IS!AA8</f>
        <v>46022</v>
      </c>
      <c r="AB29" s="313">
        <f>IS!AB8</f>
        <v>46387</v>
      </c>
    </row>
    <row r="30" spans="1:28" outlineLevel="1">
      <c r="A30" s="58"/>
      <c r="J30" s="47"/>
    </row>
    <row r="31" spans="1:28" outlineLevel="1">
      <c r="A31" s="1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</row>
    <row r="32" spans="1:28" outlineLevel="1">
      <c r="A32" s="99" t="s">
        <v>1026</v>
      </c>
      <c r="B32" s="329">
        <f ca="1">-Assum!$B$131*Assum!C10</f>
        <v>0</v>
      </c>
      <c r="C32" s="329">
        <v>0</v>
      </c>
      <c r="D32" s="329">
        <v>0</v>
      </c>
      <c r="E32" s="329">
        <v>0</v>
      </c>
      <c r="F32" s="329">
        <v>0</v>
      </c>
      <c r="G32" s="329">
        <v>0</v>
      </c>
      <c r="H32" s="329">
        <v>0</v>
      </c>
      <c r="I32" s="329">
        <v>0</v>
      </c>
      <c r="J32" s="329">
        <v>0</v>
      </c>
      <c r="K32" s="329">
        <v>0</v>
      </c>
      <c r="L32" s="329">
        <v>0</v>
      </c>
      <c r="M32" s="329">
        <v>0</v>
      </c>
      <c r="N32" s="329">
        <v>0</v>
      </c>
      <c r="O32" s="329">
        <v>0</v>
      </c>
      <c r="P32" s="329">
        <v>0</v>
      </c>
      <c r="Q32" s="329">
        <v>0</v>
      </c>
      <c r="R32" s="329">
        <v>0</v>
      </c>
      <c r="S32" s="329">
        <v>0</v>
      </c>
    </row>
    <row r="33" spans="1:28" outlineLevel="1">
      <c r="A33" s="99"/>
      <c r="B33" s="243"/>
      <c r="C33" s="243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</row>
    <row r="34" spans="1:28" outlineLevel="1">
      <c r="A34" s="54"/>
      <c r="B34" s="331"/>
      <c r="C34" s="331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</row>
    <row r="35" spans="1:28" outlineLevel="1">
      <c r="A35" s="58" t="s">
        <v>1120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</row>
    <row r="36" spans="1:28" outlineLevel="1">
      <c r="A36" s="14" t="s">
        <v>1183</v>
      </c>
      <c r="B36" s="100">
        <f ca="1">B32</f>
        <v>0</v>
      </c>
      <c r="C36" s="100">
        <f ca="1">Assum!$B$131*C104</f>
        <v>0</v>
      </c>
      <c r="D36" s="100">
        <f ca="1">Assum!$B$131*D104</f>
        <v>0</v>
      </c>
      <c r="E36" s="100">
        <f ca="1">Assum!$B$131*E104</f>
        <v>0</v>
      </c>
      <c r="F36" s="100">
        <f ca="1">Assum!$B$131*F104</f>
        <v>0</v>
      </c>
      <c r="G36" s="100">
        <f ca="1">Assum!$B$131*G104</f>
        <v>0</v>
      </c>
      <c r="H36" s="100">
        <f ca="1">Assum!$B$131*H104</f>
        <v>0</v>
      </c>
      <c r="I36" s="100">
        <f ca="1">Assum!$B$131*I104</f>
        <v>0</v>
      </c>
      <c r="J36" s="100">
        <f ca="1">Assum!$B$131*J104</f>
        <v>0</v>
      </c>
      <c r="K36" s="100">
        <f ca="1">Assum!$B$131*K104</f>
        <v>0</v>
      </c>
      <c r="L36" s="100">
        <f ca="1">Assum!$B$131*L104</f>
        <v>0</v>
      </c>
      <c r="M36" s="100">
        <f ca="1">Assum!$B$131*M104</f>
        <v>0</v>
      </c>
      <c r="N36" s="100">
        <f ca="1">Assum!$B$131*N104</f>
        <v>0</v>
      </c>
      <c r="O36" s="100">
        <f ca="1">Assum!$B$131*O104</f>
        <v>0</v>
      </c>
      <c r="P36" s="100">
        <f ca="1">Assum!$B$131*P104</f>
        <v>0</v>
      </c>
      <c r="Q36" s="100">
        <f ca="1">Assum!$B$131*Q104</f>
        <v>0</v>
      </c>
      <c r="R36" s="100">
        <f ca="1">Assum!$B$131*R104</f>
        <v>0</v>
      </c>
      <c r="S36" s="100">
        <f ca="1">Assum!$B$131*S104</f>
        <v>0</v>
      </c>
    </row>
    <row r="37" spans="1:28" outlineLevel="1">
      <c r="A37" s="14" t="s">
        <v>952</v>
      </c>
      <c r="B37" s="290" t="e">
        <f ca="1">XIRR(B36:S36,B29:S29)</f>
        <v>#NUM!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1:28" outlineLevel="1"/>
    <row r="39" spans="1:28" outlineLevel="1">
      <c r="A39" s="58" t="s">
        <v>1164</v>
      </c>
    </row>
    <row r="40" spans="1:28" outlineLevel="1">
      <c r="A40" s="14" t="s">
        <v>1183</v>
      </c>
      <c r="B40" s="100">
        <f t="shared" ref="B40:S40" ca="1" si="3">B36</f>
        <v>0</v>
      </c>
      <c r="C40" s="100">
        <f t="shared" ca="1" si="3"/>
        <v>0</v>
      </c>
      <c r="D40" s="100">
        <f t="shared" ca="1" si="3"/>
        <v>0</v>
      </c>
      <c r="E40" s="100">
        <f t="shared" ca="1" si="3"/>
        <v>0</v>
      </c>
      <c r="F40" s="100">
        <f t="shared" ca="1" si="3"/>
        <v>0</v>
      </c>
      <c r="G40" s="100">
        <f t="shared" ca="1" si="3"/>
        <v>0</v>
      </c>
      <c r="H40" s="100">
        <f t="shared" ca="1" si="3"/>
        <v>0</v>
      </c>
      <c r="I40" s="100">
        <f t="shared" ca="1" si="3"/>
        <v>0</v>
      </c>
      <c r="J40" s="100">
        <f t="shared" ca="1" si="3"/>
        <v>0</v>
      </c>
      <c r="K40" s="100">
        <f t="shared" ca="1" si="3"/>
        <v>0</v>
      </c>
      <c r="L40" s="100">
        <f t="shared" ca="1" si="3"/>
        <v>0</v>
      </c>
      <c r="M40" s="100">
        <f t="shared" ca="1" si="3"/>
        <v>0</v>
      </c>
      <c r="N40" s="100">
        <f t="shared" ca="1" si="3"/>
        <v>0</v>
      </c>
      <c r="O40" s="100">
        <f t="shared" ca="1" si="3"/>
        <v>0</v>
      </c>
      <c r="P40" s="100">
        <f t="shared" ca="1" si="3"/>
        <v>0</v>
      </c>
      <c r="Q40" s="100">
        <f t="shared" ca="1" si="3"/>
        <v>0</v>
      </c>
      <c r="R40" s="100">
        <f t="shared" ca="1" si="3"/>
        <v>0</v>
      </c>
      <c r="S40" s="100">
        <f t="shared" ca="1" si="3"/>
        <v>0</v>
      </c>
    </row>
    <row r="41" spans="1:28" outlineLevel="1">
      <c r="A41" s="14" t="s">
        <v>1163</v>
      </c>
      <c r="B41" s="311">
        <v>0</v>
      </c>
      <c r="C41" s="311">
        <v>0</v>
      </c>
      <c r="D41" s="311">
        <v>0</v>
      </c>
      <c r="E41" s="311">
        <v>0</v>
      </c>
      <c r="F41" s="311">
        <v>0</v>
      </c>
      <c r="G41" s="311">
        <v>0</v>
      </c>
      <c r="H41" s="311">
        <v>0</v>
      </c>
      <c r="I41" s="311">
        <v>0</v>
      </c>
      <c r="J41" s="311">
        <v>0</v>
      </c>
      <c r="K41" s="311">
        <v>0</v>
      </c>
      <c r="L41" s="311">
        <v>0</v>
      </c>
      <c r="M41" s="311">
        <v>0</v>
      </c>
      <c r="N41" s="311">
        <v>0</v>
      </c>
      <c r="O41" s="311">
        <v>0</v>
      </c>
      <c r="P41" s="311">
        <v>0</v>
      </c>
      <c r="Q41" s="311">
        <v>0</v>
      </c>
      <c r="R41" s="311">
        <v>0</v>
      </c>
      <c r="S41" s="311">
        <v>0</v>
      </c>
    </row>
    <row r="42" spans="1:28" outlineLevel="1">
      <c r="A42" s="14" t="s">
        <v>1027</v>
      </c>
      <c r="B42" s="100">
        <f t="shared" ref="B42:S42" ca="1" si="4">B40+B41</f>
        <v>0</v>
      </c>
      <c r="C42" s="100">
        <f t="shared" ca="1" si="4"/>
        <v>0</v>
      </c>
      <c r="D42" s="100">
        <f t="shared" ca="1" si="4"/>
        <v>0</v>
      </c>
      <c r="E42" s="100">
        <f t="shared" ca="1" si="4"/>
        <v>0</v>
      </c>
      <c r="F42" s="100">
        <f t="shared" ca="1" si="4"/>
        <v>0</v>
      </c>
      <c r="G42" s="100">
        <f t="shared" ca="1" si="4"/>
        <v>0</v>
      </c>
      <c r="H42" s="100">
        <f t="shared" ca="1" si="4"/>
        <v>0</v>
      </c>
      <c r="I42" s="100">
        <f t="shared" ca="1" si="4"/>
        <v>0</v>
      </c>
      <c r="J42" s="100">
        <f t="shared" ca="1" si="4"/>
        <v>0</v>
      </c>
      <c r="K42" s="100">
        <f t="shared" ca="1" si="4"/>
        <v>0</v>
      </c>
      <c r="L42" s="100">
        <f t="shared" ca="1" si="4"/>
        <v>0</v>
      </c>
      <c r="M42" s="100">
        <f t="shared" ca="1" si="4"/>
        <v>0</v>
      </c>
      <c r="N42" s="100">
        <f t="shared" ca="1" si="4"/>
        <v>0</v>
      </c>
      <c r="O42" s="100">
        <f t="shared" ca="1" si="4"/>
        <v>0</v>
      </c>
      <c r="P42" s="100">
        <f t="shared" ca="1" si="4"/>
        <v>0</v>
      </c>
      <c r="Q42" s="100">
        <f t="shared" ca="1" si="4"/>
        <v>0</v>
      </c>
      <c r="R42" s="100">
        <f t="shared" ca="1" si="4"/>
        <v>0</v>
      </c>
      <c r="S42" s="100">
        <f t="shared" ca="1" si="4"/>
        <v>0</v>
      </c>
    </row>
    <row r="43" spans="1:28" outlineLevel="1">
      <c r="A43" s="46" t="s">
        <v>1028</v>
      </c>
      <c r="B43" s="290" t="e">
        <f ca="1">XIRR(B42:S42,B29:S29)</f>
        <v>#NUM!</v>
      </c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1:28" outlineLevel="1">
      <c r="A44" s="46"/>
    </row>
    <row r="46" spans="1:28" ht="18.75">
      <c r="A46" s="126" t="s">
        <v>1180</v>
      </c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8"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</row>
    <row r="48" spans="1:28" ht="13.5" thickBot="1">
      <c r="A48" s="151" t="s">
        <v>1011</v>
      </c>
      <c r="B48" s="7">
        <f t="shared" ref="B48:S48" si="5">B28</f>
        <v>2000</v>
      </c>
      <c r="C48" s="7">
        <f t="shared" si="5"/>
        <v>2001</v>
      </c>
      <c r="D48" s="7">
        <f t="shared" si="5"/>
        <v>2002</v>
      </c>
      <c r="E48" s="7">
        <f t="shared" si="5"/>
        <v>2003</v>
      </c>
      <c r="F48" s="7">
        <f t="shared" si="5"/>
        <v>2004</v>
      </c>
      <c r="G48" s="7">
        <f t="shared" si="5"/>
        <v>2005</v>
      </c>
      <c r="H48" s="7">
        <f t="shared" si="5"/>
        <v>2006</v>
      </c>
      <c r="I48" s="7">
        <f t="shared" si="5"/>
        <v>2007</v>
      </c>
      <c r="J48" s="7">
        <f t="shared" si="5"/>
        <v>2008</v>
      </c>
      <c r="K48" s="7">
        <f t="shared" si="5"/>
        <v>2009</v>
      </c>
      <c r="L48" s="7">
        <f t="shared" si="5"/>
        <v>2010</v>
      </c>
      <c r="M48" s="7">
        <f t="shared" si="5"/>
        <v>2011</v>
      </c>
      <c r="N48" s="7">
        <f t="shared" si="5"/>
        <v>2012</v>
      </c>
      <c r="O48" s="7">
        <f t="shared" si="5"/>
        <v>2013</v>
      </c>
      <c r="P48" s="7">
        <f t="shared" si="5"/>
        <v>2014</v>
      </c>
      <c r="Q48" s="7">
        <f t="shared" si="5"/>
        <v>2015</v>
      </c>
      <c r="R48" s="7">
        <f t="shared" si="5"/>
        <v>2016</v>
      </c>
      <c r="S48" s="7">
        <f t="shared" si="5"/>
        <v>2017</v>
      </c>
      <c r="T48" s="7">
        <f t="shared" ref="T48:AB48" si="6">T28</f>
        <v>2018</v>
      </c>
      <c r="U48" s="7">
        <f t="shared" si="6"/>
        <v>2019</v>
      </c>
      <c r="V48" s="7">
        <f t="shared" si="6"/>
        <v>2020</v>
      </c>
      <c r="W48" s="7">
        <f t="shared" si="6"/>
        <v>2021</v>
      </c>
      <c r="X48" s="7">
        <f t="shared" si="6"/>
        <v>2022</v>
      </c>
      <c r="Y48" s="7">
        <f t="shared" si="6"/>
        <v>2023</v>
      </c>
      <c r="Z48" s="7">
        <f t="shared" si="6"/>
        <v>2024</v>
      </c>
      <c r="AA48" s="7">
        <f t="shared" si="6"/>
        <v>2025</v>
      </c>
      <c r="AB48" s="7">
        <f t="shared" si="6"/>
        <v>2026</v>
      </c>
    </row>
    <row r="49" spans="1:28" ht="18.75">
      <c r="A49" s="155"/>
      <c r="B49" s="236">
        <f t="shared" ref="B49:S49" si="7">B29</f>
        <v>36647</v>
      </c>
      <c r="C49" s="236">
        <f t="shared" si="7"/>
        <v>37256</v>
      </c>
      <c r="D49" s="236">
        <f t="shared" si="7"/>
        <v>37621</v>
      </c>
      <c r="E49" s="236">
        <f t="shared" si="7"/>
        <v>37986</v>
      </c>
      <c r="F49" s="236">
        <f t="shared" si="7"/>
        <v>38352</v>
      </c>
      <c r="G49" s="236">
        <f t="shared" si="7"/>
        <v>38717</v>
      </c>
      <c r="H49" s="236">
        <f t="shared" si="7"/>
        <v>39082</v>
      </c>
      <c r="I49" s="236">
        <f t="shared" si="7"/>
        <v>39447</v>
      </c>
      <c r="J49" s="236">
        <f t="shared" si="7"/>
        <v>39813</v>
      </c>
      <c r="K49" s="236">
        <f t="shared" si="7"/>
        <v>40178</v>
      </c>
      <c r="L49" s="236">
        <f t="shared" si="7"/>
        <v>40543</v>
      </c>
      <c r="M49" s="236">
        <f t="shared" si="7"/>
        <v>40908</v>
      </c>
      <c r="N49" s="236">
        <f t="shared" si="7"/>
        <v>41274</v>
      </c>
      <c r="O49" s="236">
        <f t="shared" si="7"/>
        <v>41639</v>
      </c>
      <c r="P49" s="236">
        <f t="shared" si="7"/>
        <v>42004</v>
      </c>
      <c r="Q49" s="236">
        <f t="shared" si="7"/>
        <v>42369</v>
      </c>
      <c r="R49" s="236">
        <f t="shared" si="7"/>
        <v>42735</v>
      </c>
      <c r="S49" s="236">
        <f t="shared" si="7"/>
        <v>43100</v>
      </c>
      <c r="T49" s="236">
        <f t="shared" ref="T49:AB49" si="8">T29</f>
        <v>43465</v>
      </c>
      <c r="U49" s="236">
        <f t="shared" si="8"/>
        <v>43830</v>
      </c>
      <c r="V49" s="236">
        <f t="shared" si="8"/>
        <v>44196</v>
      </c>
      <c r="W49" s="236">
        <f t="shared" si="8"/>
        <v>44561</v>
      </c>
      <c r="X49" s="236">
        <f t="shared" si="8"/>
        <v>44926</v>
      </c>
      <c r="Y49" s="236">
        <f t="shared" si="8"/>
        <v>45291</v>
      </c>
      <c r="Z49" s="236">
        <f t="shared" si="8"/>
        <v>45657</v>
      </c>
      <c r="AA49" s="236">
        <f t="shared" si="8"/>
        <v>46022</v>
      </c>
      <c r="AB49" s="236">
        <f t="shared" si="8"/>
        <v>46387</v>
      </c>
    </row>
    <row r="50" spans="1:28">
      <c r="A50" s="58"/>
      <c r="J50" s="47"/>
    </row>
    <row r="51" spans="1:28">
      <c r="A51" s="1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28">
      <c r="A52" s="99" t="s">
        <v>1181</v>
      </c>
      <c r="B52" s="329">
        <f ca="1">-Assum!$B$132*Assum!C10</f>
        <v>-140281.46155350332</v>
      </c>
      <c r="C52" s="329">
        <v>0</v>
      </c>
      <c r="D52" s="329">
        <v>0</v>
      </c>
      <c r="E52" s="329">
        <v>0</v>
      </c>
      <c r="F52" s="329">
        <v>0</v>
      </c>
      <c r="G52" s="329">
        <v>0</v>
      </c>
      <c r="H52" s="329">
        <v>0</v>
      </c>
      <c r="I52" s="329">
        <v>0</v>
      </c>
      <c r="J52" s="329">
        <v>0</v>
      </c>
      <c r="K52" s="329">
        <v>0</v>
      </c>
      <c r="L52" s="329">
        <v>0</v>
      </c>
      <c r="M52" s="329">
        <v>0</v>
      </c>
      <c r="N52" s="329">
        <v>0</v>
      </c>
      <c r="O52" s="329">
        <v>0</v>
      </c>
      <c r="P52" s="329">
        <v>0</v>
      </c>
      <c r="Q52" s="329">
        <v>0</v>
      </c>
      <c r="R52" s="329">
        <v>0</v>
      </c>
      <c r="S52" s="329">
        <v>0</v>
      </c>
      <c r="T52" s="329">
        <v>0</v>
      </c>
      <c r="U52" s="329">
        <v>0</v>
      </c>
      <c r="V52" s="329">
        <v>0</v>
      </c>
      <c r="W52" s="329">
        <v>0</v>
      </c>
      <c r="X52" s="329">
        <v>0</v>
      </c>
      <c r="Y52" s="329">
        <v>0</v>
      </c>
      <c r="Z52" s="329">
        <v>0</v>
      </c>
      <c r="AA52" s="329">
        <v>0</v>
      </c>
      <c r="AB52" s="329">
        <v>0</v>
      </c>
    </row>
    <row r="53" spans="1:28">
      <c r="A53" s="99"/>
      <c r="B53" s="243"/>
      <c r="C53" s="243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28">
      <c r="A54" s="54"/>
      <c r="B54" s="331"/>
      <c r="C54" s="331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28">
      <c r="A55" s="58" t="s">
        <v>1182</v>
      </c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28">
      <c r="A56" s="14" t="s">
        <v>1183</v>
      </c>
      <c r="B56" s="100">
        <f ca="1">B52</f>
        <v>-140281.46155350332</v>
      </c>
      <c r="C56" s="100">
        <f ca="1">-C104*Assum!$B$132</f>
        <v>8738.4647827046592</v>
      </c>
      <c r="D56" s="100">
        <f ca="1">-D104*Assum!$B$132</f>
        <v>15136.686702596011</v>
      </c>
      <c r="E56" s="100">
        <f ca="1">-E104*Assum!$B$132</f>
        <v>14604.838821228859</v>
      </c>
      <c r="F56" s="100">
        <f ca="1">-F104*Assum!$B$132</f>
        <v>14127.806741301225</v>
      </c>
      <c r="G56" s="100">
        <f ca="1">-G104*Assum!$B$132</f>
        <v>13694.455617921047</v>
      </c>
      <c r="H56" s="100">
        <f ca="1">-H104*Assum!$B$132</f>
        <v>13299.164580331852</v>
      </c>
      <c r="I56" s="100">
        <f ca="1">-I104*Assum!$B$132</f>
        <v>13109.001200981511</v>
      </c>
      <c r="J56" s="100">
        <f ca="1">-J104*Assum!$B$132</f>
        <v>13107.348175654726</v>
      </c>
      <c r="K56" s="100">
        <f ca="1">-K104*Assum!$B$132</f>
        <v>13093.851925621151</v>
      </c>
      <c r="L56" s="100">
        <f ca="1">-L104*Assum!$B$132</f>
        <v>13090.736992922033</v>
      </c>
      <c r="M56" s="100">
        <f ca="1">-M104*Assum!$B$132</f>
        <v>10044.937546123138</v>
      </c>
      <c r="N56" s="100">
        <f ca="1">-N104*Assum!$B$132</f>
        <v>10112.40408034869</v>
      </c>
      <c r="O56" s="100">
        <f ca="1">-O104*Assum!$B$132</f>
        <v>10167.98429069994</v>
      </c>
      <c r="P56" s="100">
        <f ca="1">-P104*Assum!$B$132</f>
        <v>10233.922506329956</v>
      </c>
      <c r="Q56" s="100">
        <f ca="1">-Q104*Assum!$B$132</f>
        <v>13170.725454690839</v>
      </c>
      <c r="R56" s="100">
        <f ca="1">-R104*Assum!$B$132</f>
        <v>11366.811002194854</v>
      </c>
      <c r="S56" s="100">
        <f ca="1">-S104*Assum!$B$132</f>
        <v>9708.9906831512835</v>
      </c>
      <c r="T56" s="100">
        <f ca="1">-T104*Assum!$B$132</f>
        <v>9691.685328516829</v>
      </c>
      <c r="U56" s="100">
        <f ca="1">-U104*Assum!$B$132</f>
        <v>9673.2992919737844</v>
      </c>
      <c r="V56" s="100">
        <f ca="1">-V104*Assum!$B$132</f>
        <v>9653.7747774318213</v>
      </c>
      <c r="W56" s="100">
        <f ca="1">-W104*Assum!$B$132</f>
        <v>9633.0509970460516</v>
      </c>
      <c r="X56" s="100">
        <f ca="1">-X104*Assum!$B$132</f>
        <v>9611.0640188664147</v>
      </c>
      <c r="Y56" s="100">
        <f ca="1">-Y104*Assum!$B$132</f>
        <v>9587.7466067946934</v>
      </c>
      <c r="Z56" s="100">
        <f ca="1">-Z104*Assum!$B$132</f>
        <v>9563.0280524625286</v>
      </c>
      <c r="AA56" s="100">
        <f ca="1">-AA104*Assum!$B$132</f>
        <v>9536.8339986242536</v>
      </c>
      <c r="AB56" s="100">
        <f ca="1">-AB104*Assum!$B$132</f>
        <v>9269.3034266990162</v>
      </c>
    </row>
    <row r="57" spans="1:28">
      <c r="A57" s="14" t="s">
        <v>1184</v>
      </c>
      <c r="B57" s="297">
        <v>0</v>
      </c>
      <c r="C57" s="297">
        <v>0</v>
      </c>
      <c r="D57" s="297">
        <v>0</v>
      </c>
      <c r="E57" s="297">
        <v>0</v>
      </c>
      <c r="F57" s="297">
        <v>0</v>
      </c>
      <c r="G57" s="297">
        <v>0</v>
      </c>
      <c r="H57" s="297">
        <v>0</v>
      </c>
      <c r="I57" s="297">
        <v>0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297">
        <v>0</v>
      </c>
      <c r="S57" s="297">
        <v>0</v>
      </c>
    </row>
    <row r="58" spans="1:28">
      <c r="A58" s="14" t="s">
        <v>1185</v>
      </c>
      <c r="B58" s="114">
        <f t="shared" ref="B58:S58" ca="1" si="9">SUM(B56:B57)</f>
        <v>-140281.46155350332</v>
      </c>
      <c r="C58" s="114">
        <f t="shared" ca="1" si="9"/>
        <v>8738.4647827046592</v>
      </c>
      <c r="D58" s="114">
        <f t="shared" ca="1" si="9"/>
        <v>15136.686702596011</v>
      </c>
      <c r="E58" s="114">
        <f t="shared" ca="1" si="9"/>
        <v>14604.838821228859</v>
      </c>
      <c r="F58" s="114">
        <f t="shared" ca="1" si="9"/>
        <v>14127.806741301225</v>
      </c>
      <c r="G58" s="114">
        <f t="shared" ca="1" si="9"/>
        <v>13694.455617921047</v>
      </c>
      <c r="H58" s="114">
        <f t="shared" ca="1" si="9"/>
        <v>13299.164580331852</v>
      </c>
      <c r="I58" s="114">
        <f t="shared" ca="1" si="9"/>
        <v>13109.001200981511</v>
      </c>
      <c r="J58" s="114">
        <f t="shared" ca="1" si="9"/>
        <v>13107.348175654726</v>
      </c>
      <c r="K58" s="114">
        <f t="shared" ca="1" si="9"/>
        <v>13093.851925621151</v>
      </c>
      <c r="L58" s="114">
        <f t="shared" ca="1" si="9"/>
        <v>13090.736992922033</v>
      </c>
      <c r="M58" s="114">
        <f t="shared" ca="1" si="9"/>
        <v>10044.937546123138</v>
      </c>
      <c r="N58" s="114">
        <f t="shared" ca="1" si="9"/>
        <v>10112.40408034869</v>
      </c>
      <c r="O58" s="114">
        <f t="shared" ca="1" si="9"/>
        <v>10167.98429069994</v>
      </c>
      <c r="P58" s="114">
        <f t="shared" ca="1" si="9"/>
        <v>10233.922506329956</v>
      </c>
      <c r="Q58" s="114">
        <f t="shared" ca="1" si="9"/>
        <v>13170.725454690839</v>
      </c>
      <c r="R58" s="114">
        <f t="shared" ca="1" si="9"/>
        <v>11366.811002194854</v>
      </c>
      <c r="S58" s="114">
        <f t="shared" ca="1" si="9"/>
        <v>9708.9906831512835</v>
      </c>
      <c r="T58" s="114">
        <f t="shared" ref="T58:AB58" ca="1" si="10">SUM(T56:T57)</f>
        <v>9691.685328516829</v>
      </c>
      <c r="U58" s="114">
        <f t="shared" ca="1" si="10"/>
        <v>9673.2992919737844</v>
      </c>
      <c r="V58" s="114">
        <f t="shared" ca="1" si="10"/>
        <v>9653.7747774318213</v>
      </c>
      <c r="W58" s="114">
        <f t="shared" ca="1" si="10"/>
        <v>9633.0509970460516</v>
      </c>
      <c r="X58" s="114">
        <f t="shared" ca="1" si="10"/>
        <v>9611.0640188664147</v>
      </c>
      <c r="Y58" s="114">
        <f t="shared" ca="1" si="10"/>
        <v>9587.7466067946934</v>
      </c>
      <c r="Z58" s="114">
        <f t="shared" ca="1" si="10"/>
        <v>9563.0280524625286</v>
      </c>
      <c r="AA58" s="114">
        <f t="shared" ca="1" si="10"/>
        <v>9536.8339986242536</v>
      </c>
      <c r="AB58" s="114">
        <f t="shared" ca="1" si="10"/>
        <v>9269.3034266990162</v>
      </c>
    </row>
    <row r="59" spans="1:28">
      <c r="A59" s="14" t="s">
        <v>952</v>
      </c>
      <c r="B59" s="290">
        <f ca="1">XIRR(B58:AB58,B49:AB49)</f>
        <v>6.581061780452728E-2</v>
      </c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1" spans="1:28" s="100" customFormat="1">
      <c r="A61" s="58" t="s">
        <v>1442</v>
      </c>
    </row>
    <row r="62" spans="1:28" s="100" customFormat="1">
      <c r="A62" s="14" t="s">
        <v>1183</v>
      </c>
      <c r="B62" s="100">
        <f t="shared" ref="B62:AB62" ca="1" si="11">B56</f>
        <v>-140281.46155350332</v>
      </c>
      <c r="C62" s="100">
        <f t="shared" ca="1" si="11"/>
        <v>8738.4647827046592</v>
      </c>
      <c r="D62" s="100">
        <f t="shared" ca="1" si="11"/>
        <v>15136.686702596011</v>
      </c>
      <c r="E62" s="100">
        <f t="shared" ca="1" si="11"/>
        <v>14604.838821228859</v>
      </c>
      <c r="F62" s="100">
        <f t="shared" ca="1" si="11"/>
        <v>14127.806741301225</v>
      </c>
      <c r="G62" s="100">
        <f t="shared" ca="1" si="11"/>
        <v>13694.455617921047</v>
      </c>
      <c r="H62" s="100">
        <f t="shared" ca="1" si="11"/>
        <v>13299.164580331852</v>
      </c>
      <c r="I62" s="100">
        <f t="shared" ca="1" si="11"/>
        <v>13109.001200981511</v>
      </c>
      <c r="J62" s="100">
        <f t="shared" ca="1" si="11"/>
        <v>13107.348175654726</v>
      </c>
      <c r="K62" s="100">
        <f t="shared" ca="1" si="11"/>
        <v>13093.851925621151</v>
      </c>
      <c r="L62" s="100">
        <f t="shared" ca="1" si="11"/>
        <v>13090.736992922033</v>
      </c>
      <c r="M62" s="100">
        <f t="shared" ca="1" si="11"/>
        <v>10044.937546123138</v>
      </c>
      <c r="N62" s="100">
        <f t="shared" ca="1" si="11"/>
        <v>10112.40408034869</v>
      </c>
      <c r="O62" s="100">
        <f t="shared" ca="1" si="11"/>
        <v>10167.98429069994</v>
      </c>
      <c r="P62" s="100">
        <f t="shared" ca="1" si="11"/>
        <v>10233.922506329956</v>
      </c>
      <c r="Q62" s="100">
        <f t="shared" ca="1" si="11"/>
        <v>13170.725454690839</v>
      </c>
      <c r="R62" s="100">
        <f t="shared" ca="1" si="11"/>
        <v>11366.811002194854</v>
      </c>
      <c r="S62" s="100">
        <f t="shared" ca="1" si="11"/>
        <v>9708.9906831512835</v>
      </c>
      <c r="T62" s="100">
        <f t="shared" ca="1" si="11"/>
        <v>9691.685328516829</v>
      </c>
      <c r="U62" s="100">
        <f t="shared" ca="1" si="11"/>
        <v>9673.2992919737844</v>
      </c>
      <c r="V62" s="100">
        <f t="shared" ca="1" si="11"/>
        <v>9653.7747774318213</v>
      </c>
      <c r="W62" s="100">
        <f t="shared" ca="1" si="11"/>
        <v>9633.0509970460516</v>
      </c>
      <c r="X62" s="100">
        <f t="shared" ca="1" si="11"/>
        <v>9611.0640188664147</v>
      </c>
      <c r="Y62" s="100">
        <f t="shared" ca="1" si="11"/>
        <v>9587.7466067946934</v>
      </c>
      <c r="Z62" s="100">
        <f t="shared" ca="1" si="11"/>
        <v>9563.0280524625286</v>
      </c>
      <c r="AA62" s="100">
        <f t="shared" ca="1" si="11"/>
        <v>9536.8339986242536</v>
      </c>
      <c r="AB62" s="100">
        <f t="shared" ca="1" si="11"/>
        <v>9269.3034266990162</v>
      </c>
    </row>
    <row r="63" spans="1:28" s="100" customFormat="1">
      <c r="A63" s="14" t="s">
        <v>1163</v>
      </c>
      <c r="B63" s="297">
        <v>0</v>
      </c>
      <c r="C63" s="297">
        <v>0</v>
      </c>
      <c r="D63" s="297">
        <v>0</v>
      </c>
      <c r="E63" s="297">
        <v>0</v>
      </c>
      <c r="F63" s="297">
        <v>0</v>
      </c>
      <c r="G63" s="297">
        <v>0</v>
      </c>
      <c r="H63" s="297">
        <v>0</v>
      </c>
      <c r="I63" s="297">
        <v>0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0</v>
      </c>
      <c r="Q63" s="297">
        <v>0</v>
      </c>
      <c r="R63" s="297">
        <v>0</v>
      </c>
      <c r="S63" s="297">
        <v>0</v>
      </c>
      <c r="T63" s="297">
        <v>0</v>
      </c>
      <c r="U63" s="297">
        <v>0</v>
      </c>
      <c r="V63" s="297">
        <v>0</v>
      </c>
      <c r="W63" s="297">
        <v>0</v>
      </c>
      <c r="X63" s="297">
        <v>0</v>
      </c>
      <c r="Y63" s="297">
        <v>0</v>
      </c>
      <c r="Z63" s="297">
        <v>0</v>
      </c>
      <c r="AA63" s="297">
        <v>0</v>
      </c>
      <c r="AB63" s="297">
        <f ca="1">AB118*Assum!O9</f>
        <v>95272.869331596579</v>
      </c>
    </row>
    <row r="64" spans="1:28" s="100" customFormat="1">
      <c r="A64" s="14" t="s">
        <v>1188</v>
      </c>
      <c r="B64" s="297">
        <v>0</v>
      </c>
      <c r="C64" s="297">
        <v>0</v>
      </c>
      <c r="D64" s="297">
        <v>0</v>
      </c>
      <c r="E64" s="297">
        <v>0</v>
      </c>
      <c r="F64" s="297">
        <v>0</v>
      </c>
      <c r="G64" s="297">
        <v>0</v>
      </c>
      <c r="H64" s="297">
        <v>0</v>
      </c>
      <c r="I64" s="297">
        <v>0</v>
      </c>
      <c r="J64" s="297">
        <v>0</v>
      </c>
      <c r="K64" s="297">
        <v>0</v>
      </c>
      <c r="L64" s="297">
        <v>0</v>
      </c>
      <c r="M64" s="297">
        <v>0</v>
      </c>
      <c r="N64" s="297">
        <v>0</v>
      </c>
      <c r="O64" s="297">
        <v>0</v>
      </c>
      <c r="P64" s="297">
        <v>0</v>
      </c>
      <c r="Q64" s="297">
        <v>0</v>
      </c>
      <c r="R64" s="297">
        <v>0</v>
      </c>
      <c r="S64" s="297">
        <v>0</v>
      </c>
      <c r="T64" s="297">
        <v>0</v>
      </c>
      <c r="U64" s="297">
        <v>0</v>
      </c>
      <c r="V64" s="297">
        <v>0</v>
      </c>
      <c r="W64" s="297">
        <v>0</v>
      </c>
      <c r="X64" s="297">
        <v>0</v>
      </c>
      <c r="Y64" s="297">
        <v>0</v>
      </c>
      <c r="Z64" s="297">
        <v>0</v>
      </c>
      <c r="AA64" s="297">
        <v>0</v>
      </c>
      <c r="AB64" s="297">
        <v>0</v>
      </c>
    </row>
    <row r="65" spans="1:28" s="100" customFormat="1">
      <c r="A65" s="14" t="s">
        <v>1185</v>
      </c>
      <c r="B65" s="100">
        <f t="shared" ref="B65:S65" ca="1" si="12">SUM(B62:B64)</f>
        <v>-140281.46155350332</v>
      </c>
      <c r="C65" s="100">
        <f t="shared" ca="1" si="12"/>
        <v>8738.4647827046592</v>
      </c>
      <c r="D65" s="100">
        <f t="shared" ca="1" si="12"/>
        <v>15136.686702596011</v>
      </c>
      <c r="E65" s="100">
        <f t="shared" ca="1" si="12"/>
        <v>14604.838821228859</v>
      </c>
      <c r="F65" s="100">
        <f t="shared" ca="1" si="12"/>
        <v>14127.806741301225</v>
      </c>
      <c r="G65" s="100">
        <f t="shared" ca="1" si="12"/>
        <v>13694.455617921047</v>
      </c>
      <c r="H65" s="100">
        <f t="shared" ca="1" si="12"/>
        <v>13299.164580331852</v>
      </c>
      <c r="I65" s="100">
        <f t="shared" ca="1" si="12"/>
        <v>13109.001200981511</v>
      </c>
      <c r="J65" s="100">
        <f t="shared" ca="1" si="12"/>
        <v>13107.348175654726</v>
      </c>
      <c r="K65" s="100">
        <f t="shared" ca="1" si="12"/>
        <v>13093.851925621151</v>
      </c>
      <c r="L65" s="100">
        <f t="shared" ca="1" si="12"/>
        <v>13090.736992922033</v>
      </c>
      <c r="M65" s="100">
        <f t="shared" ca="1" si="12"/>
        <v>10044.937546123138</v>
      </c>
      <c r="N65" s="100">
        <f t="shared" ca="1" si="12"/>
        <v>10112.40408034869</v>
      </c>
      <c r="O65" s="100">
        <f t="shared" ca="1" si="12"/>
        <v>10167.98429069994</v>
      </c>
      <c r="P65" s="100">
        <f t="shared" ca="1" si="12"/>
        <v>10233.922506329956</v>
      </c>
      <c r="Q65" s="100">
        <f t="shared" ca="1" si="12"/>
        <v>13170.725454690839</v>
      </c>
      <c r="R65" s="100">
        <f t="shared" ca="1" si="12"/>
        <v>11366.811002194854</v>
      </c>
      <c r="S65" s="100">
        <f t="shared" ca="1" si="12"/>
        <v>9708.9906831512835</v>
      </c>
      <c r="T65" s="100">
        <f t="shared" ref="T65:AB65" ca="1" si="13">SUM(T62:T64)</f>
        <v>9691.685328516829</v>
      </c>
      <c r="U65" s="100">
        <f t="shared" ca="1" si="13"/>
        <v>9673.2992919737844</v>
      </c>
      <c r="V65" s="100">
        <f t="shared" ca="1" si="13"/>
        <v>9653.7747774318213</v>
      </c>
      <c r="W65" s="100">
        <f t="shared" ca="1" si="13"/>
        <v>9633.0509970460516</v>
      </c>
      <c r="X65" s="100">
        <f t="shared" ca="1" si="13"/>
        <v>9611.0640188664147</v>
      </c>
      <c r="Y65" s="100">
        <f t="shared" ca="1" si="13"/>
        <v>9587.7466067946934</v>
      </c>
      <c r="Z65" s="100">
        <f t="shared" ca="1" si="13"/>
        <v>9563.0280524625286</v>
      </c>
      <c r="AA65" s="100">
        <f t="shared" ca="1" si="13"/>
        <v>9536.8339986242536</v>
      </c>
      <c r="AB65" s="100">
        <f t="shared" ca="1" si="13"/>
        <v>104542.17275829559</v>
      </c>
    </row>
    <row r="66" spans="1:28">
      <c r="A66" s="46" t="s">
        <v>1028</v>
      </c>
      <c r="B66" s="290">
        <f ca="1">XIRR(B65:AB65,B49:AB49)</f>
        <v>7.669325172901155E-2</v>
      </c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1:28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2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71" spans="1:28" ht="15.75">
      <c r="A71" s="355" t="s">
        <v>1251</v>
      </c>
      <c r="B71" s="500">
        <v>8.5000000000000006E-2</v>
      </c>
    </row>
    <row r="72" spans="1:28" ht="15.75">
      <c r="A72" s="353" t="str">
        <f>CONCATENATE("NPV @ ", $B$71*100, "%")</f>
        <v>NPV @ 8.5%</v>
      </c>
      <c r="B72" s="356">
        <f ca="1">XNPV(B71,B58:S58,B49:S49)</f>
        <v>-35994.226688540017</v>
      </c>
    </row>
    <row r="73" spans="1:28" ht="15.75">
      <c r="A73" s="354" t="str">
        <f>CONCATENATE("NPV @ ", $B$71*100, "% with Residual Value")</f>
        <v>NPV @ 8.5% with Residual Value</v>
      </c>
      <c r="B73" s="357">
        <f ca="1">XNPV(B71,B65:S65,B49:S49)</f>
        <v>-35994.226688540017</v>
      </c>
    </row>
    <row r="74" spans="1:28" ht="22.5">
      <c r="B74" s="637" t="str">
        <f ca="1">IF(SUM(C114:S114)&lt;&gt;0,"Default","")</f>
        <v/>
      </c>
    </row>
    <row r="81" spans="1:31" s="100" customFormat="1">
      <c r="A81" s="350" t="s">
        <v>1241</v>
      </c>
    </row>
    <row r="82" spans="1:31" s="100" customFormat="1"/>
    <row r="83" spans="1:31" s="100" customFormat="1">
      <c r="A83" s="153" t="s">
        <v>1242</v>
      </c>
    </row>
    <row r="84" spans="1:31" s="100" customFormat="1">
      <c r="A84" s="100" t="s">
        <v>1022</v>
      </c>
      <c r="C84" s="100">
        <f ca="1">IS!C81</f>
        <v>3976.35628415982</v>
      </c>
      <c r="D84" s="100">
        <f ca="1">IS!D81</f>
        <v>6797.6217191484147</v>
      </c>
      <c r="E84" s="100">
        <f ca="1">IS!E81</f>
        <v>6779.509242956583</v>
      </c>
      <c r="F84" s="100">
        <f ca="1">IS!F81</f>
        <v>6760.3994085593695</v>
      </c>
      <c r="G84" s="100">
        <f ca="1">IS!G81</f>
        <v>6740.2966609361065</v>
      </c>
      <c r="H84" s="100">
        <f ca="1">IS!H81</f>
        <v>6719.3230612545558</v>
      </c>
      <c r="I84" s="100">
        <f ca="1">IS!I81</f>
        <v>6697.4625306004436</v>
      </c>
      <c r="J84" s="100">
        <f ca="1">IS!J81</f>
        <v>6674.8032870875286</v>
      </c>
      <c r="K84" s="100">
        <f ca="1">IS!K81</f>
        <v>6651.267263907479</v>
      </c>
      <c r="L84" s="100">
        <f ca="1">IS!L81</f>
        <v>6626.8290463299381</v>
      </c>
      <c r="M84" s="100">
        <f ca="1">IS!M81</f>
        <v>6636.5011954558595</v>
      </c>
      <c r="N84" s="100">
        <f ca="1">IS!N81</f>
        <v>6682.0978510474688</v>
      </c>
      <c r="O84" s="100">
        <f ca="1">IS!O81</f>
        <v>6726.3290832838738</v>
      </c>
      <c r="P84" s="100">
        <f ca="1">IS!P81</f>
        <v>6769.0871463172698</v>
      </c>
      <c r="Q84" s="100">
        <f ca="1">IS!Q81</f>
        <v>6627.1662642922129</v>
      </c>
      <c r="R84" s="100">
        <f ca="1">IS!R81</f>
        <v>6445.5311990172522</v>
      </c>
      <c r="S84" s="100">
        <f ca="1">IS!S81</f>
        <v>6409.1797267551465</v>
      </c>
      <c r="T84" s="100">
        <f ca="1">IS!T81</f>
        <v>6371.2585748092843</v>
      </c>
      <c r="U84" s="100">
        <f ca="1">IS!U81</f>
        <v>6331.6980528499753</v>
      </c>
      <c r="V84" s="100">
        <f ca="1">IS!V81</f>
        <v>6290.4252243390602</v>
      </c>
      <c r="W84" s="100">
        <f ca="1">IS!W81</f>
        <v>6247.3637506776777</v>
      </c>
      <c r="X84" s="100">
        <f ca="1">IS!X81</f>
        <v>6202.4337277363647</v>
      </c>
      <c r="Y84" s="100">
        <f ca="1">IS!Y81</f>
        <v>6155.5515143914517</v>
      </c>
      <c r="Z84" s="100">
        <f ca="1">IS!Z81</f>
        <v>6106.6295526729309</v>
      </c>
      <c r="AA84" s="100">
        <f ca="1">IS!AA81</f>
        <v>6055.5761791092855</v>
      </c>
      <c r="AB84" s="100">
        <f ca="1">IS!AB81</f>
        <v>5762.5125998950898</v>
      </c>
      <c r="AC84"/>
      <c r="AD84"/>
      <c r="AE84"/>
    </row>
    <row r="85" spans="1:31" s="100" customFormat="1">
      <c r="A85" s="100" t="s">
        <v>1316</v>
      </c>
      <c r="C85" s="100">
        <f ca="1">Taxes!B59</f>
        <v>1808.4770390189155</v>
      </c>
      <c r="D85" s="100">
        <f ca="1">Taxes!C59</f>
        <v>3616.9540780378306</v>
      </c>
      <c r="E85" s="100">
        <f ca="1">Taxes!D59</f>
        <v>3088.3223281707642</v>
      </c>
      <c r="F85" s="100">
        <f ca="1">Taxes!E59</f>
        <v>2615.3360256581236</v>
      </c>
      <c r="G85" s="100">
        <f ca="1">Taxes!F59</f>
        <v>2186.8660810290271</v>
      </c>
      <c r="H85" s="100">
        <f ca="1">Taxes!G59</f>
        <v>1797.3479495480292</v>
      </c>
      <c r="I85" s="100">
        <f ca="1">Taxes!H59</f>
        <v>1613.7179732784161</v>
      </c>
      <c r="J85" s="100">
        <f ca="1">Taxes!I59</f>
        <v>1619.2825180138589</v>
      </c>
      <c r="K85" s="100">
        <f ca="1">Taxes!J59</f>
        <v>1613.7179732784166</v>
      </c>
      <c r="L85" s="100">
        <f ca="1">Taxes!K59</f>
        <v>1619.2825180138589</v>
      </c>
      <c r="M85" s="100">
        <f ca="1">Taxes!L59</f>
        <v>1613.7179732784161</v>
      </c>
      <c r="N85" s="100">
        <f ca="1">Taxes!M59</f>
        <v>1619.2825180138593</v>
      </c>
      <c r="O85" s="100">
        <f ca="1">Taxes!N59</f>
        <v>1613.7179732784161</v>
      </c>
      <c r="P85" s="100">
        <f ca="1">Taxes!O59</f>
        <v>1619.2825180138593</v>
      </c>
      <c r="Q85" s="100">
        <f ca="1">Taxes!P59</f>
        <v>1613.7179732784161</v>
      </c>
      <c r="R85" s="100">
        <f ca="1">Taxes!Q59</f>
        <v>-27.822723677213617</v>
      </c>
      <c r="S85" s="100">
        <f ca="1">Taxes!R59</f>
        <v>-1669.3634206328443</v>
      </c>
      <c r="T85" s="100">
        <f ca="1">Taxes!S59</f>
        <v>-1669.3634206328443</v>
      </c>
      <c r="U85" s="100">
        <f ca="1">Taxes!T59</f>
        <v>-1669.3634206328452</v>
      </c>
      <c r="V85" s="100">
        <f ca="1">Taxes!U59</f>
        <v>-1669.3634206328443</v>
      </c>
      <c r="W85" s="100">
        <f ca="1">Taxes!V59</f>
        <v>-1669.3634206328452</v>
      </c>
      <c r="X85" s="100">
        <f ca="1">Taxes!W59</f>
        <v>-1669.3634206328443</v>
      </c>
      <c r="Y85" s="100">
        <f ca="1">Taxes!X59</f>
        <v>-1669.3634206328452</v>
      </c>
      <c r="Z85" s="100">
        <f ca="1">Taxes!Y59</f>
        <v>-1669.3634206328443</v>
      </c>
      <c r="AA85" s="100">
        <f ca="1">Taxes!Z59</f>
        <v>-1669.3634206328438</v>
      </c>
      <c r="AB85" s="100">
        <f ca="1">Taxes!AA59</f>
        <v>-1669.3634206328447</v>
      </c>
      <c r="AC85"/>
      <c r="AD85"/>
      <c r="AE85"/>
    </row>
    <row r="86" spans="1:31" s="100" customFormat="1">
      <c r="A86" s="100" t="s">
        <v>1243</v>
      </c>
      <c r="C86" s="100">
        <f ca="1">IS!C68</f>
        <v>2454.9255771863086</v>
      </c>
      <c r="D86" s="100">
        <f ca="1">IS!D68</f>
        <v>4208.4438466050997</v>
      </c>
      <c r="E86" s="100">
        <f ca="1">IS!E68</f>
        <v>4208.4438466050997</v>
      </c>
      <c r="F86" s="100">
        <f ca="1">IS!F68</f>
        <v>4208.4438466050997</v>
      </c>
      <c r="G86" s="100">
        <f ca="1">IS!G68</f>
        <v>4208.4438466050997</v>
      </c>
      <c r="H86" s="100">
        <f ca="1">IS!H68</f>
        <v>4208.4438466050997</v>
      </c>
      <c r="I86" s="100">
        <f ca="1">IS!I68</f>
        <v>4208.4438466050997</v>
      </c>
      <c r="J86" s="100">
        <f ca="1">IS!J68</f>
        <v>4208.4438466050997</v>
      </c>
      <c r="K86" s="100">
        <f ca="1">IS!K68</f>
        <v>4208.4438466050997</v>
      </c>
      <c r="L86" s="100">
        <f ca="1">IS!L68</f>
        <v>4208.4438466050997</v>
      </c>
      <c r="M86" s="100">
        <f ca="1">IS!M68</f>
        <v>4208.4438466050997</v>
      </c>
      <c r="N86" s="100">
        <f ca="1">IS!N68</f>
        <v>4208.4438466050997</v>
      </c>
      <c r="O86" s="100">
        <f ca="1">IS!O68</f>
        <v>4208.4438466050997</v>
      </c>
      <c r="P86" s="100">
        <f ca="1">IS!P68</f>
        <v>4208.4438466050997</v>
      </c>
      <c r="Q86" s="100">
        <f ca="1">IS!Q68</f>
        <v>4208.4438466050997</v>
      </c>
      <c r="R86" s="100">
        <f ca="1">IS!R68</f>
        <v>4208.4438466050997</v>
      </c>
      <c r="S86" s="100">
        <f ca="1">IS!S68</f>
        <v>4208.4438466050997</v>
      </c>
      <c r="T86" s="100">
        <f ca="1">IS!T68</f>
        <v>4208.4438466050997</v>
      </c>
      <c r="U86" s="100">
        <f ca="1">IS!U68</f>
        <v>4208.4438466050997</v>
      </c>
      <c r="V86" s="100">
        <f ca="1">IS!V68</f>
        <v>4208.4438466050997</v>
      </c>
      <c r="W86" s="100">
        <f ca="1">IS!W68</f>
        <v>4208.4438466050997</v>
      </c>
      <c r="X86" s="100">
        <f ca="1">IS!X68</f>
        <v>4208.4438466050997</v>
      </c>
      <c r="Y86" s="100">
        <f ca="1">IS!Y68</f>
        <v>4208.4438466050997</v>
      </c>
      <c r="Z86" s="100">
        <f ca="1">IS!Z68</f>
        <v>4208.4438466050997</v>
      </c>
      <c r="AA86" s="100">
        <f ca="1">IS!AA68</f>
        <v>4208.4438466050997</v>
      </c>
      <c r="AB86" s="100">
        <f ca="1">IS!AB68</f>
        <v>4208.4438466050997</v>
      </c>
      <c r="AC86"/>
      <c r="AD86"/>
      <c r="AE86"/>
    </row>
    <row r="87" spans="1:31" s="100" customFormat="1">
      <c r="A87" s="100" t="s">
        <v>1380</v>
      </c>
      <c r="C87" s="122">
        <f>IS!C36</f>
        <v>498.70588235294122</v>
      </c>
      <c r="D87" s="122">
        <f>IS!D36</f>
        <v>513.66705882352949</v>
      </c>
      <c r="E87" s="122">
        <f>IS!E36</f>
        <v>528.56340352941174</v>
      </c>
      <c r="F87" s="122">
        <f>IS!F36</f>
        <v>543.62746053000001</v>
      </c>
      <c r="G87" s="122">
        <f>IS!G36</f>
        <v>558.84902942484007</v>
      </c>
      <c r="H87" s="122">
        <f>IS!H36</f>
        <v>574.0497230251957</v>
      </c>
      <c r="I87" s="122">
        <f>IS!I36</f>
        <v>589.37685062996832</v>
      </c>
      <c r="J87" s="122">
        <f>IS!J36</f>
        <v>604.81852411647344</v>
      </c>
      <c r="K87" s="122">
        <f>IS!K36</f>
        <v>620.4228420386786</v>
      </c>
      <c r="L87" s="122">
        <f>IS!L36</f>
        <v>636.18158222646105</v>
      </c>
      <c r="M87" s="122">
        <f>IS!M36</f>
        <v>652.21335809856782</v>
      </c>
      <c r="N87" s="122">
        <f>IS!N36</f>
        <v>668.51869205103185</v>
      </c>
      <c r="O87" s="122">
        <f>IS!O36</f>
        <v>685.43221495992304</v>
      </c>
      <c r="P87" s="122">
        <f>IS!P36</f>
        <v>703.0478228843931</v>
      </c>
      <c r="Q87" s="122">
        <f>IS!Q36</f>
        <v>721.3973710616757</v>
      </c>
      <c r="R87" s="122">
        <f>IS!R36</f>
        <v>740.65868086902253</v>
      </c>
      <c r="S87" s="122">
        <f>IS!S36</f>
        <v>760.730531120573</v>
      </c>
      <c r="T87" s="122">
        <f>IS!T36</f>
        <v>781.34632851394031</v>
      </c>
      <c r="U87" s="122">
        <f>IS!U36</f>
        <v>802.52081401666806</v>
      </c>
      <c r="V87" s="122">
        <f>IS!V36</f>
        <v>824.26912807651979</v>
      </c>
      <c r="W87" s="122">
        <f>IS!W36</f>
        <v>846.60682144739349</v>
      </c>
      <c r="X87" s="122">
        <f>IS!X36</f>
        <v>869.54986630861777</v>
      </c>
      <c r="Y87" s="122">
        <f>IS!Y36</f>
        <v>893.11466768558125</v>
      </c>
      <c r="Z87" s="122">
        <f>IS!Z36</f>
        <v>917.31807517986033</v>
      </c>
      <c r="AA87" s="122">
        <f>IS!AA36</f>
        <v>942.1773950172344</v>
      </c>
      <c r="AB87" s="122">
        <f>IS!AB36</f>
        <v>967.71040242220147</v>
      </c>
      <c r="AC87"/>
      <c r="AD87"/>
      <c r="AE87"/>
    </row>
    <row r="88" spans="1:31" s="100" customFormat="1">
      <c r="A88" s="100" t="s">
        <v>1376</v>
      </c>
      <c r="C88" s="122">
        <f xml:space="preserve"> -Maint!D14</f>
        <v>0</v>
      </c>
      <c r="D88" s="122">
        <f xml:space="preserve"> -Maint!E14</f>
        <v>0</v>
      </c>
      <c r="E88" s="122">
        <f xml:space="preserve"> -Maint!F14</f>
        <v>0</v>
      </c>
      <c r="F88" s="122">
        <f xml:space="preserve"> -Maint!G14</f>
        <v>0</v>
      </c>
      <c r="G88" s="122">
        <f xml:space="preserve"> -Maint!H14</f>
        <v>0</v>
      </c>
      <c r="H88" s="122">
        <f xml:space="preserve"> -Maint!I14</f>
        <v>0</v>
      </c>
      <c r="I88" s="122">
        <f xml:space="preserve"> -Maint!J14</f>
        <v>0</v>
      </c>
      <c r="J88" s="122">
        <f xml:space="preserve"> -Maint!K14</f>
        <v>0</v>
      </c>
      <c r="K88" s="122">
        <f xml:space="preserve"> -Maint!L14</f>
        <v>0</v>
      </c>
      <c r="L88" s="122">
        <f xml:space="preserve"> -Maint!M14</f>
        <v>0</v>
      </c>
      <c r="M88" s="122">
        <f xml:space="preserve"> -Maint!N14</f>
        <v>0</v>
      </c>
      <c r="N88" s="122">
        <f xml:space="preserve"> -Maint!O14</f>
        <v>0</v>
      </c>
      <c r="O88" s="122">
        <f xml:space="preserve"> -Maint!P14</f>
        <v>0</v>
      </c>
      <c r="P88" s="122">
        <f xml:space="preserve"> -Maint!Q14</f>
        <v>0</v>
      </c>
      <c r="Q88" s="122">
        <f xml:space="preserve"> -Maint!R14</f>
        <v>-12263.755308048487</v>
      </c>
      <c r="R88" s="122">
        <f xml:space="preserve"> -Maint!S14</f>
        <v>0</v>
      </c>
      <c r="S88" s="122">
        <f xml:space="preserve"> -Maint!T14</f>
        <v>0</v>
      </c>
      <c r="T88" s="122">
        <f xml:space="preserve"> -Maint!U14</f>
        <v>0</v>
      </c>
      <c r="U88" s="122">
        <f xml:space="preserve"> -Maint!V14</f>
        <v>0</v>
      </c>
      <c r="V88" s="122">
        <f xml:space="preserve"> -Maint!W14</f>
        <v>0</v>
      </c>
      <c r="W88" s="122">
        <f xml:space="preserve"> -Maint!X14</f>
        <v>0</v>
      </c>
      <c r="X88" s="122">
        <f xml:space="preserve"> -Maint!Y14</f>
        <v>0</v>
      </c>
      <c r="Y88" s="122">
        <f xml:space="preserve"> -Maint!Z14</f>
        <v>0</v>
      </c>
      <c r="Z88" s="122">
        <f xml:space="preserve"> -Maint!AA14</f>
        <v>0</v>
      </c>
      <c r="AA88" s="122">
        <f xml:space="preserve"> -Maint!AB14</f>
        <v>0</v>
      </c>
      <c r="AB88" s="122">
        <f xml:space="preserve"> -Maint!AC14</f>
        <v>0</v>
      </c>
      <c r="AC88"/>
      <c r="AD88"/>
      <c r="AE88"/>
    </row>
    <row r="89" spans="1:31" s="100" customFormat="1">
      <c r="A89" s="100" t="s">
        <v>1377</v>
      </c>
      <c r="C89" s="122">
        <f>-Maint!D20</f>
        <v>0</v>
      </c>
      <c r="D89" s="122">
        <f>-Maint!E20</f>
        <v>0</v>
      </c>
      <c r="E89" s="122">
        <f>-Maint!F20</f>
        <v>0</v>
      </c>
      <c r="F89" s="122">
        <f>-Maint!G20</f>
        <v>0</v>
      </c>
      <c r="G89" s="122">
        <f>-Maint!H20</f>
        <v>0</v>
      </c>
      <c r="H89" s="122">
        <f>-Maint!I20</f>
        <v>0</v>
      </c>
      <c r="I89" s="122">
        <f>-Maint!J20</f>
        <v>0</v>
      </c>
      <c r="J89" s="122">
        <f>-Maint!K20</f>
        <v>0</v>
      </c>
      <c r="K89" s="122">
        <f>-Maint!L20</f>
        <v>0</v>
      </c>
      <c r="L89" s="122">
        <f>-Maint!M20</f>
        <v>0</v>
      </c>
      <c r="M89" s="122">
        <f>-Maint!N20</f>
        <v>-3065.9388270121217</v>
      </c>
      <c r="N89" s="122">
        <f>-Maint!O20</f>
        <v>-3065.9388270121217</v>
      </c>
      <c r="O89" s="122">
        <f>-Maint!P20</f>
        <v>-3065.9388270121217</v>
      </c>
      <c r="P89" s="122">
        <f>-Maint!Q20</f>
        <v>-3065.9388270121217</v>
      </c>
      <c r="Q89" s="122">
        <f>-Maint!R20</f>
        <v>0</v>
      </c>
      <c r="R89" s="122">
        <f>-Maint!S20</f>
        <v>0</v>
      </c>
      <c r="S89" s="122">
        <f>-Maint!T20</f>
        <v>0</v>
      </c>
      <c r="T89" s="122">
        <f>-Maint!U20</f>
        <v>0</v>
      </c>
      <c r="U89" s="122">
        <f>-Maint!V20</f>
        <v>0</v>
      </c>
      <c r="V89" s="122">
        <f>-Maint!W20</f>
        <v>0</v>
      </c>
      <c r="W89" s="122">
        <f>-Maint!X20</f>
        <v>0</v>
      </c>
      <c r="X89" s="122">
        <f>-Maint!Y20</f>
        <v>0</v>
      </c>
      <c r="Y89" s="122">
        <f>-Maint!Z20</f>
        <v>0</v>
      </c>
      <c r="Z89" s="122">
        <f>-Maint!AA20</f>
        <v>0</v>
      </c>
      <c r="AA89" s="122">
        <f>-Maint!AB20</f>
        <v>0</v>
      </c>
      <c r="AB89" s="122">
        <f>-Maint!AC20</f>
        <v>0</v>
      </c>
      <c r="AC89"/>
      <c r="AD89"/>
      <c r="AE89"/>
    </row>
    <row r="90" spans="1:31" s="100" customFormat="1">
      <c r="A90" s="100" t="s">
        <v>1379</v>
      </c>
      <c r="C90" s="123">
        <f>-IF(Assum!$Q$75="Yes", IF(CF!C88&gt;Maint!D22, Maint!D22, CF!C88), 0)</f>
        <v>0</v>
      </c>
      <c r="D90" s="123">
        <f>-IF(Assum!$Q$75="Yes", IF(CF!D88&gt;Maint!E22, Maint!E22, CF!D88), 0)</f>
        <v>0</v>
      </c>
      <c r="E90" s="123">
        <f>-IF(Assum!$Q$75="Yes", IF(CF!E88&gt;Maint!F22, Maint!F22, CF!E88), 0)</f>
        <v>0</v>
      </c>
      <c r="F90" s="123">
        <f>-IF(Assum!$Q$75="Yes", IF(CF!F88&gt;Maint!G22, Maint!G22, CF!F88), 0)</f>
        <v>0</v>
      </c>
      <c r="G90" s="123">
        <f>-IF(Assum!$Q$75="Yes", IF(CF!G88&gt;Maint!H22, Maint!H22, CF!G88), 0)</f>
        <v>0</v>
      </c>
      <c r="H90" s="123">
        <f>-IF(Assum!$Q$75="Yes", IF(CF!H88&gt;Maint!I22, Maint!I22, CF!H88), 0)</f>
        <v>0</v>
      </c>
      <c r="I90" s="123">
        <f>-IF(Assum!$Q$75="Yes", IF(CF!I88&gt;Maint!J22, Maint!J22, CF!I88), 0)</f>
        <v>0</v>
      </c>
      <c r="J90" s="123">
        <f>-IF(Assum!$Q$75="Yes", IF(CF!J88&gt;Maint!K22, Maint!K22, CF!J88), 0)</f>
        <v>0</v>
      </c>
      <c r="K90" s="123">
        <f>-IF(Assum!$Q$75="Yes", IF(CF!K88&gt;Maint!L22, Maint!L22, CF!K88), 0)</f>
        <v>0</v>
      </c>
      <c r="L90" s="123">
        <f>-IF(Assum!$Q$75="Yes", IF(CF!L88&gt;Maint!M22, Maint!M22, CF!L88), 0)</f>
        <v>0</v>
      </c>
      <c r="M90" s="123">
        <f>-IF(Assum!$Q$75="Yes", IF(CF!M88&gt;Maint!N22, Maint!N22, CF!M88), 0)</f>
        <v>0</v>
      </c>
      <c r="N90" s="123">
        <f>-IF(Assum!$Q$75="Yes", IF(CF!N88&gt;Maint!O22, Maint!O22, CF!N88), 0)</f>
        <v>0</v>
      </c>
      <c r="O90" s="123">
        <f>-IF(Assum!$Q$75="Yes", IF(CF!O88&gt;Maint!P22, Maint!P22, CF!O88), 0)</f>
        <v>0</v>
      </c>
      <c r="P90" s="123">
        <f>-IF(Assum!$Q$75="Yes", IF(CF!P88&gt;Maint!Q22, Maint!Q22, CF!P88), 0)</f>
        <v>0</v>
      </c>
      <c r="Q90" s="123">
        <f>-IF(Assum!$Q$75="Yes", IF(CF!Q88&gt;Maint!R22, Maint!R22, CF!Q88), 0)</f>
        <v>12263.755308048487</v>
      </c>
      <c r="R90" s="123">
        <f>-IF(Assum!$Q$75="Yes", IF(CF!R88&gt;Maint!S22, Maint!S22, CF!R88), 0)</f>
        <v>0</v>
      </c>
      <c r="S90" s="123">
        <f>-IF(Assum!$Q$75="Yes", IF(CF!S88&gt;Maint!T22, Maint!T22, CF!S88), 0)</f>
        <v>0</v>
      </c>
      <c r="T90" s="123">
        <f>-IF(Assum!$Q$75="Yes", IF(CF!T88&gt;Maint!U22, Maint!U22, CF!T88), 0)</f>
        <v>0</v>
      </c>
      <c r="U90" s="123">
        <f>-IF(Assum!$Q$75="Yes", IF(CF!U88&gt;Maint!V22, Maint!V22, CF!U88), 0)</f>
        <v>0</v>
      </c>
      <c r="V90" s="123">
        <f>-IF(Assum!$Q$75="Yes", IF(CF!V88&gt;Maint!W22, Maint!W22, CF!V88), 0)</f>
        <v>0</v>
      </c>
      <c r="W90" s="123">
        <f>-IF(Assum!$Q$75="Yes", IF(CF!W88&gt;Maint!X22, Maint!X22, CF!W88), 0)</f>
        <v>0</v>
      </c>
      <c r="X90" s="123">
        <f>-IF(Assum!$Q$75="Yes", IF(CF!X88&gt;Maint!Y22, Maint!Y22, CF!X88), 0)</f>
        <v>0</v>
      </c>
      <c r="Y90" s="123">
        <f>-IF(Assum!$Q$75="Yes", IF(CF!Y88&gt;Maint!Z22, Maint!Z22, CF!Y88), 0)</f>
        <v>0</v>
      </c>
      <c r="Z90" s="123">
        <f>-IF(Assum!$Q$75="Yes", IF(CF!Z88&gt;Maint!AA22, Maint!AA22, CF!Z88), 0)</f>
        <v>0</v>
      </c>
      <c r="AA90" s="123">
        <f>-IF(Assum!$Q$75="Yes", IF(CF!AA88&gt;Maint!AB22, Maint!AB22, CF!AA88), 0)</f>
        <v>0</v>
      </c>
      <c r="AB90" s="123">
        <f>-IF(Assum!$Q$75="Yes", IF(CF!AB88&gt;Maint!AC22, Maint!AC22, CF!AB88), 0)</f>
        <v>0</v>
      </c>
      <c r="AC90"/>
      <c r="AD90"/>
      <c r="AE90"/>
    </row>
    <row r="91" spans="1:31" s="100" customFormat="1">
      <c r="A91" s="100" t="s">
        <v>970</v>
      </c>
      <c r="C91" s="100">
        <f t="shared" ref="C91:S91" ca="1" si="14">SUM(C84:C90)</f>
        <v>8738.4647827179851</v>
      </c>
      <c r="D91" s="100">
        <f t="shared" ca="1" si="14"/>
        <v>15136.686702614876</v>
      </c>
      <c r="E91" s="100">
        <f t="shared" ca="1" si="14"/>
        <v>14604.838821261857</v>
      </c>
      <c r="F91" s="100">
        <f t="shared" ca="1" si="14"/>
        <v>14127.806741352593</v>
      </c>
      <c r="G91" s="100">
        <f t="shared" ca="1" si="14"/>
        <v>13694.455617995074</v>
      </c>
      <c r="H91" s="100">
        <f t="shared" ca="1" si="14"/>
        <v>13299.16458043288</v>
      </c>
      <c r="I91" s="100">
        <f t="shared" ca="1" si="14"/>
        <v>13109.001201113926</v>
      </c>
      <c r="J91" s="100">
        <f t="shared" ca="1" si="14"/>
        <v>13107.348175822961</v>
      </c>
      <c r="K91" s="100">
        <f t="shared" ca="1" si="14"/>
        <v>13093.851925829675</v>
      </c>
      <c r="L91" s="100">
        <f t="shared" ca="1" si="14"/>
        <v>13090.736993175358</v>
      </c>
      <c r="M91" s="100">
        <f t="shared" ca="1" si="14"/>
        <v>10044.937546425821</v>
      </c>
      <c r="N91" s="100">
        <f t="shared" ca="1" si="14"/>
        <v>10112.404080705337</v>
      </c>
      <c r="O91" s="100">
        <f t="shared" ca="1" si="14"/>
        <v>10167.98429111519</v>
      </c>
      <c r="P91" s="100">
        <f t="shared" ca="1" si="14"/>
        <v>10233.9225068085</v>
      </c>
      <c r="Q91" s="100">
        <f t="shared" ca="1" si="14"/>
        <v>13170.725455237405</v>
      </c>
      <c r="R91" s="100">
        <f t="shared" ca="1" si="14"/>
        <v>11366.81100281416</v>
      </c>
      <c r="S91" s="100">
        <f t="shared" ca="1" si="14"/>
        <v>9708.9906838479747</v>
      </c>
      <c r="T91" s="100">
        <f t="shared" ref="T91:AB91" ca="1" si="15">SUM(T84:T90)</f>
        <v>9691.6853292954802</v>
      </c>
      <c r="U91" s="100">
        <f t="shared" ca="1" si="15"/>
        <v>9673.2992928388994</v>
      </c>
      <c r="V91" s="100">
        <f t="shared" ca="1" si="15"/>
        <v>9653.7747783878349</v>
      </c>
      <c r="W91" s="100">
        <f t="shared" ca="1" si="15"/>
        <v>9633.0509980973256</v>
      </c>
      <c r="X91" s="100">
        <f t="shared" ca="1" si="15"/>
        <v>9611.0640200172384</v>
      </c>
      <c r="Y91" s="100">
        <f t="shared" ca="1" si="15"/>
        <v>9587.7466080492868</v>
      </c>
      <c r="Z91" s="100">
        <f t="shared" ca="1" si="15"/>
        <v>9563.0280538250481</v>
      </c>
      <c r="AA91" s="100">
        <f t="shared" ca="1" si="15"/>
        <v>9536.8340000987755</v>
      </c>
      <c r="AB91" s="100">
        <f t="shared" ca="1" si="15"/>
        <v>9269.303428289546</v>
      </c>
      <c r="AC91"/>
      <c r="AD91"/>
      <c r="AE91"/>
    </row>
    <row r="92" spans="1:31" s="100" customFormat="1">
      <c r="AC92"/>
      <c r="AD92"/>
      <c r="AE92"/>
    </row>
    <row r="93" spans="1:31" s="100" customFormat="1">
      <c r="A93" s="153" t="s">
        <v>1244</v>
      </c>
      <c r="AC93"/>
      <c r="AD93"/>
      <c r="AE93"/>
    </row>
    <row r="94" spans="1:31" s="100" customFormat="1">
      <c r="A94" s="100" t="s">
        <v>1245</v>
      </c>
      <c r="AC94"/>
      <c r="AD94"/>
      <c r="AE94"/>
    </row>
    <row r="95" spans="1:31" s="100" customFormat="1">
      <c r="A95" s="100" t="s">
        <v>1246</v>
      </c>
      <c r="C95" s="100">
        <f>WC!C16</f>
        <v>0</v>
      </c>
      <c r="D95" s="100">
        <f>WC!D16</f>
        <v>0</v>
      </c>
      <c r="E95" s="100">
        <f>WC!E16</f>
        <v>0</v>
      </c>
      <c r="F95" s="100">
        <f>WC!F16</f>
        <v>0</v>
      </c>
      <c r="G95" s="100">
        <f>WC!G16</f>
        <v>0</v>
      </c>
      <c r="H95" s="100">
        <f>WC!H16</f>
        <v>0</v>
      </c>
      <c r="I95" s="100">
        <f>WC!I16</f>
        <v>0</v>
      </c>
      <c r="J95" s="100">
        <f>WC!J16</f>
        <v>0</v>
      </c>
      <c r="K95" s="100">
        <f>WC!K16</f>
        <v>0</v>
      </c>
      <c r="L95" s="100">
        <f>WC!L16</f>
        <v>0</v>
      </c>
      <c r="M95" s="100">
        <f>WC!M16</f>
        <v>0</v>
      </c>
      <c r="N95" s="100">
        <f>WC!N16</f>
        <v>0</v>
      </c>
      <c r="O95" s="100">
        <f>WC!O16</f>
        <v>0</v>
      </c>
      <c r="P95" s="100">
        <f>WC!P16</f>
        <v>0</v>
      </c>
      <c r="Q95" s="100">
        <f>WC!Q16</f>
        <v>0</v>
      </c>
      <c r="R95" s="100">
        <f>WC!R16</f>
        <v>0</v>
      </c>
      <c r="S95" s="100">
        <f>WC!S16</f>
        <v>0</v>
      </c>
      <c r="T95" s="100">
        <f>WC!T16</f>
        <v>0</v>
      </c>
      <c r="U95" s="100">
        <f>WC!U16</f>
        <v>0</v>
      </c>
      <c r="V95" s="100">
        <f>WC!V16</f>
        <v>0</v>
      </c>
      <c r="W95" s="100">
        <f>WC!W16</f>
        <v>0</v>
      </c>
      <c r="X95" s="100">
        <f>WC!X16</f>
        <v>0</v>
      </c>
      <c r="Y95" s="100">
        <f>WC!Y16</f>
        <v>0</v>
      </c>
      <c r="Z95" s="100">
        <f>WC!Z16</f>
        <v>0</v>
      </c>
      <c r="AA95" s="100">
        <f>WC!AA16</f>
        <v>0</v>
      </c>
      <c r="AB95" s="100">
        <f>WC!AB16</f>
        <v>0</v>
      </c>
      <c r="AC95"/>
      <c r="AD95"/>
      <c r="AE95"/>
    </row>
    <row r="96" spans="1:31" s="100" customFormat="1">
      <c r="A96" s="100" t="s">
        <v>1247</v>
      </c>
      <c r="C96" s="123">
        <f>Debt!C88</f>
        <v>0</v>
      </c>
      <c r="D96" s="123">
        <f ca="1">Debt!D88</f>
        <v>0</v>
      </c>
      <c r="E96" s="123">
        <f ca="1">Debt!E88</f>
        <v>0</v>
      </c>
      <c r="F96" s="123">
        <f ca="1">Debt!F88</f>
        <v>0</v>
      </c>
      <c r="G96" s="123">
        <f ca="1">Debt!G88</f>
        <v>0</v>
      </c>
      <c r="H96" s="123">
        <f ca="1">Debt!H88</f>
        <v>0</v>
      </c>
      <c r="I96" s="123">
        <f ca="1">Debt!I88</f>
        <v>0</v>
      </c>
      <c r="J96" s="123">
        <f ca="1">Debt!J88</f>
        <v>0</v>
      </c>
      <c r="K96" s="123">
        <f ca="1">Debt!K88</f>
        <v>0</v>
      </c>
      <c r="L96" s="123">
        <f ca="1">Debt!L88</f>
        <v>0</v>
      </c>
      <c r="M96" s="123">
        <f ca="1">Debt!M88</f>
        <v>0</v>
      </c>
      <c r="N96" s="123">
        <f ca="1">Debt!N88</f>
        <v>0</v>
      </c>
      <c r="O96" s="123">
        <f ca="1">Debt!O88</f>
        <v>0</v>
      </c>
      <c r="P96" s="123">
        <f ca="1">Debt!P88</f>
        <v>0</v>
      </c>
      <c r="Q96" s="123">
        <f ca="1">Debt!Q88</f>
        <v>0</v>
      </c>
      <c r="R96" s="123">
        <f ca="1">Debt!R88</f>
        <v>0</v>
      </c>
      <c r="S96" s="123">
        <f>Debt!S88</f>
        <v>0</v>
      </c>
      <c r="T96" s="123">
        <f>Debt!T88</f>
        <v>0</v>
      </c>
      <c r="U96" s="123">
        <f>Debt!U88</f>
        <v>0</v>
      </c>
      <c r="V96" s="123">
        <f>Debt!V88</f>
        <v>0</v>
      </c>
      <c r="W96" s="123">
        <f>Debt!W88</f>
        <v>0</v>
      </c>
      <c r="X96" s="123">
        <f>Debt!X88</f>
        <v>0</v>
      </c>
      <c r="Y96" s="123">
        <f>Debt!Y88</f>
        <v>0</v>
      </c>
      <c r="Z96" s="123">
        <f>Debt!Z88</f>
        <v>0</v>
      </c>
      <c r="AA96" s="123">
        <f>Debt!AA88</f>
        <v>0</v>
      </c>
      <c r="AB96" s="123">
        <f>Debt!AB88</f>
        <v>0</v>
      </c>
      <c r="AC96"/>
      <c r="AD96"/>
      <c r="AE96"/>
    </row>
    <row r="97" spans="1:31" s="100" customFormat="1">
      <c r="A97" s="100" t="s">
        <v>1128</v>
      </c>
      <c r="C97" s="100">
        <f t="shared" ref="C97:S97" si="16">SUM(C94:C96)</f>
        <v>0</v>
      </c>
      <c r="D97" s="100">
        <f t="shared" ca="1" si="16"/>
        <v>0</v>
      </c>
      <c r="E97" s="100">
        <f t="shared" ca="1" si="16"/>
        <v>0</v>
      </c>
      <c r="F97" s="100">
        <f t="shared" ca="1" si="16"/>
        <v>0</v>
      </c>
      <c r="G97" s="100">
        <f t="shared" ca="1" si="16"/>
        <v>0</v>
      </c>
      <c r="H97" s="100">
        <f t="shared" ca="1" si="16"/>
        <v>0</v>
      </c>
      <c r="I97" s="100">
        <f t="shared" ca="1" si="16"/>
        <v>0</v>
      </c>
      <c r="J97" s="100">
        <f t="shared" ca="1" si="16"/>
        <v>0</v>
      </c>
      <c r="K97" s="100">
        <f t="shared" ca="1" si="16"/>
        <v>0</v>
      </c>
      <c r="L97" s="100">
        <f t="shared" ca="1" si="16"/>
        <v>0</v>
      </c>
      <c r="M97" s="100">
        <f t="shared" ca="1" si="16"/>
        <v>0</v>
      </c>
      <c r="N97" s="100">
        <f t="shared" ca="1" si="16"/>
        <v>0</v>
      </c>
      <c r="O97" s="100">
        <f t="shared" ca="1" si="16"/>
        <v>0</v>
      </c>
      <c r="P97" s="100">
        <f t="shared" ca="1" si="16"/>
        <v>0</v>
      </c>
      <c r="Q97" s="100">
        <f t="shared" ca="1" si="16"/>
        <v>0</v>
      </c>
      <c r="R97" s="100">
        <f t="shared" ca="1" si="16"/>
        <v>0</v>
      </c>
      <c r="S97" s="100">
        <f t="shared" si="16"/>
        <v>0</v>
      </c>
      <c r="T97" s="100">
        <f t="shared" ref="T97:AB97" si="17">SUM(T94:T96)</f>
        <v>0</v>
      </c>
      <c r="U97" s="100">
        <f t="shared" si="17"/>
        <v>0</v>
      </c>
      <c r="V97" s="100">
        <f t="shared" si="17"/>
        <v>0</v>
      </c>
      <c r="W97" s="100">
        <f t="shared" si="17"/>
        <v>0</v>
      </c>
      <c r="X97" s="100">
        <f t="shared" si="17"/>
        <v>0</v>
      </c>
      <c r="Y97" s="100">
        <f t="shared" si="17"/>
        <v>0</v>
      </c>
      <c r="Z97" s="100">
        <f t="shared" si="17"/>
        <v>0</v>
      </c>
      <c r="AA97" s="100">
        <f t="shared" si="17"/>
        <v>0</v>
      </c>
      <c r="AB97" s="100">
        <f t="shared" si="17"/>
        <v>0</v>
      </c>
      <c r="AC97"/>
      <c r="AD97"/>
      <c r="AE97"/>
    </row>
    <row r="98" spans="1:31" s="100" customFormat="1">
      <c r="AC98"/>
      <c r="AD98"/>
      <c r="AE98"/>
    </row>
    <row r="99" spans="1:31" s="100" customFormat="1" ht="13.5">
      <c r="A99" s="351" t="s">
        <v>1248</v>
      </c>
      <c r="C99" s="100">
        <f t="shared" ref="C99:S99" ca="1" si="18">C91-C97</f>
        <v>8738.4647827179851</v>
      </c>
      <c r="D99" s="100">
        <f t="shared" ca="1" si="18"/>
        <v>15136.686702614876</v>
      </c>
      <c r="E99" s="100">
        <f t="shared" ca="1" si="18"/>
        <v>14604.838821261857</v>
      </c>
      <c r="F99" s="100">
        <f t="shared" ca="1" si="18"/>
        <v>14127.806741352593</v>
      </c>
      <c r="G99" s="100">
        <f t="shared" ca="1" si="18"/>
        <v>13694.455617995074</v>
      </c>
      <c r="H99" s="100">
        <f t="shared" ca="1" si="18"/>
        <v>13299.16458043288</v>
      </c>
      <c r="I99" s="100">
        <f t="shared" ca="1" si="18"/>
        <v>13109.001201113926</v>
      </c>
      <c r="J99" s="100">
        <f t="shared" ca="1" si="18"/>
        <v>13107.348175822961</v>
      </c>
      <c r="K99" s="100">
        <f t="shared" ca="1" si="18"/>
        <v>13093.851925829675</v>
      </c>
      <c r="L99" s="100">
        <f t="shared" ca="1" si="18"/>
        <v>13090.736993175358</v>
      </c>
      <c r="M99" s="100">
        <f t="shared" ca="1" si="18"/>
        <v>10044.937546425821</v>
      </c>
      <c r="N99" s="100">
        <f t="shared" ca="1" si="18"/>
        <v>10112.404080705337</v>
      </c>
      <c r="O99" s="100">
        <f t="shared" ca="1" si="18"/>
        <v>10167.98429111519</v>
      </c>
      <c r="P99" s="100">
        <f t="shared" ca="1" si="18"/>
        <v>10233.9225068085</v>
      </c>
      <c r="Q99" s="100">
        <f t="shared" ca="1" si="18"/>
        <v>13170.725455237405</v>
      </c>
      <c r="R99" s="100">
        <f t="shared" ca="1" si="18"/>
        <v>11366.81100281416</v>
      </c>
      <c r="S99" s="100">
        <f t="shared" ca="1" si="18"/>
        <v>9708.9906838479747</v>
      </c>
      <c r="T99" s="100">
        <f t="shared" ref="T99:AB99" ca="1" si="19">T91-T97</f>
        <v>9691.6853292954802</v>
      </c>
      <c r="U99" s="100">
        <f t="shared" ca="1" si="19"/>
        <v>9673.2992928388994</v>
      </c>
      <c r="V99" s="100">
        <f t="shared" ca="1" si="19"/>
        <v>9653.7747783878349</v>
      </c>
      <c r="W99" s="100">
        <f t="shared" ca="1" si="19"/>
        <v>9633.0509980973256</v>
      </c>
      <c r="X99" s="100">
        <f t="shared" ca="1" si="19"/>
        <v>9611.0640200172384</v>
      </c>
      <c r="Y99" s="100">
        <f t="shared" ca="1" si="19"/>
        <v>9587.7466080492868</v>
      </c>
      <c r="Z99" s="100">
        <f t="shared" ca="1" si="19"/>
        <v>9563.0280538250481</v>
      </c>
      <c r="AA99" s="100">
        <f t="shared" ca="1" si="19"/>
        <v>9536.8340000987755</v>
      </c>
      <c r="AB99" s="100">
        <f t="shared" ca="1" si="19"/>
        <v>9269.303428289546</v>
      </c>
      <c r="AC99"/>
      <c r="AD99"/>
      <c r="AE99"/>
    </row>
    <row r="100" spans="1:31">
      <c r="AC100"/>
      <c r="AD100"/>
      <c r="AE100"/>
    </row>
    <row r="101" spans="1:31">
      <c r="A101" s="14" t="s">
        <v>1391</v>
      </c>
      <c r="B101" s="100"/>
      <c r="C101" s="100">
        <f t="shared" ref="C101:S101" ca="1" si="20">C99</f>
        <v>8738.4647827179851</v>
      </c>
      <c r="D101" s="100">
        <f t="shared" ca="1" si="20"/>
        <v>15136.686702614876</v>
      </c>
      <c r="E101" s="100">
        <f t="shared" ca="1" si="20"/>
        <v>14604.838821261857</v>
      </c>
      <c r="F101" s="100">
        <f t="shared" ca="1" si="20"/>
        <v>14127.806741352593</v>
      </c>
      <c r="G101" s="100">
        <f t="shared" ca="1" si="20"/>
        <v>13694.455617995074</v>
      </c>
      <c r="H101" s="100">
        <f t="shared" ca="1" si="20"/>
        <v>13299.16458043288</v>
      </c>
      <c r="I101" s="100">
        <f t="shared" ca="1" si="20"/>
        <v>13109.001201113926</v>
      </c>
      <c r="J101" s="100">
        <f t="shared" ca="1" si="20"/>
        <v>13107.348175822961</v>
      </c>
      <c r="K101" s="100">
        <f t="shared" ca="1" si="20"/>
        <v>13093.851925829675</v>
      </c>
      <c r="L101" s="100">
        <f t="shared" ca="1" si="20"/>
        <v>13090.736993175358</v>
      </c>
      <c r="M101" s="100">
        <f t="shared" ca="1" si="20"/>
        <v>10044.937546425821</v>
      </c>
      <c r="N101" s="100">
        <f t="shared" ca="1" si="20"/>
        <v>10112.404080705337</v>
      </c>
      <c r="O101" s="100">
        <f t="shared" ca="1" si="20"/>
        <v>10167.98429111519</v>
      </c>
      <c r="P101" s="100">
        <f t="shared" ca="1" si="20"/>
        <v>10233.9225068085</v>
      </c>
      <c r="Q101" s="100">
        <f t="shared" ca="1" si="20"/>
        <v>13170.725455237405</v>
      </c>
      <c r="R101" s="100">
        <f t="shared" ca="1" si="20"/>
        <v>11366.81100281416</v>
      </c>
      <c r="S101" s="100">
        <f t="shared" ca="1" si="20"/>
        <v>9708.9906838479747</v>
      </c>
      <c r="T101" s="100">
        <f t="shared" ref="T101:AB101" ca="1" si="21">T99</f>
        <v>9691.6853292954802</v>
      </c>
      <c r="U101" s="100">
        <f t="shared" ca="1" si="21"/>
        <v>9673.2992928388994</v>
      </c>
      <c r="V101" s="100">
        <f t="shared" ca="1" si="21"/>
        <v>9653.7747783878349</v>
      </c>
      <c r="W101" s="100">
        <f t="shared" ca="1" si="21"/>
        <v>9633.0509980973256</v>
      </c>
      <c r="X101" s="100">
        <f t="shared" ca="1" si="21"/>
        <v>9611.0640200172384</v>
      </c>
      <c r="Y101" s="100">
        <f t="shared" ca="1" si="21"/>
        <v>9587.7466080492868</v>
      </c>
      <c r="Z101" s="100">
        <f t="shared" ca="1" si="21"/>
        <v>9563.0280538250481</v>
      </c>
      <c r="AA101" s="100">
        <f t="shared" ca="1" si="21"/>
        <v>9536.8340000987755</v>
      </c>
      <c r="AB101" s="100">
        <f t="shared" ca="1" si="21"/>
        <v>9269.303428289546</v>
      </c>
      <c r="AC101"/>
      <c r="AD101"/>
      <c r="AE101"/>
    </row>
    <row r="102" spans="1:31" s="13" customFormat="1">
      <c r="A102" s="13" t="s">
        <v>1392</v>
      </c>
      <c r="B102" s="153"/>
      <c r="C102" s="620">
        <f ca="1">C113</f>
        <v>0</v>
      </c>
      <c r="D102" s="620">
        <f t="shared" ref="D102:S102" ca="1" si="22">D113-C113</f>
        <v>0</v>
      </c>
      <c r="E102" s="620">
        <f t="shared" ca="1" si="22"/>
        <v>0</v>
      </c>
      <c r="F102" s="620">
        <f t="shared" ca="1" si="22"/>
        <v>0</v>
      </c>
      <c r="G102" s="620">
        <f t="shared" ca="1" si="22"/>
        <v>0</v>
      </c>
      <c r="H102" s="620">
        <f t="shared" ca="1" si="22"/>
        <v>0</v>
      </c>
      <c r="I102" s="620">
        <f t="shared" ca="1" si="22"/>
        <v>0</v>
      </c>
      <c r="J102" s="620">
        <f t="shared" ca="1" si="22"/>
        <v>0</v>
      </c>
      <c r="K102" s="620">
        <f t="shared" ca="1" si="22"/>
        <v>0</v>
      </c>
      <c r="L102" s="620">
        <f t="shared" ca="1" si="22"/>
        <v>0</v>
      </c>
      <c r="M102" s="620">
        <f t="shared" ca="1" si="22"/>
        <v>0</v>
      </c>
      <c r="N102" s="620">
        <f t="shared" ca="1" si="22"/>
        <v>0</v>
      </c>
      <c r="O102" s="620">
        <f t="shared" ca="1" si="22"/>
        <v>0</v>
      </c>
      <c r="P102" s="620">
        <f t="shared" ca="1" si="22"/>
        <v>0</v>
      </c>
      <c r="Q102" s="620">
        <f t="shared" ca="1" si="22"/>
        <v>0</v>
      </c>
      <c r="R102" s="620">
        <f t="shared" ca="1" si="22"/>
        <v>0</v>
      </c>
      <c r="S102" s="620">
        <f t="shared" ca="1" si="22"/>
        <v>0</v>
      </c>
      <c r="T102" s="620">
        <f t="shared" ref="T102:AB102" ca="1" si="23">T113-S113</f>
        <v>0</v>
      </c>
      <c r="U102" s="620">
        <f t="shared" ca="1" si="23"/>
        <v>0</v>
      </c>
      <c r="V102" s="620">
        <f t="shared" ca="1" si="23"/>
        <v>0</v>
      </c>
      <c r="W102" s="620">
        <f t="shared" ca="1" si="23"/>
        <v>0</v>
      </c>
      <c r="X102" s="620">
        <f t="shared" ca="1" si="23"/>
        <v>0</v>
      </c>
      <c r="Y102" s="620">
        <f t="shared" ca="1" si="23"/>
        <v>0</v>
      </c>
      <c r="Z102" s="620">
        <f t="shared" ca="1" si="23"/>
        <v>0</v>
      </c>
      <c r="AA102" s="620">
        <f t="shared" ca="1" si="23"/>
        <v>0</v>
      </c>
      <c r="AB102" s="620">
        <f t="shared" ca="1" si="23"/>
        <v>0</v>
      </c>
      <c r="AC102"/>
      <c r="AD102"/>
      <c r="AE102"/>
    </row>
    <row r="103" spans="1:31">
      <c r="A103" s="14" t="s">
        <v>1398</v>
      </c>
      <c r="B103" s="100"/>
      <c r="C103" s="100">
        <f t="shared" ref="C103:S103" ca="1" si="24">SUM(C101:C102)</f>
        <v>8738.4647827179851</v>
      </c>
      <c r="D103" s="100">
        <f t="shared" ca="1" si="24"/>
        <v>15136.686702614876</v>
      </c>
      <c r="E103" s="100">
        <f t="shared" ca="1" si="24"/>
        <v>14604.838821261857</v>
      </c>
      <c r="F103" s="100">
        <f t="shared" ca="1" si="24"/>
        <v>14127.806741352593</v>
      </c>
      <c r="G103" s="100">
        <f t="shared" ca="1" si="24"/>
        <v>13694.455617995074</v>
      </c>
      <c r="H103" s="100">
        <f t="shared" ca="1" si="24"/>
        <v>13299.16458043288</v>
      </c>
      <c r="I103" s="100">
        <f t="shared" ca="1" si="24"/>
        <v>13109.001201113926</v>
      </c>
      <c r="J103" s="100">
        <f t="shared" ca="1" si="24"/>
        <v>13107.348175822961</v>
      </c>
      <c r="K103" s="100">
        <f t="shared" ca="1" si="24"/>
        <v>13093.851925829675</v>
      </c>
      <c r="L103" s="100">
        <f t="shared" ca="1" si="24"/>
        <v>13090.736993175358</v>
      </c>
      <c r="M103" s="100">
        <f t="shared" ca="1" si="24"/>
        <v>10044.937546425821</v>
      </c>
      <c r="N103" s="100">
        <f t="shared" ca="1" si="24"/>
        <v>10112.404080705337</v>
      </c>
      <c r="O103" s="100">
        <f t="shared" ca="1" si="24"/>
        <v>10167.98429111519</v>
      </c>
      <c r="P103" s="100">
        <f t="shared" ca="1" si="24"/>
        <v>10233.9225068085</v>
      </c>
      <c r="Q103" s="100">
        <f t="shared" ca="1" si="24"/>
        <v>13170.725455237405</v>
      </c>
      <c r="R103" s="100">
        <f t="shared" ca="1" si="24"/>
        <v>11366.81100281416</v>
      </c>
      <c r="S103" s="100">
        <f t="shared" ca="1" si="24"/>
        <v>9708.9906838479747</v>
      </c>
      <c r="T103" s="100">
        <f t="shared" ref="T103:AB103" ca="1" si="25">SUM(T101:T102)</f>
        <v>9691.6853292954802</v>
      </c>
      <c r="U103" s="100">
        <f t="shared" ca="1" si="25"/>
        <v>9673.2992928388994</v>
      </c>
      <c r="V103" s="100">
        <f t="shared" ca="1" si="25"/>
        <v>9653.7747783878349</v>
      </c>
      <c r="W103" s="100">
        <f t="shared" ca="1" si="25"/>
        <v>9633.0509980973256</v>
      </c>
      <c r="X103" s="100">
        <f t="shared" ca="1" si="25"/>
        <v>9611.0640200172384</v>
      </c>
      <c r="Y103" s="100">
        <f t="shared" ca="1" si="25"/>
        <v>9587.7466080492868</v>
      </c>
      <c r="Z103" s="100">
        <f t="shared" ca="1" si="25"/>
        <v>9563.0280538250481</v>
      </c>
      <c r="AA103" s="100">
        <f t="shared" ca="1" si="25"/>
        <v>9536.8340000987755</v>
      </c>
      <c r="AB103" s="100">
        <f t="shared" ca="1" si="25"/>
        <v>9269.303428289546</v>
      </c>
      <c r="AC103"/>
      <c r="AD103"/>
      <c r="AE103"/>
    </row>
    <row r="104" spans="1:31" s="679" customFormat="1">
      <c r="A104" s="679" t="s">
        <v>1317</v>
      </c>
      <c r="C104" s="680">
        <f t="shared" ref="C104:S104" ca="1" si="26">-MAX(0,C103)</f>
        <v>-8738.4647827179851</v>
      </c>
      <c r="D104" s="680">
        <f t="shared" ca="1" si="26"/>
        <v>-15136.686702614876</v>
      </c>
      <c r="E104" s="680">
        <f t="shared" ca="1" si="26"/>
        <v>-14604.838821261857</v>
      </c>
      <c r="F104" s="680">
        <f t="shared" ca="1" si="26"/>
        <v>-14127.806741352593</v>
      </c>
      <c r="G104" s="680">
        <f t="shared" ca="1" si="26"/>
        <v>-13694.455617995074</v>
      </c>
      <c r="H104" s="680">
        <f t="shared" ca="1" si="26"/>
        <v>-13299.16458043288</v>
      </c>
      <c r="I104" s="680">
        <f t="shared" ca="1" si="26"/>
        <v>-13109.001201113926</v>
      </c>
      <c r="J104" s="680">
        <f t="shared" ca="1" si="26"/>
        <v>-13107.348175822961</v>
      </c>
      <c r="K104" s="680">
        <f t="shared" ca="1" si="26"/>
        <v>-13093.851925829675</v>
      </c>
      <c r="L104" s="680">
        <f t="shared" ca="1" si="26"/>
        <v>-13090.736993175358</v>
      </c>
      <c r="M104" s="680">
        <f t="shared" ca="1" si="26"/>
        <v>-10044.937546425821</v>
      </c>
      <c r="N104" s="680">
        <f t="shared" ca="1" si="26"/>
        <v>-10112.404080705337</v>
      </c>
      <c r="O104" s="680">
        <f t="shared" ca="1" si="26"/>
        <v>-10167.98429111519</v>
      </c>
      <c r="P104" s="680">
        <f t="shared" ca="1" si="26"/>
        <v>-10233.9225068085</v>
      </c>
      <c r="Q104" s="680">
        <f t="shared" ca="1" si="26"/>
        <v>-13170.725455237405</v>
      </c>
      <c r="R104" s="680">
        <f t="shared" ca="1" si="26"/>
        <v>-11366.81100281416</v>
      </c>
      <c r="S104" s="680">
        <f t="shared" ca="1" si="26"/>
        <v>-9708.9906838479747</v>
      </c>
      <c r="T104" s="680">
        <f t="shared" ref="T104:AB104" ca="1" si="27">-MAX(0,T103)</f>
        <v>-9691.6853292954802</v>
      </c>
      <c r="U104" s="680">
        <f t="shared" ca="1" si="27"/>
        <v>-9673.2992928388994</v>
      </c>
      <c r="V104" s="680">
        <f t="shared" ca="1" si="27"/>
        <v>-9653.7747783878349</v>
      </c>
      <c r="W104" s="680">
        <f t="shared" ca="1" si="27"/>
        <v>-9633.0509980973256</v>
      </c>
      <c r="X104" s="680">
        <f t="shared" ca="1" si="27"/>
        <v>-9611.0640200172384</v>
      </c>
      <c r="Y104" s="680">
        <f t="shared" ca="1" si="27"/>
        <v>-9587.7466080492868</v>
      </c>
      <c r="Z104" s="680">
        <f t="shared" ca="1" si="27"/>
        <v>-9563.0280538250481</v>
      </c>
      <c r="AA104" s="680">
        <f t="shared" ca="1" si="27"/>
        <v>-9536.8340000987755</v>
      </c>
      <c r="AB104" s="680">
        <f t="shared" ca="1" si="27"/>
        <v>-9269.303428289546</v>
      </c>
      <c r="AC104"/>
      <c r="AD104"/>
      <c r="AE104"/>
    </row>
    <row r="105" spans="1:31">
      <c r="A105" s="14" t="s">
        <v>1318</v>
      </c>
      <c r="C105" s="100">
        <f t="shared" ref="C105:S105" ca="1" si="28">C103+C104</f>
        <v>0</v>
      </c>
      <c r="D105" s="100">
        <f t="shared" ca="1" si="28"/>
        <v>0</v>
      </c>
      <c r="E105" s="100">
        <f t="shared" ca="1" si="28"/>
        <v>0</v>
      </c>
      <c r="F105" s="100">
        <f t="shared" ca="1" si="28"/>
        <v>0</v>
      </c>
      <c r="G105" s="100">
        <f t="shared" ca="1" si="28"/>
        <v>0</v>
      </c>
      <c r="H105" s="100">
        <f t="shared" ca="1" si="28"/>
        <v>0</v>
      </c>
      <c r="I105" s="100">
        <f t="shared" ca="1" si="28"/>
        <v>0</v>
      </c>
      <c r="J105" s="100">
        <f t="shared" ca="1" si="28"/>
        <v>0</v>
      </c>
      <c r="K105" s="100">
        <f t="shared" ca="1" si="28"/>
        <v>0</v>
      </c>
      <c r="L105" s="100">
        <f t="shared" ca="1" si="28"/>
        <v>0</v>
      </c>
      <c r="M105" s="100">
        <f t="shared" ca="1" si="28"/>
        <v>0</v>
      </c>
      <c r="N105" s="100">
        <f t="shared" ca="1" si="28"/>
        <v>0</v>
      </c>
      <c r="O105" s="100">
        <f t="shared" ca="1" si="28"/>
        <v>0</v>
      </c>
      <c r="P105" s="100">
        <f t="shared" ca="1" si="28"/>
        <v>0</v>
      </c>
      <c r="Q105" s="100">
        <f t="shared" ca="1" si="28"/>
        <v>0</v>
      </c>
      <c r="R105" s="100">
        <f t="shared" ca="1" si="28"/>
        <v>0</v>
      </c>
      <c r="S105" s="100">
        <f t="shared" ca="1" si="28"/>
        <v>0</v>
      </c>
      <c r="T105" s="100">
        <f t="shared" ref="T105:AB105" ca="1" si="29">T103+T104</f>
        <v>0</v>
      </c>
      <c r="U105" s="100">
        <f t="shared" ca="1" si="29"/>
        <v>0</v>
      </c>
      <c r="V105" s="100">
        <f t="shared" ca="1" si="29"/>
        <v>0</v>
      </c>
      <c r="W105" s="100">
        <f t="shared" ca="1" si="29"/>
        <v>0</v>
      </c>
      <c r="X105" s="100">
        <f t="shared" ca="1" si="29"/>
        <v>0</v>
      </c>
      <c r="Y105" s="100">
        <f t="shared" ca="1" si="29"/>
        <v>0</v>
      </c>
      <c r="Z105" s="100">
        <f t="shared" ca="1" si="29"/>
        <v>0</v>
      </c>
      <c r="AA105" s="100">
        <f t="shared" ca="1" si="29"/>
        <v>0</v>
      </c>
      <c r="AB105" s="100">
        <f t="shared" ca="1" si="29"/>
        <v>0</v>
      </c>
      <c r="AC105"/>
      <c r="AD105"/>
      <c r="AE105"/>
    </row>
    <row r="106" spans="1:31">
      <c r="A106" s="14" t="s">
        <v>1374</v>
      </c>
      <c r="C106" s="14">
        <v>0</v>
      </c>
      <c r="D106" s="100">
        <f t="shared" ref="D106:S106" ca="1" si="30">C107</f>
        <v>0</v>
      </c>
      <c r="E106" s="100">
        <f t="shared" ca="1" si="30"/>
        <v>0</v>
      </c>
      <c r="F106" s="100">
        <f t="shared" ca="1" si="30"/>
        <v>0</v>
      </c>
      <c r="G106" s="100">
        <f t="shared" ca="1" si="30"/>
        <v>0</v>
      </c>
      <c r="H106" s="100">
        <f t="shared" ca="1" si="30"/>
        <v>0</v>
      </c>
      <c r="I106" s="100">
        <f t="shared" ca="1" si="30"/>
        <v>0</v>
      </c>
      <c r="J106" s="100">
        <f t="shared" ca="1" si="30"/>
        <v>0</v>
      </c>
      <c r="K106" s="100">
        <f t="shared" ca="1" si="30"/>
        <v>0</v>
      </c>
      <c r="L106" s="100">
        <f t="shared" ca="1" si="30"/>
        <v>0</v>
      </c>
      <c r="M106" s="100">
        <f t="shared" ca="1" si="30"/>
        <v>0</v>
      </c>
      <c r="N106" s="100">
        <f t="shared" ca="1" si="30"/>
        <v>0</v>
      </c>
      <c r="O106" s="100">
        <f t="shared" ca="1" si="30"/>
        <v>0</v>
      </c>
      <c r="P106" s="100">
        <f t="shared" ca="1" si="30"/>
        <v>0</v>
      </c>
      <c r="Q106" s="100">
        <f t="shared" ca="1" si="30"/>
        <v>0</v>
      </c>
      <c r="R106" s="100">
        <f t="shared" ca="1" si="30"/>
        <v>0</v>
      </c>
      <c r="S106" s="100">
        <f t="shared" ca="1" si="30"/>
        <v>0</v>
      </c>
      <c r="T106" s="100">
        <f t="shared" ref="T106:AB106" ca="1" si="31">S107</f>
        <v>0</v>
      </c>
      <c r="U106" s="100">
        <f t="shared" ca="1" si="31"/>
        <v>0</v>
      </c>
      <c r="V106" s="100">
        <f t="shared" ca="1" si="31"/>
        <v>0</v>
      </c>
      <c r="W106" s="100">
        <f t="shared" ca="1" si="31"/>
        <v>0</v>
      </c>
      <c r="X106" s="100">
        <f t="shared" ca="1" si="31"/>
        <v>0</v>
      </c>
      <c r="Y106" s="100">
        <f t="shared" ca="1" si="31"/>
        <v>0</v>
      </c>
      <c r="Z106" s="100">
        <f t="shared" ca="1" si="31"/>
        <v>0</v>
      </c>
      <c r="AA106" s="100">
        <f t="shared" ca="1" si="31"/>
        <v>0</v>
      </c>
      <c r="AB106" s="100">
        <f t="shared" ca="1" si="31"/>
        <v>0</v>
      </c>
      <c r="AC106"/>
      <c r="AD106"/>
      <c r="AE106"/>
    </row>
    <row r="107" spans="1:31">
      <c r="A107" s="14" t="s">
        <v>1375</v>
      </c>
      <c r="C107" s="100">
        <f t="shared" ref="C107:S107" ca="1" si="32">C105+C106</f>
        <v>0</v>
      </c>
      <c r="D107" s="100">
        <f t="shared" ca="1" si="32"/>
        <v>0</v>
      </c>
      <c r="E107" s="100">
        <f t="shared" ca="1" si="32"/>
        <v>0</v>
      </c>
      <c r="F107" s="100">
        <f t="shared" ca="1" si="32"/>
        <v>0</v>
      </c>
      <c r="G107" s="100">
        <f t="shared" ca="1" si="32"/>
        <v>0</v>
      </c>
      <c r="H107" s="100">
        <f t="shared" ca="1" si="32"/>
        <v>0</v>
      </c>
      <c r="I107" s="100">
        <f t="shared" ca="1" si="32"/>
        <v>0</v>
      </c>
      <c r="J107" s="100">
        <f t="shared" ca="1" si="32"/>
        <v>0</v>
      </c>
      <c r="K107" s="100">
        <f t="shared" ca="1" si="32"/>
        <v>0</v>
      </c>
      <c r="L107" s="100">
        <f t="shared" ca="1" si="32"/>
        <v>0</v>
      </c>
      <c r="M107" s="100">
        <f t="shared" ca="1" si="32"/>
        <v>0</v>
      </c>
      <c r="N107" s="100">
        <f t="shared" ca="1" si="32"/>
        <v>0</v>
      </c>
      <c r="O107" s="100">
        <f t="shared" ca="1" si="32"/>
        <v>0</v>
      </c>
      <c r="P107" s="100">
        <f t="shared" ca="1" si="32"/>
        <v>0</v>
      </c>
      <c r="Q107" s="100">
        <f t="shared" ca="1" si="32"/>
        <v>0</v>
      </c>
      <c r="R107" s="100">
        <f t="shared" ca="1" si="32"/>
        <v>0</v>
      </c>
      <c r="S107" s="100">
        <f t="shared" ca="1" si="32"/>
        <v>0</v>
      </c>
      <c r="T107" s="100">
        <f t="shared" ref="T107:AB107" ca="1" si="33">T105+T106</f>
        <v>0</v>
      </c>
      <c r="U107" s="100">
        <f t="shared" ca="1" si="33"/>
        <v>0</v>
      </c>
      <c r="V107" s="100">
        <f t="shared" ca="1" si="33"/>
        <v>0</v>
      </c>
      <c r="W107" s="100">
        <f t="shared" ca="1" si="33"/>
        <v>0</v>
      </c>
      <c r="X107" s="100">
        <f t="shared" ca="1" si="33"/>
        <v>0</v>
      </c>
      <c r="Y107" s="100">
        <f t="shared" ca="1" si="33"/>
        <v>0</v>
      </c>
      <c r="Z107" s="100">
        <f t="shared" ca="1" si="33"/>
        <v>0</v>
      </c>
      <c r="AA107" s="100">
        <f t="shared" ca="1" si="33"/>
        <v>0</v>
      </c>
      <c r="AB107" s="100">
        <f t="shared" ca="1" si="33"/>
        <v>0</v>
      </c>
      <c r="AC107"/>
      <c r="AD107"/>
      <c r="AE107"/>
    </row>
    <row r="111" spans="1:31" ht="13.5" thickBot="1"/>
    <row r="112" spans="1:31" s="476" customFormat="1" ht="12" thickBot="1">
      <c r="A112" s="610" t="s">
        <v>1393</v>
      </c>
      <c r="B112" s="611"/>
      <c r="C112" s="612"/>
      <c r="D112" s="612"/>
      <c r="E112" s="612"/>
      <c r="F112" s="612"/>
      <c r="G112" s="612"/>
      <c r="H112" s="612"/>
      <c r="I112" s="612"/>
      <c r="J112" s="612"/>
      <c r="K112" s="612"/>
      <c r="L112" s="612"/>
      <c r="M112" s="612"/>
      <c r="N112" s="612"/>
      <c r="O112" s="612"/>
      <c r="P112" s="612"/>
      <c r="Q112" s="612"/>
      <c r="R112" s="612"/>
      <c r="S112" s="612"/>
      <c r="T112" s="612"/>
      <c r="U112" s="612"/>
      <c r="V112" s="612"/>
      <c r="W112" s="612"/>
      <c r="X112" s="612"/>
      <c r="Y112" s="612"/>
      <c r="Z112" s="612"/>
      <c r="AA112" s="612"/>
      <c r="AB112" s="612"/>
      <c r="AC112" s="612"/>
      <c r="AD112" s="612"/>
      <c r="AE112" s="612"/>
    </row>
    <row r="113" spans="1:31" s="476" customFormat="1">
      <c r="A113" t="s">
        <v>1394</v>
      </c>
      <c r="C113" s="613">
        <f ca="1">-MIN(C101,0)</f>
        <v>0</v>
      </c>
      <c r="D113" s="613">
        <f t="shared" ref="D113:S113" ca="1" si="34">-MIN(-C113+D101,0)</f>
        <v>0</v>
      </c>
      <c r="E113" s="613">
        <f t="shared" ca="1" si="34"/>
        <v>0</v>
      </c>
      <c r="F113" s="613">
        <f t="shared" ca="1" si="34"/>
        <v>0</v>
      </c>
      <c r="G113" s="613">
        <f t="shared" ca="1" si="34"/>
        <v>0</v>
      </c>
      <c r="H113" s="613">
        <f t="shared" ca="1" si="34"/>
        <v>0</v>
      </c>
      <c r="I113" s="613">
        <f t="shared" ca="1" si="34"/>
        <v>0</v>
      </c>
      <c r="J113" s="613">
        <f t="shared" ca="1" si="34"/>
        <v>0</v>
      </c>
      <c r="K113" s="613">
        <f t="shared" ca="1" si="34"/>
        <v>0</v>
      </c>
      <c r="L113" s="613">
        <f t="shared" ca="1" si="34"/>
        <v>0</v>
      </c>
      <c r="M113" s="613">
        <f t="shared" ca="1" si="34"/>
        <v>0</v>
      </c>
      <c r="N113" s="613">
        <f t="shared" ca="1" si="34"/>
        <v>0</v>
      </c>
      <c r="O113" s="613">
        <f t="shared" ca="1" si="34"/>
        <v>0</v>
      </c>
      <c r="P113" s="613">
        <f t="shared" ca="1" si="34"/>
        <v>0</v>
      </c>
      <c r="Q113" s="613">
        <f t="shared" ca="1" si="34"/>
        <v>0</v>
      </c>
      <c r="R113" s="613">
        <f t="shared" ca="1" si="34"/>
        <v>0</v>
      </c>
      <c r="S113" s="613">
        <f t="shared" ca="1" si="34"/>
        <v>0</v>
      </c>
      <c r="T113" s="613">
        <f t="shared" ref="T113:AB113" ca="1" si="35">-MIN(-S113+T101,0)</f>
        <v>0</v>
      </c>
      <c r="U113" s="613">
        <f t="shared" ca="1" si="35"/>
        <v>0</v>
      </c>
      <c r="V113" s="613">
        <f t="shared" ca="1" si="35"/>
        <v>0</v>
      </c>
      <c r="W113" s="613">
        <f t="shared" ca="1" si="35"/>
        <v>0</v>
      </c>
      <c r="X113" s="613">
        <f t="shared" ca="1" si="35"/>
        <v>0</v>
      </c>
      <c r="Y113" s="613">
        <f t="shared" ca="1" si="35"/>
        <v>0</v>
      </c>
      <c r="Z113" s="613">
        <f t="shared" ca="1" si="35"/>
        <v>0</v>
      </c>
      <c r="AA113" s="613">
        <f t="shared" ca="1" si="35"/>
        <v>0</v>
      </c>
      <c r="AB113" s="613">
        <f t="shared" ca="1" si="35"/>
        <v>0</v>
      </c>
      <c r="AC113" s="613"/>
      <c r="AD113" s="613"/>
      <c r="AE113" s="613"/>
    </row>
    <row r="114" spans="1:31" s="476" customFormat="1" ht="11.25">
      <c r="A114" s="614" t="s">
        <v>1193</v>
      </c>
      <c r="B114" s="613"/>
      <c r="C114" s="613">
        <v>0</v>
      </c>
      <c r="D114" s="613">
        <f ca="1">AVERAGE(C113:D113)*Assum!$B$125</f>
        <v>0</v>
      </c>
      <c r="E114" s="613">
        <f ca="1">AVERAGE(D113:E113)*Assum!$B$125</f>
        <v>0</v>
      </c>
      <c r="F114" s="613">
        <f ca="1">AVERAGE(E113:F113)*Assum!$B$125</f>
        <v>0</v>
      </c>
      <c r="G114" s="613">
        <f ca="1">AVERAGE(F113:G113)*Assum!$B$125</f>
        <v>0</v>
      </c>
      <c r="H114" s="613">
        <f ca="1">AVERAGE(G113:H113)*Assum!$B$125</f>
        <v>0</v>
      </c>
      <c r="I114" s="613">
        <f ca="1">AVERAGE(H113:I113)*Assum!$B$125</f>
        <v>0</v>
      </c>
      <c r="J114" s="613">
        <f ca="1">AVERAGE(I113:J113)*Assum!$B$125</f>
        <v>0</v>
      </c>
      <c r="K114" s="613">
        <f ca="1">AVERAGE(J113:K113)*Assum!$B$125</f>
        <v>0</v>
      </c>
      <c r="L114" s="613">
        <f ca="1">AVERAGE(K113:L113)*Assum!$B$125</f>
        <v>0</v>
      </c>
      <c r="M114" s="613">
        <f ca="1">AVERAGE(L113:M113)*Assum!$B$125</f>
        <v>0</v>
      </c>
      <c r="N114" s="613">
        <f ca="1">AVERAGE(M113:N113)*Assum!$B$125</f>
        <v>0</v>
      </c>
      <c r="O114" s="613">
        <f ca="1">AVERAGE(N113:O113)*Assum!$B$125</f>
        <v>0</v>
      </c>
      <c r="P114" s="613">
        <f ca="1">AVERAGE(O113:P113)*Assum!$B$125</f>
        <v>0</v>
      </c>
      <c r="Q114" s="613">
        <f ca="1">AVERAGE(P113:Q113)*Assum!$B$125</f>
        <v>0</v>
      </c>
      <c r="R114" s="613">
        <f ca="1">AVERAGE(Q113:R113)*Assum!$B$125</f>
        <v>0</v>
      </c>
      <c r="S114" s="613">
        <f ca="1">AVERAGE(R113:S113)*Assum!$B$125</f>
        <v>0</v>
      </c>
      <c r="T114" s="613">
        <f ca="1">AVERAGE(S113:T113)*Assum!$B$125</f>
        <v>0</v>
      </c>
      <c r="U114" s="613">
        <f ca="1">AVERAGE(T113:U113)*Assum!$B$125</f>
        <v>0</v>
      </c>
      <c r="V114" s="613">
        <f ca="1">AVERAGE(U113:V113)*Assum!$B$125</f>
        <v>0</v>
      </c>
      <c r="W114" s="613">
        <f ca="1">AVERAGE(V113:W113)*Assum!$B$125</f>
        <v>0</v>
      </c>
      <c r="X114" s="613">
        <f ca="1">AVERAGE(W113:X113)*Assum!$B$125</f>
        <v>0</v>
      </c>
      <c r="Y114" s="613">
        <f ca="1">AVERAGE(X113:Y113)*Assum!$B$125</f>
        <v>0</v>
      </c>
      <c r="Z114" s="613">
        <f ca="1">AVERAGE(Y113:Z113)*Assum!$B$125</f>
        <v>0</v>
      </c>
      <c r="AA114" s="613">
        <f ca="1">AVERAGE(Z113:AA113)*Assum!$B$125</f>
        <v>0</v>
      </c>
      <c r="AB114" s="613">
        <f ca="1">AVERAGE(AA113:AB113)*Assum!$B$125</f>
        <v>0</v>
      </c>
      <c r="AC114" s="613"/>
      <c r="AD114" s="613"/>
      <c r="AE114" s="613"/>
    </row>
    <row r="118" spans="1:31">
      <c r="A118" s="14" t="s">
        <v>1236</v>
      </c>
      <c r="B118" s="100">
        <f ca="1">Assum!I22*(1-Assum!I21)</f>
        <v>177.25094420117748</v>
      </c>
      <c r="C118" s="47">
        <f ca="1">IF(Assum!$Q$78="Yes",$B$118*(IS!C94),Assum!$I$22)</f>
        <v>177.25094420117748</v>
      </c>
      <c r="D118" s="47">
        <f ca="1">IF(Assum!$Q$78="Yes",$B$118*(IS!D94),Assum!$I$22)</f>
        <v>182.5684725272128</v>
      </c>
      <c r="E118" s="47">
        <f ca="1">IF(Assum!$Q$78="Yes",$B$118*(IS!E94),Assum!$I$22)</f>
        <v>187.86295823050196</v>
      </c>
      <c r="F118" s="47">
        <f ca="1">IF(Assum!$Q$78="Yes",$B$118*(IS!F94),Assum!$I$22)</f>
        <v>193.21705254007125</v>
      </c>
      <c r="G118" s="47">
        <f ca="1">IF(Assum!$Q$78="Yes",$B$118*(IS!G94),Assum!$I$22)</f>
        <v>198.62713001119326</v>
      </c>
      <c r="H118" s="47">
        <f ca="1">IF(Assum!$Q$78="Yes",$B$118*(IS!H94),Assum!$I$22)</f>
        <v>204.02978794749771</v>
      </c>
      <c r="I118" s="47">
        <f ca="1">IF(Assum!$Q$78="Yes",$B$118*(IS!I94),Assum!$I$22)</f>
        <v>209.47738328569585</v>
      </c>
      <c r="J118" s="47">
        <f ca="1">IF(Assum!$Q$78="Yes",$B$118*(IS!J94),Assum!$I$22)</f>
        <v>214.96569072778109</v>
      </c>
      <c r="K118" s="47">
        <f ca="1">IF(Assum!$Q$78="Yes",$B$118*(IS!K94),Assum!$I$22)</f>
        <v>220.51180554855785</v>
      </c>
      <c r="L118" s="47">
        <f ca="1">IF(Assum!$Q$78="Yes",$B$118*(IS!L94),Assum!$I$22)</f>
        <v>226.11280540949124</v>
      </c>
      <c r="M118" s="47">
        <f ca="1">IF(Assum!$Q$78="Yes",$B$118*(IS!M94),Assum!$I$22)</f>
        <v>231.81084810581041</v>
      </c>
      <c r="N118" s="47">
        <f ca="1">IF(Assum!$Q$78="Yes",$B$118*(IS!N94),Assum!$I$22)</f>
        <v>237.60611930845565</v>
      </c>
      <c r="O118" s="47">
        <f ca="1">IF(Assum!$Q$78="Yes",$B$118*(IS!O94),Assum!$I$22)</f>
        <v>243.61755412695959</v>
      </c>
      <c r="P118" s="47">
        <f ca="1">IF(Assum!$Q$78="Yes",$B$118*(IS!P94),Assum!$I$22)</f>
        <v>249.87852526802246</v>
      </c>
      <c r="Q118" s="47">
        <f ca="1">IF(Assum!$Q$78="Yes",$B$118*(IS!Q94),Assum!$I$22)</f>
        <v>256.40035477751786</v>
      </c>
      <c r="R118" s="47">
        <f ca="1">IF(Assum!$Q$78="Yes",$B$118*(IS!R94),Assum!$I$22)</f>
        <v>263.24624425007755</v>
      </c>
      <c r="S118" s="47">
        <f ca="1">IF(Assum!$Q$78="Yes",$B$118*(IS!S94),Assum!$I$22)</f>
        <v>270.38021746925466</v>
      </c>
      <c r="T118" s="47">
        <f ca="1">IF(Assum!$Q$78="Yes",$B$118*(IS!T94),Assum!$I$22)</f>
        <v>277.7075213626714</v>
      </c>
      <c r="U118" s="47">
        <f ca="1">IF(Assum!$Q$78="Yes",$B$118*(IS!U94),Assum!$I$22)</f>
        <v>285.23339519159981</v>
      </c>
      <c r="V118" s="47">
        <f ca="1">IF(Assum!$Q$78="Yes",$B$118*(IS!V94),Assum!$I$22)</f>
        <v>292.96322020129213</v>
      </c>
      <c r="W118" s="47">
        <f ca="1">IF(Assum!$Q$78="Yes",$B$118*(IS!W94),Assum!$I$22)</f>
        <v>300.90252346874712</v>
      </c>
      <c r="X118" s="47">
        <f ca="1">IF(Assum!$Q$78="Yes",$B$118*(IS!X94),Assum!$I$22)</f>
        <v>309.05698185475018</v>
      </c>
      <c r="Y118" s="47">
        <f ca="1">IF(Assum!$Q$78="Yes",$B$118*(IS!Y94),Assum!$I$22)</f>
        <v>317.43242606301385</v>
      </c>
      <c r="Z118" s="47">
        <f ca="1">IF(Assum!$Q$78="Yes",$B$118*(IS!Z94),Assum!$I$22)</f>
        <v>326.0348448093215</v>
      </c>
      <c r="AA118" s="47">
        <f ca="1">IF(Assum!$Q$78="Yes",$B$118*(IS!AA94),Assum!$I$22)</f>
        <v>334.87038910365408</v>
      </c>
      <c r="AB118" s="47">
        <f ca="1">IF(Assum!$Q$78="Yes",$B$118*(IS!AB94),Assum!$I$22)</f>
        <v>343.94537664836309</v>
      </c>
    </row>
  </sheetData>
  <pageMargins left="0.45" right="0.45" top="0.5" bottom="0.5" header="0.25" footer="0.25"/>
  <pageSetup paperSize="5" scale="47" orientation="landscape" r:id="rId1"/>
  <headerFooter alignWithMargins="0">
    <oddFooter xml:space="preserve">&amp;L&amp;T, &amp;D&amp;C&amp;F&amp;R&amp;P </oddFooter>
  </headerFooter>
  <colBreaks count="1" manualBreakCount="1">
    <brk id="18" min="1" max="8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17"/>
  <sheetViews>
    <sheetView showGridLines="0" topLeftCell="P1" workbookViewId="0">
      <selection activeCell="AA6" sqref="AA6"/>
    </sheetView>
  </sheetViews>
  <sheetFormatPr defaultRowHeight="12.75"/>
  <cols>
    <col min="1" max="1" width="34.7109375" bestFit="1" customWidth="1"/>
  </cols>
  <sheetData>
    <row r="1" spans="1:28" ht="18.75">
      <c r="A1" s="126" t="str">
        <f>Assum!A2</f>
        <v xml:space="preserve">PROJECT NAME: PLANO </v>
      </c>
    </row>
    <row r="3" spans="1:28" ht="18.75">
      <c r="A3" s="90" t="s">
        <v>1359</v>
      </c>
    </row>
    <row r="6" spans="1:28" s="6" customFormat="1" ht="13.5" thickBot="1">
      <c r="A6" s="151"/>
      <c r="B6" s="7"/>
      <c r="C6" s="7">
        <f>IS!C7</f>
        <v>2001</v>
      </c>
      <c r="D6" s="7">
        <f>IS!D7</f>
        <v>2002</v>
      </c>
      <c r="E6" s="7">
        <f>IS!E7</f>
        <v>2003</v>
      </c>
      <c r="F6" s="7">
        <f>IS!F7</f>
        <v>2004</v>
      </c>
      <c r="G6" s="7">
        <f>IS!G7</f>
        <v>2005</v>
      </c>
      <c r="H6" s="7">
        <f>IS!H7</f>
        <v>2006</v>
      </c>
      <c r="I6" s="7">
        <f>IS!I7</f>
        <v>2007</v>
      </c>
      <c r="J6" s="7">
        <f>IS!J7</f>
        <v>2008</v>
      </c>
      <c r="K6" s="7">
        <f>IS!K7</f>
        <v>2009</v>
      </c>
      <c r="L6" s="7">
        <f>IS!L7</f>
        <v>2010</v>
      </c>
      <c r="M6" s="7">
        <f>IS!M7</f>
        <v>2011</v>
      </c>
      <c r="N6" s="7">
        <f>IS!N7</f>
        <v>2012</v>
      </c>
      <c r="O6" s="7">
        <f>IS!O7</f>
        <v>2013</v>
      </c>
      <c r="P6" s="7">
        <f>IS!P7</f>
        <v>2014</v>
      </c>
      <c r="Q6" s="7">
        <f>IS!Q7</f>
        <v>2015</v>
      </c>
      <c r="R6" s="7">
        <f>IS!R7</f>
        <v>2016</v>
      </c>
      <c r="S6" s="7">
        <f>IS!S7</f>
        <v>2017</v>
      </c>
      <c r="T6" s="7">
        <f>IS!T7</f>
        <v>2018</v>
      </c>
      <c r="U6" s="7">
        <f>IS!U7</f>
        <v>2019</v>
      </c>
      <c r="V6" s="7">
        <f>IS!V7</f>
        <v>2020</v>
      </c>
      <c r="W6" s="7">
        <f>IS!W7</f>
        <v>2021</v>
      </c>
      <c r="X6" s="7">
        <f>IS!X7</f>
        <v>2022</v>
      </c>
      <c r="Y6" s="7">
        <f>IS!Y7</f>
        <v>2023</v>
      </c>
      <c r="Z6" s="7">
        <f>IS!Z7</f>
        <v>2024</v>
      </c>
      <c r="AA6" s="7">
        <f>IS!AA7</f>
        <v>2025</v>
      </c>
      <c r="AB6" s="7">
        <f>IS!AB7</f>
        <v>2026</v>
      </c>
    </row>
    <row r="7" spans="1:28">
      <c r="A7" s="14" t="s">
        <v>1369</v>
      </c>
      <c r="C7" s="122">
        <f>Assum!D136</f>
        <v>0</v>
      </c>
      <c r="D7" s="122">
        <f>Assum!E136</f>
        <v>0</v>
      </c>
      <c r="E7" s="122">
        <f>Assum!F136</f>
        <v>0</v>
      </c>
      <c r="F7" s="122">
        <f>Assum!G136</f>
        <v>0</v>
      </c>
      <c r="G7" s="122">
        <f>Assum!H136</f>
        <v>0</v>
      </c>
      <c r="H7" s="122">
        <f>Assum!I136</f>
        <v>0</v>
      </c>
      <c r="I7" s="122">
        <f>Assum!J136</f>
        <v>0</v>
      </c>
      <c r="J7" s="122">
        <f>Assum!K136</f>
        <v>0</v>
      </c>
      <c r="K7" s="122">
        <f>Assum!L136</f>
        <v>0</v>
      </c>
      <c r="L7" s="122">
        <f>Assum!M136</f>
        <v>0</v>
      </c>
      <c r="M7" s="122">
        <f>Assum!N136</f>
        <v>0</v>
      </c>
      <c r="N7" s="122">
        <f>Assum!O136</f>
        <v>0</v>
      </c>
      <c r="O7" s="122">
        <f>Assum!P136</f>
        <v>0</v>
      </c>
      <c r="P7" s="122">
        <f>Assum!Q136</f>
        <v>0</v>
      </c>
      <c r="Q7" s="122">
        <f>Assum!R136</f>
        <v>0</v>
      </c>
      <c r="R7" s="122">
        <f>Assum!S136</f>
        <v>0</v>
      </c>
      <c r="S7" s="122">
        <f>Assum!T136</f>
        <v>0</v>
      </c>
      <c r="T7" s="122">
        <f>Assum!U136</f>
        <v>0</v>
      </c>
      <c r="U7" s="122">
        <f>Assum!V136</f>
        <v>0</v>
      </c>
      <c r="V7" s="122">
        <f>Assum!W136</f>
        <v>0</v>
      </c>
      <c r="W7" s="122">
        <f>Assum!X136</f>
        <v>0</v>
      </c>
      <c r="X7" s="122">
        <f>Assum!Y136</f>
        <v>0</v>
      </c>
      <c r="Y7" s="122">
        <f>Assum!Z136</f>
        <v>0</v>
      </c>
      <c r="Z7" s="122">
        <f>Assum!AA136</f>
        <v>0</v>
      </c>
      <c r="AA7" s="122">
        <f>Assum!AB136</f>
        <v>0</v>
      </c>
      <c r="AB7" s="122">
        <f>Assum!AC136</f>
        <v>0</v>
      </c>
    </row>
    <row r="8" spans="1:28">
      <c r="A8" s="14" t="s">
        <v>1258</v>
      </c>
      <c r="C8" s="122">
        <f>IF(Assum!$C$137="Dollars", Assum!D137,Assum!D137*360/IS!C$25 )</f>
        <v>0</v>
      </c>
      <c r="D8" s="122">
        <f>IF(Assum!$C$137="Dollars", Assum!E137,Assum!E137*360/IS!D$25 )</f>
        <v>0</v>
      </c>
      <c r="E8" s="122">
        <f>IF(Assum!$C$137="Dollars", Assum!F137,Assum!F137*360/IS!E$25 )</f>
        <v>0</v>
      </c>
      <c r="F8" s="122">
        <f>IF(Assum!$C$137="Dollars", Assum!G137,Assum!G137*360/IS!F$25 )</f>
        <v>0</v>
      </c>
      <c r="G8" s="122">
        <f>IF(Assum!$C$137="Dollars", Assum!H137,Assum!H137*360/IS!G$25 )</f>
        <v>0</v>
      </c>
      <c r="H8" s="122">
        <f>IF(Assum!$C$137="Dollars", Assum!I137,Assum!I137*360/IS!H$25 )</f>
        <v>0</v>
      </c>
      <c r="I8" s="122">
        <f>IF(Assum!$C$137="Dollars", Assum!J137,Assum!J137*360/IS!I$25 )</f>
        <v>0</v>
      </c>
      <c r="J8" s="122">
        <f>IF(Assum!$C$137="Dollars", Assum!K137,Assum!K137*360/IS!J$25 )</f>
        <v>0</v>
      </c>
      <c r="K8" s="122">
        <f>IF(Assum!$C$137="Dollars", Assum!L137,Assum!L137*360/IS!K$25 )</f>
        <v>0</v>
      </c>
      <c r="L8" s="122">
        <f>IF(Assum!$C$137="Dollars", Assum!M137,Assum!M137*360/IS!L$25 )</f>
        <v>0</v>
      </c>
      <c r="M8" s="122">
        <f>IF(Assum!$C$137="Dollars", Assum!N137,Assum!N137*360/IS!M$25 )</f>
        <v>0</v>
      </c>
      <c r="N8" s="122">
        <f>IF(Assum!$C$137="Dollars", Assum!O137,Assum!O137*360/IS!N$25 )</f>
        <v>0</v>
      </c>
      <c r="O8" s="122">
        <f>IF(Assum!$C$137="Dollars", Assum!P137,Assum!P137*360/IS!O$25 )</f>
        <v>0</v>
      </c>
      <c r="P8" s="122">
        <f>IF(Assum!$C$137="Dollars", Assum!Q137,Assum!Q137*360/IS!P$25 )</f>
        <v>0</v>
      </c>
      <c r="Q8" s="122">
        <f>IF(Assum!$C$137="Dollars", Assum!R137,Assum!R137*360/IS!Q$25 )</f>
        <v>0</v>
      </c>
      <c r="R8" s="122">
        <f>IF(Assum!$C$137="Dollars", Assum!S137,Assum!S137*360/IS!R$25 )</f>
        <v>0</v>
      </c>
      <c r="S8" s="122">
        <f>IF(Assum!$C$137="Dollars", Assum!T137,Assum!T137*360/IS!S$25 )</f>
        <v>0</v>
      </c>
      <c r="T8" s="122">
        <f>IF(Assum!$C$137="Dollars", Assum!U137,Assum!U137*360/IS!T$25 )</f>
        <v>0</v>
      </c>
      <c r="U8" s="122">
        <f>IF(Assum!$C$137="Dollars", Assum!V137,Assum!V137*360/IS!U$25 )</f>
        <v>0</v>
      </c>
      <c r="V8" s="122">
        <f>IF(Assum!$C$137="Dollars", Assum!W137,Assum!W137*360/IS!V$25 )</f>
        <v>0</v>
      </c>
      <c r="W8" s="122">
        <f>IF(Assum!$C$137="Dollars", Assum!X137,Assum!X137*360/IS!W$25 )</f>
        <v>0</v>
      </c>
      <c r="X8" s="122">
        <f>IF(Assum!$C$137="Dollars", Assum!Y137,Assum!Y137*360/IS!X$25 )</f>
        <v>0</v>
      </c>
      <c r="Y8" s="122">
        <f>IF(Assum!$C$137="Dollars", Assum!Z137,Assum!Z137*360/IS!Y$25 )</f>
        <v>0</v>
      </c>
      <c r="Z8" s="122">
        <f>IF(Assum!$C$137="Dollars", Assum!AA137,Assum!AA137*360/IS!Z$25 )</f>
        <v>0</v>
      </c>
      <c r="AA8" s="122">
        <f>IF(Assum!$C$137="Dollars", Assum!AB137,Assum!AB137*360/IS!AA$25 )</f>
        <v>0</v>
      </c>
      <c r="AB8" s="122">
        <f>IF(Assum!$C$137="Dollars", Assum!AC137,Assum!AC137*360/IS!AB$25 )</f>
        <v>0</v>
      </c>
    </row>
    <row r="9" spans="1:28">
      <c r="A9" s="14" t="s">
        <v>1259</v>
      </c>
      <c r="C9" s="122">
        <f>IF(Assum!$C$137="Dollars", Assum!D138,Assum!D138*360/IS!C$25 )</f>
        <v>0</v>
      </c>
      <c r="D9" s="122">
        <f>IF(Assum!$C$137="Dollars", Assum!E138,Assum!E138*360/IS!D$25 )</f>
        <v>0</v>
      </c>
      <c r="E9" s="122">
        <f>IF(Assum!$C$137="Dollars", Assum!F138,Assum!F138*360/IS!E$25 )</f>
        <v>0</v>
      </c>
      <c r="F9" s="122">
        <f>IF(Assum!$C$137="Dollars", Assum!G138,Assum!G138*360/IS!F$25 )</f>
        <v>0</v>
      </c>
      <c r="G9" s="122">
        <f>IF(Assum!$C$137="Dollars", Assum!H138,Assum!H138*360/IS!G$25 )</f>
        <v>0</v>
      </c>
      <c r="H9" s="122">
        <f>IF(Assum!$C$137="Dollars", Assum!I138,Assum!I138*360/IS!H$25 )</f>
        <v>0</v>
      </c>
      <c r="I9" s="122">
        <f>IF(Assum!$C$137="Dollars", Assum!J138,Assum!J138*360/IS!I$25 )</f>
        <v>0</v>
      </c>
      <c r="J9" s="122">
        <f>IF(Assum!$C$137="Dollars", Assum!K138,Assum!K138*360/IS!J$25 )</f>
        <v>0</v>
      </c>
      <c r="K9" s="122">
        <f>IF(Assum!$C$137="Dollars", Assum!L138,Assum!L138*360/IS!K$25 )</f>
        <v>0</v>
      </c>
      <c r="L9" s="122">
        <f>IF(Assum!$C$137="Dollars", Assum!M138,Assum!M138*360/IS!L$25 )</f>
        <v>0</v>
      </c>
      <c r="M9" s="122">
        <f>IF(Assum!$C$137="Dollars", Assum!N138,Assum!N138*360/IS!M$25 )</f>
        <v>0</v>
      </c>
      <c r="N9" s="122">
        <f>IF(Assum!$C$137="Dollars", Assum!O138,Assum!O138*360/IS!N$25 )</f>
        <v>0</v>
      </c>
      <c r="O9" s="122">
        <f>IF(Assum!$C$137="Dollars", Assum!P138,Assum!P138*360/IS!O$25 )</f>
        <v>0</v>
      </c>
      <c r="P9" s="122">
        <f>IF(Assum!$C$137="Dollars", Assum!Q138,Assum!Q138*360/IS!P$25 )</f>
        <v>0</v>
      </c>
      <c r="Q9" s="122">
        <f>IF(Assum!$C$137="Dollars", Assum!R138,Assum!R138*360/IS!Q$25 )</f>
        <v>0</v>
      </c>
      <c r="R9" s="122">
        <f>IF(Assum!$C$137="Dollars", Assum!S138,Assum!S138*360/IS!R$25 )</f>
        <v>0</v>
      </c>
      <c r="S9" s="122">
        <f>IF(Assum!$C$137="Dollars", Assum!T138,Assum!T138*360/IS!S$25 )</f>
        <v>0</v>
      </c>
      <c r="T9" s="122">
        <f>IF(Assum!$C$137="Dollars", Assum!U138,Assum!U138*360/IS!T$25 )</f>
        <v>0</v>
      </c>
      <c r="U9" s="122">
        <f>IF(Assum!$C$137="Dollars", Assum!V138,Assum!V138*360/IS!U$25 )</f>
        <v>0</v>
      </c>
      <c r="V9" s="122">
        <f>IF(Assum!$C$137="Dollars", Assum!W138,Assum!W138*360/IS!V$25 )</f>
        <v>0</v>
      </c>
      <c r="W9" s="122">
        <f>IF(Assum!$C$137="Dollars", Assum!X138,Assum!X138*360/IS!W$25 )</f>
        <v>0</v>
      </c>
      <c r="X9" s="122">
        <f>IF(Assum!$C$137="Dollars", Assum!Y138,Assum!Y138*360/IS!X$25 )</f>
        <v>0</v>
      </c>
      <c r="Y9" s="122">
        <f>IF(Assum!$C$137="Dollars", Assum!Z138,Assum!Z138*360/IS!Y$25 )</f>
        <v>0</v>
      </c>
      <c r="Z9" s="122">
        <f>IF(Assum!$C$137="Dollars", Assum!AA138,Assum!AA138*360/IS!Z$25 )</f>
        <v>0</v>
      </c>
      <c r="AA9" s="122">
        <f>IF(Assum!$C$137="Dollars", Assum!AB138,Assum!AB138*360/IS!AA$25 )</f>
        <v>0</v>
      </c>
      <c r="AB9" s="122">
        <f>IF(Assum!$C$137="Dollars", Assum!AC138,Assum!AC138*360/IS!AB$25 )</f>
        <v>0</v>
      </c>
    </row>
    <row r="10" spans="1:28">
      <c r="A10" s="14" t="s">
        <v>1260</v>
      </c>
      <c r="C10" s="122">
        <f>IF(Assum!$C$137="Dollars", Assum!D139,Assum!D139*360/IS!C$25 )</f>
        <v>0</v>
      </c>
      <c r="D10" s="122">
        <f>IF(Assum!$C$137="Dollars", Assum!E139,Assum!E139*360/IS!D$25 )</f>
        <v>0</v>
      </c>
      <c r="E10" s="122">
        <f>IF(Assum!$C$137="Dollars", Assum!F139,Assum!F139*360/IS!E$25 )</f>
        <v>0</v>
      </c>
      <c r="F10" s="122">
        <f>IF(Assum!$C$137="Dollars", Assum!G139,Assum!G139*360/IS!F$25 )</f>
        <v>0</v>
      </c>
      <c r="G10" s="122">
        <f>IF(Assum!$C$137="Dollars", Assum!H139,Assum!H139*360/IS!G$25 )</f>
        <v>0</v>
      </c>
      <c r="H10" s="122">
        <f>IF(Assum!$C$137="Dollars", Assum!I139,Assum!I139*360/IS!H$25 )</f>
        <v>0</v>
      </c>
      <c r="I10" s="122">
        <f>IF(Assum!$C$137="Dollars", Assum!J139,Assum!J139*360/IS!I$25 )</f>
        <v>0</v>
      </c>
      <c r="J10" s="122">
        <f>IF(Assum!$C$137="Dollars", Assum!K139,Assum!K139*360/IS!J$25 )</f>
        <v>0</v>
      </c>
      <c r="K10" s="122">
        <f>IF(Assum!$C$137="Dollars", Assum!L139,Assum!L139*360/IS!K$25 )</f>
        <v>0</v>
      </c>
      <c r="L10" s="122">
        <f>IF(Assum!$C$137="Dollars", Assum!M139,Assum!M139*360/IS!L$25 )</f>
        <v>0</v>
      </c>
      <c r="M10" s="122">
        <f>IF(Assum!$C$137="Dollars", Assum!N139,Assum!N139*360/IS!M$25 )</f>
        <v>0</v>
      </c>
      <c r="N10" s="122">
        <f>IF(Assum!$C$137="Dollars", Assum!O139,Assum!O139*360/IS!N$25 )</f>
        <v>0</v>
      </c>
      <c r="O10" s="122">
        <f>IF(Assum!$C$137="Dollars", Assum!P139,Assum!P139*360/IS!O$25 )</f>
        <v>0</v>
      </c>
      <c r="P10" s="122">
        <f>IF(Assum!$C$137="Dollars", Assum!Q139,Assum!Q139*360/IS!P$25 )</f>
        <v>0</v>
      </c>
      <c r="Q10" s="122">
        <f>IF(Assum!$C$137="Dollars", Assum!R139,Assum!R139*360/IS!Q$25 )</f>
        <v>0</v>
      </c>
      <c r="R10" s="122">
        <f>IF(Assum!$C$137="Dollars", Assum!S139,Assum!S139*360/IS!R$25 )</f>
        <v>0</v>
      </c>
      <c r="S10" s="122">
        <f>IF(Assum!$C$137="Dollars", Assum!T139,Assum!T139*360/IS!S$25 )</f>
        <v>0</v>
      </c>
      <c r="T10" s="122">
        <f>IF(Assum!$C$137="Dollars", Assum!U139,Assum!U139*360/IS!T$25 )</f>
        <v>0</v>
      </c>
      <c r="U10" s="122">
        <f>IF(Assum!$C$137="Dollars", Assum!V139,Assum!V139*360/IS!U$25 )</f>
        <v>0</v>
      </c>
      <c r="V10" s="122">
        <f>IF(Assum!$C$137="Dollars", Assum!W139,Assum!W139*360/IS!V$25 )</f>
        <v>0</v>
      </c>
      <c r="W10" s="122">
        <f>IF(Assum!$C$137="Dollars", Assum!X139,Assum!X139*360/IS!W$25 )</f>
        <v>0</v>
      </c>
      <c r="X10" s="122">
        <f>IF(Assum!$C$137="Dollars", Assum!Y139,Assum!Y139*360/IS!X$25 )</f>
        <v>0</v>
      </c>
      <c r="Y10" s="122">
        <f>IF(Assum!$C$137="Dollars", Assum!Z139,Assum!Z139*360/IS!Y$25 )</f>
        <v>0</v>
      </c>
      <c r="Z10" s="122">
        <f>IF(Assum!$C$137="Dollars", Assum!AA139,Assum!AA139*360/IS!Z$25 )</f>
        <v>0</v>
      </c>
      <c r="AA10" s="122">
        <f>IF(Assum!$C$137="Dollars", Assum!AB139,Assum!AB139*360/IS!AA$25 )</f>
        <v>0</v>
      </c>
      <c r="AB10" s="122">
        <f>IF(Assum!$C$137="Dollars", Assum!AC139,Assum!AC139*360/IS!AB$25 )</f>
        <v>0</v>
      </c>
    </row>
    <row r="11" spans="1:28">
      <c r="A11" s="14" t="s">
        <v>1270</v>
      </c>
      <c r="C11" s="122">
        <f>IF(Assum!$C$137="Dollars", Assum!D140,Assum!D140*360/IS!C$25 )</f>
        <v>0</v>
      </c>
      <c r="D11" s="122">
        <f>IF(Assum!$C$137="Dollars", Assum!E140,Assum!E140*360/IS!D$25 )</f>
        <v>0</v>
      </c>
      <c r="E11" s="122">
        <f>IF(Assum!$C$137="Dollars", Assum!F140,Assum!F140*360/IS!E$25 )</f>
        <v>0</v>
      </c>
      <c r="F11" s="122">
        <f>IF(Assum!$C$137="Dollars", Assum!G140,Assum!G140*360/IS!F$25 )</f>
        <v>0</v>
      </c>
      <c r="G11" s="122">
        <f>IF(Assum!$C$137="Dollars", Assum!H140,Assum!H140*360/IS!G$25 )</f>
        <v>0</v>
      </c>
      <c r="H11" s="122">
        <f>IF(Assum!$C$137="Dollars", Assum!I140,Assum!I140*360/IS!H$25 )</f>
        <v>0</v>
      </c>
      <c r="I11" s="122">
        <f>IF(Assum!$C$137="Dollars", Assum!J140,Assum!J140*360/IS!I$25 )</f>
        <v>0</v>
      </c>
      <c r="J11" s="122">
        <f>IF(Assum!$C$137="Dollars", Assum!K140,Assum!K140*360/IS!J$25 )</f>
        <v>0</v>
      </c>
      <c r="K11" s="122">
        <f>IF(Assum!$C$137="Dollars", Assum!L140,Assum!L140*360/IS!K$25 )</f>
        <v>0</v>
      </c>
      <c r="L11" s="122">
        <f>IF(Assum!$C$137="Dollars", Assum!M140,Assum!M140*360/IS!L$25 )</f>
        <v>0</v>
      </c>
      <c r="M11" s="122">
        <f>IF(Assum!$C$137="Dollars", Assum!N140,Assum!N140*360/IS!M$25 )</f>
        <v>0</v>
      </c>
      <c r="N11" s="122">
        <f>IF(Assum!$C$137="Dollars", Assum!O140,Assum!O140*360/IS!N$25 )</f>
        <v>0</v>
      </c>
      <c r="O11" s="122">
        <f>IF(Assum!$C$137="Dollars", Assum!P140,Assum!P140*360/IS!O$25 )</f>
        <v>0</v>
      </c>
      <c r="P11" s="122">
        <f>IF(Assum!$C$137="Dollars", Assum!Q140,Assum!Q140*360/IS!P$25 )</f>
        <v>0</v>
      </c>
      <c r="Q11" s="122">
        <f>IF(Assum!$C$137="Dollars", Assum!R140,Assum!R140*360/IS!Q$25 )</f>
        <v>0</v>
      </c>
      <c r="R11" s="122">
        <f>IF(Assum!$C$137="Dollars", Assum!S140,Assum!S140*360/IS!R$25 )</f>
        <v>0</v>
      </c>
      <c r="S11" s="122">
        <f>IF(Assum!$C$137="Dollars", Assum!T140,Assum!T140*360/IS!S$25 )</f>
        <v>0</v>
      </c>
      <c r="T11" s="122">
        <f>IF(Assum!$C$137="Dollars", Assum!U140,Assum!U140*360/IS!T$25 )</f>
        <v>0</v>
      </c>
      <c r="U11" s="122">
        <f>IF(Assum!$C$137="Dollars", Assum!V140,Assum!V140*360/IS!U$25 )</f>
        <v>0</v>
      </c>
      <c r="V11" s="122">
        <f>IF(Assum!$C$137="Dollars", Assum!W140,Assum!W140*360/IS!V$25 )</f>
        <v>0</v>
      </c>
      <c r="W11" s="122">
        <f>IF(Assum!$C$137="Dollars", Assum!X140,Assum!X140*360/IS!W$25 )</f>
        <v>0</v>
      </c>
      <c r="X11" s="122">
        <f>IF(Assum!$C$137="Dollars", Assum!Y140,Assum!Y140*360/IS!X$25 )</f>
        <v>0</v>
      </c>
      <c r="Y11" s="122">
        <f>IF(Assum!$C$137="Dollars", Assum!Z140,Assum!Z140*360/IS!Y$25 )</f>
        <v>0</v>
      </c>
      <c r="Z11" s="122">
        <f>IF(Assum!$C$137="Dollars", Assum!AA140,Assum!AA140*360/IS!Z$25 )</f>
        <v>0</v>
      </c>
      <c r="AA11" s="122">
        <f>IF(Assum!$C$137="Dollars", Assum!AB140,Assum!AB140*360/IS!AA$25 )</f>
        <v>0</v>
      </c>
      <c r="AB11" s="122">
        <f>IF(Assum!$C$137="Dollars", Assum!AC140,Assum!AC140*360/IS!AB$25 )</f>
        <v>0</v>
      </c>
    </row>
    <row r="12" spans="1:28">
      <c r="A12" s="14" t="s">
        <v>1271</v>
      </c>
      <c r="C12" s="123">
        <f>IF(Assum!$C$137="Dollars", Assum!D141,Assum!D141*360/IS!C$25 )</f>
        <v>0</v>
      </c>
      <c r="D12" s="123">
        <f>IF(Assum!$C$137="Dollars", Assum!E141,Assum!E141*360/IS!D$25 )</f>
        <v>0</v>
      </c>
      <c r="E12" s="123">
        <f>IF(Assum!$C$137="Dollars", Assum!F141,Assum!F141*360/IS!E$25 )</f>
        <v>0</v>
      </c>
      <c r="F12" s="123">
        <f>IF(Assum!$C$137="Dollars", Assum!G141,Assum!G141*360/IS!F$25 )</f>
        <v>0</v>
      </c>
      <c r="G12" s="123">
        <f>IF(Assum!$C$137="Dollars", Assum!H141,Assum!H141*360/IS!G$25 )</f>
        <v>0</v>
      </c>
      <c r="H12" s="123">
        <f>IF(Assum!$C$137="Dollars", Assum!I141,Assum!I141*360/IS!H$25 )</f>
        <v>0</v>
      </c>
      <c r="I12" s="123">
        <f>IF(Assum!$C$137="Dollars", Assum!J141,Assum!J141*360/IS!I$25 )</f>
        <v>0</v>
      </c>
      <c r="J12" s="123">
        <f>IF(Assum!$C$137="Dollars", Assum!K141,Assum!K141*360/IS!J$25 )</f>
        <v>0</v>
      </c>
      <c r="K12" s="123">
        <f>IF(Assum!$C$137="Dollars", Assum!L141,Assum!L141*360/IS!K$25 )</f>
        <v>0</v>
      </c>
      <c r="L12" s="123">
        <f>IF(Assum!$C$137="Dollars", Assum!M141,Assum!M141*360/IS!L$25 )</f>
        <v>0</v>
      </c>
      <c r="M12" s="123">
        <f>IF(Assum!$C$137="Dollars", Assum!N141,Assum!N141*360/IS!M$25 )</f>
        <v>0</v>
      </c>
      <c r="N12" s="123">
        <f>IF(Assum!$C$137="Dollars", Assum!O141,Assum!O141*360/IS!N$25 )</f>
        <v>0</v>
      </c>
      <c r="O12" s="123">
        <f>IF(Assum!$C$137="Dollars", Assum!P141,Assum!P141*360/IS!O$25 )</f>
        <v>0</v>
      </c>
      <c r="P12" s="123">
        <f>IF(Assum!$C$137="Dollars", Assum!Q141,Assum!Q141*360/IS!P$25 )</f>
        <v>0</v>
      </c>
      <c r="Q12" s="123">
        <f>IF(Assum!$C$137="Dollars", Assum!R141,Assum!R141*360/IS!Q$25 )</f>
        <v>0</v>
      </c>
      <c r="R12" s="123">
        <f>IF(Assum!$C$137="Dollars", Assum!S141,Assum!S141*360/IS!R$25 )</f>
        <v>0</v>
      </c>
      <c r="S12" s="123">
        <f>IF(Assum!$C$137="Dollars", Assum!T141,Assum!T141*360/IS!S$25 )</f>
        <v>0</v>
      </c>
      <c r="T12" s="123">
        <f>IF(Assum!$C$137="Dollars", Assum!U141,Assum!U141*360/IS!T$25 )</f>
        <v>0</v>
      </c>
      <c r="U12" s="123">
        <f>IF(Assum!$C$137="Dollars", Assum!V141,Assum!V141*360/IS!U$25 )</f>
        <v>0</v>
      </c>
      <c r="V12" s="123">
        <f>IF(Assum!$C$137="Dollars", Assum!W141,Assum!W141*360/IS!V$25 )</f>
        <v>0</v>
      </c>
      <c r="W12" s="123">
        <f>IF(Assum!$C$137="Dollars", Assum!X141,Assum!X141*360/IS!W$25 )</f>
        <v>0</v>
      </c>
      <c r="X12" s="123">
        <f>IF(Assum!$C$137="Dollars", Assum!Y141,Assum!Y141*360/IS!X$25 )</f>
        <v>0</v>
      </c>
      <c r="Y12" s="123">
        <f>IF(Assum!$C$137="Dollars", Assum!Z141,Assum!Z141*360/IS!Y$25 )</f>
        <v>0</v>
      </c>
      <c r="Z12" s="123">
        <f>IF(Assum!$C$137="Dollars", Assum!AA141,Assum!AA141*360/IS!Z$25 )</f>
        <v>0</v>
      </c>
      <c r="AA12" s="123">
        <f>IF(Assum!$C$137="Dollars", Assum!AB141,Assum!AB141*360/IS!AA$25 )</f>
        <v>0</v>
      </c>
      <c r="AB12" s="123">
        <f>IF(Assum!$C$137="Dollars", Assum!AC141,Assum!AC141*360/IS!AB$25 )</f>
        <v>0</v>
      </c>
    </row>
    <row r="13" spans="1:28">
      <c r="A13" s="14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</row>
    <row r="14" spans="1:28">
      <c r="A14" s="14" t="s">
        <v>1371</v>
      </c>
      <c r="C14" s="122">
        <f>SUM(C7:C10)-SUM(C11:C12)</f>
        <v>0</v>
      </c>
      <c r="D14" s="122">
        <f t="shared" ref="D14:S14" si="0">SUM(D7:D10)-SUM(D11:D12)</f>
        <v>0</v>
      </c>
      <c r="E14" s="122">
        <f t="shared" si="0"/>
        <v>0</v>
      </c>
      <c r="F14" s="122">
        <f t="shared" si="0"/>
        <v>0</v>
      </c>
      <c r="G14" s="122">
        <f t="shared" si="0"/>
        <v>0</v>
      </c>
      <c r="H14" s="122">
        <f t="shared" si="0"/>
        <v>0</v>
      </c>
      <c r="I14" s="122">
        <f t="shared" si="0"/>
        <v>0</v>
      </c>
      <c r="J14" s="122">
        <f t="shared" si="0"/>
        <v>0</v>
      </c>
      <c r="K14" s="122">
        <f t="shared" si="0"/>
        <v>0</v>
      </c>
      <c r="L14" s="122">
        <f t="shared" si="0"/>
        <v>0</v>
      </c>
      <c r="M14" s="122">
        <f t="shared" si="0"/>
        <v>0</v>
      </c>
      <c r="N14" s="122">
        <f t="shared" si="0"/>
        <v>0</v>
      </c>
      <c r="O14" s="122">
        <f t="shared" si="0"/>
        <v>0</v>
      </c>
      <c r="P14" s="122">
        <f t="shared" si="0"/>
        <v>0</v>
      </c>
      <c r="Q14" s="122">
        <f t="shared" si="0"/>
        <v>0</v>
      </c>
      <c r="R14" s="122">
        <f t="shared" si="0"/>
        <v>0</v>
      </c>
      <c r="S14" s="122">
        <f t="shared" si="0"/>
        <v>0</v>
      </c>
      <c r="T14" s="122">
        <f t="shared" ref="T14:AB14" si="1">SUM(T7:T10)-SUM(T11:T12)</f>
        <v>0</v>
      </c>
      <c r="U14" s="122">
        <f t="shared" si="1"/>
        <v>0</v>
      </c>
      <c r="V14" s="122">
        <f t="shared" si="1"/>
        <v>0</v>
      </c>
      <c r="W14" s="122">
        <f t="shared" si="1"/>
        <v>0</v>
      </c>
      <c r="X14" s="122">
        <f t="shared" si="1"/>
        <v>0</v>
      </c>
      <c r="Y14" s="122">
        <f t="shared" si="1"/>
        <v>0</v>
      </c>
      <c r="Z14" s="122">
        <f t="shared" si="1"/>
        <v>0</v>
      </c>
      <c r="AA14" s="122">
        <f t="shared" si="1"/>
        <v>0</v>
      </c>
      <c r="AB14" s="122">
        <f t="shared" si="1"/>
        <v>0</v>
      </c>
    </row>
    <row r="15" spans="1:28">
      <c r="A15" s="14" t="s">
        <v>1372</v>
      </c>
      <c r="C15" s="123">
        <v>0</v>
      </c>
      <c r="D15" s="123">
        <f>C14</f>
        <v>0</v>
      </c>
      <c r="E15" s="123">
        <f t="shared" ref="E15:S15" si="2">D14</f>
        <v>0</v>
      </c>
      <c r="F15" s="123">
        <f t="shared" si="2"/>
        <v>0</v>
      </c>
      <c r="G15" s="123">
        <f t="shared" si="2"/>
        <v>0</v>
      </c>
      <c r="H15" s="123">
        <f t="shared" si="2"/>
        <v>0</v>
      </c>
      <c r="I15" s="123">
        <f t="shared" si="2"/>
        <v>0</v>
      </c>
      <c r="J15" s="123">
        <f t="shared" si="2"/>
        <v>0</v>
      </c>
      <c r="K15" s="123">
        <f t="shared" si="2"/>
        <v>0</v>
      </c>
      <c r="L15" s="123">
        <f t="shared" si="2"/>
        <v>0</v>
      </c>
      <c r="M15" s="123">
        <f t="shared" si="2"/>
        <v>0</v>
      </c>
      <c r="N15" s="123">
        <f t="shared" si="2"/>
        <v>0</v>
      </c>
      <c r="O15" s="123">
        <f t="shared" si="2"/>
        <v>0</v>
      </c>
      <c r="P15" s="123">
        <f t="shared" si="2"/>
        <v>0</v>
      </c>
      <c r="Q15" s="123">
        <f t="shared" si="2"/>
        <v>0</v>
      </c>
      <c r="R15" s="123">
        <f t="shared" si="2"/>
        <v>0</v>
      </c>
      <c r="S15" s="123">
        <f t="shared" si="2"/>
        <v>0</v>
      </c>
      <c r="T15" s="123">
        <f t="shared" ref="T15:AB15" si="3">S14</f>
        <v>0</v>
      </c>
      <c r="U15" s="123">
        <f t="shared" si="3"/>
        <v>0</v>
      </c>
      <c r="V15" s="123">
        <f t="shared" si="3"/>
        <v>0</v>
      </c>
      <c r="W15" s="123">
        <f t="shared" si="3"/>
        <v>0</v>
      </c>
      <c r="X15" s="123">
        <f t="shared" si="3"/>
        <v>0</v>
      </c>
      <c r="Y15" s="123">
        <f t="shared" si="3"/>
        <v>0</v>
      </c>
      <c r="Z15" s="123">
        <f t="shared" si="3"/>
        <v>0</v>
      </c>
      <c r="AA15" s="123">
        <f t="shared" si="3"/>
        <v>0</v>
      </c>
      <c r="AB15" s="123">
        <f t="shared" si="3"/>
        <v>0</v>
      </c>
    </row>
    <row r="16" spans="1:28" ht="13.5" thickBot="1">
      <c r="A16" s="14" t="s">
        <v>1370</v>
      </c>
      <c r="C16" s="630">
        <f>C14-C15</f>
        <v>0</v>
      </c>
      <c r="D16" s="630">
        <f t="shared" ref="D16:S16" si="4">D14-D15</f>
        <v>0</v>
      </c>
      <c r="E16" s="630">
        <f t="shared" si="4"/>
        <v>0</v>
      </c>
      <c r="F16" s="630">
        <f t="shared" si="4"/>
        <v>0</v>
      </c>
      <c r="G16" s="630">
        <f t="shared" si="4"/>
        <v>0</v>
      </c>
      <c r="H16" s="630">
        <f t="shared" si="4"/>
        <v>0</v>
      </c>
      <c r="I16" s="630">
        <f t="shared" si="4"/>
        <v>0</v>
      </c>
      <c r="J16" s="630">
        <f t="shared" si="4"/>
        <v>0</v>
      </c>
      <c r="K16" s="630">
        <f t="shared" si="4"/>
        <v>0</v>
      </c>
      <c r="L16" s="630">
        <f t="shared" si="4"/>
        <v>0</v>
      </c>
      <c r="M16" s="630">
        <f t="shared" si="4"/>
        <v>0</v>
      </c>
      <c r="N16" s="630">
        <f t="shared" si="4"/>
        <v>0</v>
      </c>
      <c r="O16" s="630">
        <f t="shared" si="4"/>
        <v>0</v>
      </c>
      <c r="P16" s="630">
        <f t="shared" si="4"/>
        <v>0</v>
      </c>
      <c r="Q16" s="630">
        <f t="shared" si="4"/>
        <v>0</v>
      </c>
      <c r="R16" s="630">
        <f t="shared" si="4"/>
        <v>0</v>
      </c>
      <c r="S16" s="630">
        <f t="shared" si="4"/>
        <v>0</v>
      </c>
      <c r="T16" s="630">
        <f t="shared" ref="T16:AB16" si="5">T14-T15</f>
        <v>0</v>
      </c>
      <c r="U16" s="630">
        <f t="shared" si="5"/>
        <v>0</v>
      </c>
      <c r="V16" s="630">
        <f t="shared" si="5"/>
        <v>0</v>
      </c>
      <c r="W16" s="630">
        <f t="shared" si="5"/>
        <v>0</v>
      </c>
      <c r="X16" s="630">
        <f t="shared" si="5"/>
        <v>0</v>
      </c>
      <c r="Y16" s="630">
        <f t="shared" si="5"/>
        <v>0</v>
      </c>
      <c r="Z16" s="630">
        <f t="shared" si="5"/>
        <v>0</v>
      </c>
      <c r="AA16" s="630">
        <f t="shared" si="5"/>
        <v>0</v>
      </c>
      <c r="AB16" s="630">
        <f t="shared" si="5"/>
        <v>0</v>
      </c>
    </row>
    <row r="17" ht="13.5" thickTop="1"/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B111"/>
  <sheetViews>
    <sheetView showGridLines="0" topLeftCell="A43" zoomScaleNormal="75" workbookViewId="0">
      <pane xSplit="1" topLeftCell="P1" activePane="topRight" state="frozen"/>
      <selection pane="topRight" activeCell="R74" sqref="R74"/>
    </sheetView>
  </sheetViews>
  <sheetFormatPr defaultRowHeight="12.75"/>
  <cols>
    <col min="1" max="1" width="36" style="14" customWidth="1"/>
    <col min="2" max="2" width="18.42578125" style="14" customWidth="1"/>
    <col min="3" max="6" width="14.5703125" style="14" customWidth="1"/>
    <col min="7" max="7" width="17.5703125" style="14" customWidth="1"/>
    <col min="8" max="8" width="16.140625" style="14" customWidth="1"/>
    <col min="9" max="9" width="16.28515625" style="14" customWidth="1"/>
    <col min="10" max="19" width="14.5703125" style="14" customWidth="1"/>
    <col min="20" max="29" width="14.42578125" style="14" customWidth="1"/>
    <col min="30" max="16384" width="9.140625" style="14"/>
  </cols>
  <sheetData>
    <row r="1" spans="1:19" ht="18.75">
      <c r="A1" s="281" t="str">
        <f>Assum!A2</f>
        <v xml:space="preserve">PROJECT NAME: PLANO </v>
      </c>
    </row>
    <row r="2" spans="1:19" ht="18.75">
      <c r="A2" s="95"/>
    </row>
    <row r="4" spans="1:19" ht="15.75">
      <c r="A4" s="51"/>
      <c r="C4" s="77" t="s">
        <v>975</v>
      </c>
      <c r="D4" s="78"/>
      <c r="E4" s="78"/>
      <c r="F4" s="79"/>
      <c r="I4" s="77" t="s">
        <v>976</v>
      </c>
      <c r="J4" s="78"/>
      <c r="K4" s="78"/>
      <c r="L4" s="79"/>
      <c r="O4" s="77" t="s">
        <v>977</v>
      </c>
      <c r="P4" s="78"/>
      <c r="Q4" s="78"/>
      <c r="R4" s="79"/>
    </row>
    <row r="5" spans="1:19">
      <c r="A5" s="51"/>
      <c r="C5" s="80" t="s">
        <v>1190</v>
      </c>
      <c r="D5" s="81"/>
      <c r="E5" s="81"/>
      <c r="F5" s="271">
        <f>Assum!B116</f>
        <v>6.5000000000000002E-2</v>
      </c>
      <c r="G5" s="272"/>
      <c r="H5" s="5"/>
      <c r="I5" s="80" t="s">
        <v>1190</v>
      </c>
      <c r="J5" s="274"/>
      <c r="K5" s="274"/>
      <c r="L5" s="271">
        <f>Assum!C116</f>
        <v>6.5000000000000002E-2</v>
      </c>
      <c r="M5" s="5"/>
      <c r="N5" s="5"/>
      <c r="O5" s="80" t="s">
        <v>1190</v>
      </c>
      <c r="P5" s="274"/>
      <c r="Q5" s="274"/>
      <c r="R5" s="271">
        <f>Assum!D116</f>
        <v>6.5000000000000002E-2</v>
      </c>
      <c r="S5" s="5"/>
    </row>
    <row r="6" spans="1:19">
      <c r="A6" s="51"/>
      <c r="C6" s="80" t="s">
        <v>1029</v>
      </c>
      <c r="D6" s="81"/>
      <c r="E6" s="81"/>
      <c r="F6" s="271">
        <f>Assum!B117</f>
        <v>0.01</v>
      </c>
      <c r="G6" s="5"/>
      <c r="H6" s="5"/>
      <c r="I6" s="273" t="s">
        <v>1030</v>
      </c>
      <c r="J6" s="274"/>
      <c r="K6" s="274"/>
      <c r="L6" s="271">
        <f>Assum!C117</f>
        <v>0.01</v>
      </c>
      <c r="M6" s="5"/>
      <c r="N6" s="5"/>
      <c r="O6" s="273" t="s">
        <v>1030</v>
      </c>
      <c r="P6" s="274"/>
      <c r="Q6" s="274"/>
      <c r="R6" s="271">
        <f>Assum!D117</f>
        <v>0.01</v>
      </c>
      <c r="S6" s="5"/>
    </row>
    <row r="7" spans="1:19">
      <c r="A7" s="51"/>
      <c r="C7" s="82" t="s">
        <v>1031</v>
      </c>
      <c r="D7" s="83"/>
      <c r="E7" s="83"/>
      <c r="F7" s="84">
        <f>F6+F5</f>
        <v>7.4999999999999997E-2</v>
      </c>
      <c r="I7" s="82" t="s">
        <v>1031</v>
      </c>
      <c r="J7" s="83"/>
      <c r="K7" s="83"/>
      <c r="L7" s="84">
        <f>L5+L6</f>
        <v>7.4999999999999997E-2</v>
      </c>
      <c r="O7" s="82" t="s">
        <v>1031</v>
      </c>
      <c r="P7" s="83"/>
      <c r="Q7" s="83"/>
      <c r="R7" s="84">
        <f>R5+R6</f>
        <v>7.4999999999999997E-2</v>
      </c>
    </row>
    <row r="8" spans="1:19" ht="15.75">
      <c r="A8" s="51"/>
      <c r="C8" s="64" t="s">
        <v>1189</v>
      </c>
      <c r="D8" s="85"/>
      <c r="E8" s="86"/>
      <c r="F8" s="68">
        <f>Assum!B111</f>
        <v>15</v>
      </c>
      <c r="I8" s="64" t="s">
        <v>1189</v>
      </c>
      <c r="J8" s="69"/>
      <c r="K8" s="69"/>
      <c r="L8" s="68">
        <f>Assum!C111</f>
        <v>0</v>
      </c>
      <c r="O8" s="64" t="s">
        <v>1189</v>
      </c>
      <c r="P8" s="69"/>
      <c r="Q8" s="69"/>
      <c r="R8" s="68">
        <f>Assum!D111</f>
        <v>0</v>
      </c>
    </row>
    <row r="9" spans="1:19" ht="15.75">
      <c r="A9" s="51"/>
      <c r="C9" s="70"/>
      <c r="D9" s="87"/>
      <c r="E9" s="87"/>
      <c r="F9" s="71"/>
      <c r="I9" s="70"/>
      <c r="J9" s="72"/>
      <c r="K9" s="72"/>
      <c r="L9" s="71"/>
      <c r="O9" s="70"/>
      <c r="P9" s="72"/>
      <c r="Q9" s="72"/>
      <c r="R9" s="71"/>
    </row>
    <row r="10" spans="1:19">
      <c r="A10" s="51"/>
      <c r="C10" s="92" t="s">
        <v>1032</v>
      </c>
      <c r="D10" s="93"/>
      <c r="E10" s="93"/>
      <c r="F10" s="266">
        <f>Assum!B110</f>
        <v>0</v>
      </c>
      <c r="G10" s="5"/>
      <c r="H10" s="5"/>
      <c r="I10" s="267" t="s">
        <v>1032</v>
      </c>
      <c r="J10" s="268"/>
      <c r="K10" s="268"/>
      <c r="L10" s="266">
        <f>Assum!C110</f>
        <v>0</v>
      </c>
      <c r="M10" s="5"/>
      <c r="N10" s="5"/>
      <c r="O10" s="267" t="s">
        <v>1032</v>
      </c>
      <c r="P10" s="268"/>
      <c r="Q10" s="268"/>
      <c r="R10" s="266">
        <f>Assum!D110</f>
        <v>0</v>
      </c>
      <c r="S10" s="5"/>
    </row>
    <row r="11" spans="1:19">
      <c r="A11" s="51"/>
      <c r="C11" s="94"/>
      <c r="E11" s="81"/>
      <c r="F11" s="131"/>
      <c r="I11" s="94"/>
      <c r="J11" s="94"/>
      <c r="K11" s="94"/>
      <c r="L11" s="131"/>
      <c r="O11" s="94"/>
      <c r="P11" s="94"/>
      <c r="Q11" s="94"/>
      <c r="R11"/>
    </row>
    <row r="12" spans="1:19">
      <c r="A12" s="51"/>
      <c r="C12" s="94"/>
      <c r="E12" s="81"/>
      <c r="F12" s="131"/>
      <c r="I12" s="94"/>
      <c r="J12" s="94"/>
      <c r="K12" s="94"/>
      <c r="L12" s="131"/>
      <c r="O12" s="94"/>
      <c r="P12" s="94"/>
      <c r="Q12" s="94"/>
      <c r="R12" s="131"/>
    </row>
    <row r="13" spans="1:19">
      <c r="A13" s="51"/>
      <c r="C13" s="94"/>
      <c r="D13" s="81"/>
      <c r="E13" s="81"/>
      <c r="F13"/>
      <c r="I13" s="94"/>
      <c r="J13" s="94"/>
      <c r="K13" s="94"/>
      <c r="L13" s="131"/>
      <c r="O13" s="94"/>
      <c r="P13" s="94"/>
      <c r="Q13" s="94"/>
      <c r="R13"/>
    </row>
    <row r="14" spans="1:19">
      <c r="C14" s="94"/>
      <c r="D14" s="81"/>
      <c r="E14" s="81"/>
      <c r="F14" s="131"/>
      <c r="G14" s="5"/>
      <c r="H14" s="5"/>
      <c r="I14" s="2"/>
      <c r="J14" s="2"/>
      <c r="K14" s="2"/>
      <c r="L14" s="131"/>
      <c r="M14" s="5"/>
      <c r="N14" s="5"/>
      <c r="O14" s="2"/>
      <c r="P14" s="2"/>
      <c r="Q14" s="2"/>
      <c r="R14" s="131"/>
      <c r="S14" s="5"/>
    </row>
    <row r="15" spans="1:19">
      <c r="A15" s="51"/>
      <c r="C15" s="94"/>
      <c r="D15" s="81"/>
      <c r="E15" s="81"/>
      <c r="F15" s="131"/>
      <c r="G15" s="5"/>
      <c r="H15" s="5"/>
      <c r="I15" s="2"/>
      <c r="J15" s="2"/>
      <c r="K15" s="2"/>
      <c r="L15" s="131"/>
      <c r="M15" s="5"/>
      <c r="N15" s="5"/>
      <c r="O15" s="2"/>
      <c r="P15" s="2"/>
      <c r="Q15" s="2"/>
      <c r="R15" s="131"/>
      <c r="S15" s="5"/>
    </row>
    <row r="16" spans="1:19" ht="18.75">
      <c r="A16" s="90" t="s">
        <v>1114</v>
      </c>
      <c r="C16" s="94"/>
      <c r="D16" s="81"/>
      <c r="E16" s="81"/>
      <c r="F16" s="131"/>
      <c r="I16" s="94"/>
      <c r="J16" s="94"/>
      <c r="K16" s="94"/>
      <c r="L16" s="131"/>
      <c r="O16" s="94"/>
      <c r="P16" s="94"/>
      <c r="Q16" s="94"/>
      <c r="R16" s="131"/>
    </row>
    <row r="17" spans="1:28" s="15" customFormat="1">
      <c r="A17" s="2"/>
      <c r="P17" s="197"/>
      <c r="Q17" s="197"/>
      <c r="R17" s="197"/>
      <c r="S17" s="197"/>
    </row>
    <row r="18" spans="1:28" s="198" customFormat="1" ht="13.5">
      <c r="A18" s="53">
        <v>1.5</v>
      </c>
      <c r="B18" s="322"/>
      <c r="C18" s="322"/>
      <c r="D18" s="322"/>
      <c r="E18" s="322"/>
      <c r="F18" s="322"/>
      <c r="G18" s="322"/>
      <c r="H18" s="322"/>
      <c r="I18" s="322"/>
      <c r="J18" s="322"/>
      <c r="K18" s="322"/>
      <c r="L18" s="322"/>
      <c r="M18" s="322"/>
      <c r="N18" s="322"/>
      <c r="O18" s="322"/>
      <c r="P18" s="322"/>
      <c r="Q18" s="322"/>
      <c r="R18" s="322"/>
      <c r="S18" s="322"/>
    </row>
    <row r="19" spans="1:28" ht="13.5" thickBot="1">
      <c r="A19" s="151" t="s">
        <v>1011</v>
      </c>
      <c r="B19" s="323">
        <f>YEAR(MIN(Assum!B106,Assum!C106,Assum!D106))</f>
        <v>2000</v>
      </c>
      <c r="C19" s="323">
        <f>B19+1</f>
        <v>2001</v>
      </c>
      <c r="D19" s="323">
        <f t="shared" ref="D19:S19" si="0">C19+1</f>
        <v>2002</v>
      </c>
      <c r="E19" s="323">
        <f t="shared" si="0"/>
        <v>2003</v>
      </c>
      <c r="F19" s="323">
        <f t="shared" si="0"/>
        <v>2004</v>
      </c>
      <c r="G19" s="323">
        <f t="shared" si="0"/>
        <v>2005</v>
      </c>
      <c r="H19" s="323">
        <f t="shared" si="0"/>
        <v>2006</v>
      </c>
      <c r="I19" s="323">
        <f t="shared" si="0"/>
        <v>2007</v>
      </c>
      <c r="J19" s="323">
        <f t="shared" si="0"/>
        <v>2008</v>
      </c>
      <c r="K19" s="323">
        <f t="shared" si="0"/>
        <v>2009</v>
      </c>
      <c r="L19" s="323">
        <f t="shared" si="0"/>
        <v>2010</v>
      </c>
      <c r="M19" s="323">
        <f t="shared" si="0"/>
        <v>2011</v>
      </c>
      <c r="N19" s="323">
        <f t="shared" si="0"/>
        <v>2012</v>
      </c>
      <c r="O19" s="323">
        <f t="shared" si="0"/>
        <v>2013</v>
      </c>
      <c r="P19" s="323">
        <f t="shared" si="0"/>
        <v>2014</v>
      </c>
      <c r="Q19" s="323">
        <f t="shared" si="0"/>
        <v>2015</v>
      </c>
      <c r="R19" s="323">
        <f t="shared" si="0"/>
        <v>2016</v>
      </c>
      <c r="S19" s="323">
        <f t="shared" si="0"/>
        <v>2017</v>
      </c>
      <c r="T19" s="323">
        <f t="shared" ref="T19:AB19" si="1">S19+1</f>
        <v>2018</v>
      </c>
      <c r="U19" s="323">
        <f t="shared" si="1"/>
        <v>2019</v>
      </c>
      <c r="V19" s="323">
        <f t="shared" si="1"/>
        <v>2020</v>
      </c>
      <c r="W19" s="323">
        <f t="shared" si="1"/>
        <v>2021</v>
      </c>
      <c r="X19" s="323">
        <f t="shared" si="1"/>
        <v>2022</v>
      </c>
      <c r="Y19" s="323">
        <f t="shared" si="1"/>
        <v>2023</v>
      </c>
      <c r="Z19" s="323">
        <f t="shared" si="1"/>
        <v>2024</v>
      </c>
      <c r="AA19" s="323">
        <f t="shared" si="1"/>
        <v>2025</v>
      </c>
      <c r="AB19" s="323">
        <f t="shared" si="1"/>
        <v>2026</v>
      </c>
    </row>
    <row r="20" spans="1:28" s="62" customFormat="1">
      <c r="A20" s="199"/>
      <c r="B20" s="332">
        <f>DATE(B19,12,31)</f>
        <v>36891</v>
      </c>
      <c r="C20" s="332">
        <f t="shared" ref="C20:S20" si="2">DATE(C19,12,31)</f>
        <v>37256</v>
      </c>
      <c r="D20" s="332">
        <f t="shared" si="2"/>
        <v>37621</v>
      </c>
      <c r="E20" s="332">
        <f t="shared" si="2"/>
        <v>37986</v>
      </c>
      <c r="F20" s="332">
        <f t="shared" si="2"/>
        <v>38352</v>
      </c>
      <c r="G20" s="332">
        <f t="shared" si="2"/>
        <v>38717</v>
      </c>
      <c r="H20" s="332">
        <f t="shared" si="2"/>
        <v>39082</v>
      </c>
      <c r="I20" s="332">
        <f t="shared" si="2"/>
        <v>39447</v>
      </c>
      <c r="J20" s="332">
        <f t="shared" si="2"/>
        <v>39813</v>
      </c>
      <c r="K20" s="332">
        <f t="shared" si="2"/>
        <v>40178</v>
      </c>
      <c r="L20" s="332">
        <f t="shared" si="2"/>
        <v>40543</v>
      </c>
      <c r="M20" s="332">
        <f t="shared" si="2"/>
        <v>40908</v>
      </c>
      <c r="N20" s="332">
        <f t="shared" si="2"/>
        <v>41274</v>
      </c>
      <c r="O20" s="332">
        <f t="shared" si="2"/>
        <v>41639</v>
      </c>
      <c r="P20" s="332">
        <f t="shared" si="2"/>
        <v>42004</v>
      </c>
      <c r="Q20" s="332">
        <f t="shared" si="2"/>
        <v>42369</v>
      </c>
      <c r="R20" s="332">
        <f t="shared" si="2"/>
        <v>42735</v>
      </c>
      <c r="S20" s="332">
        <f t="shared" si="2"/>
        <v>43100</v>
      </c>
      <c r="T20" s="332">
        <f t="shared" ref="T20:AB20" si="3">DATE(T19,12,31)</f>
        <v>43465</v>
      </c>
      <c r="U20" s="332">
        <f t="shared" si="3"/>
        <v>43830</v>
      </c>
      <c r="V20" s="332">
        <f t="shared" si="3"/>
        <v>44196</v>
      </c>
      <c r="W20" s="332">
        <f t="shared" si="3"/>
        <v>44561</v>
      </c>
      <c r="X20" s="332">
        <f t="shared" si="3"/>
        <v>44926</v>
      </c>
      <c r="Y20" s="332">
        <f t="shared" si="3"/>
        <v>45291</v>
      </c>
      <c r="Z20" s="332">
        <f t="shared" si="3"/>
        <v>45657</v>
      </c>
      <c r="AA20" s="332">
        <f t="shared" si="3"/>
        <v>46022</v>
      </c>
      <c r="AB20" s="332">
        <f t="shared" si="3"/>
        <v>46387</v>
      </c>
    </row>
    <row r="21" spans="1:28">
      <c r="B21" s="236">
        <f t="shared" ref="B21:AB21" si="4">DATE(YEAR(B20),MONTH(B20)-6,DAY(EOMONTH(B20,-6)))</f>
        <v>36707</v>
      </c>
      <c r="C21" s="236">
        <f t="shared" si="4"/>
        <v>37072</v>
      </c>
      <c r="D21" s="236">
        <f t="shared" si="4"/>
        <v>37437</v>
      </c>
      <c r="E21" s="236">
        <f t="shared" si="4"/>
        <v>37802</v>
      </c>
      <c r="F21" s="236">
        <f t="shared" si="4"/>
        <v>38168</v>
      </c>
      <c r="G21" s="236">
        <f t="shared" si="4"/>
        <v>38533</v>
      </c>
      <c r="H21" s="236">
        <f t="shared" si="4"/>
        <v>38898</v>
      </c>
      <c r="I21" s="236">
        <f t="shared" si="4"/>
        <v>39263</v>
      </c>
      <c r="J21" s="236">
        <f t="shared" si="4"/>
        <v>39629</v>
      </c>
      <c r="K21" s="236">
        <f t="shared" si="4"/>
        <v>39994</v>
      </c>
      <c r="L21" s="236">
        <f t="shared" si="4"/>
        <v>40359</v>
      </c>
      <c r="M21" s="236">
        <f t="shared" si="4"/>
        <v>40724</v>
      </c>
      <c r="N21" s="236">
        <f t="shared" si="4"/>
        <v>41090</v>
      </c>
      <c r="O21" s="236">
        <f t="shared" si="4"/>
        <v>41455</v>
      </c>
      <c r="P21" s="236">
        <f t="shared" si="4"/>
        <v>41820</v>
      </c>
      <c r="Q21" s="236">
        <f t="shared" si="4"/>
        <v>42185</v>
      </c>
      <c r="R21" s="236">
        <f t="shared" si="4"/>
        <v>42551</v>
      </c>
      <c r="S21" s="236">
        <f t="shared" si="4"/>
        <v>42916</v>
      </c>
      <c r="T21" s="236">
        <f t="shared" si="4"/>
        <v>43281</v>
      </c>
      <c r="U21" s="236">
        <f t="shared" si="4"/>
        <v>43646</v>
      </c>
      <c r="V21" s="236">
        <f t="shared" si="4"/>
        <v>44012</v>
      </c>
      <c r="W21" s="236">
        <f t="shared" si="4"/>
        <v>44377</v>
      </c>
      <c r="X21" s="236">
        <f t="shared" si="4"/>
        <v>44742</v>
      </c>
      <c r="Y21" s="236">
        <f t="shared" si="4"/>
        <v>45107</v>
      </c>
      <c r="Z21" s="236">
        <f t="shared" si="4"/>
        <v>45473</v>
      </c>
      <c r="AA21" s="236">
        <f t="shared" si="4"/>
        <v>45838</v>
      </c>
      <c r="AB21" s="236">
        <f t="shared" si="4"/>
        <v>46203</v>
      </c>
    </row>
    <row r="22" spans="1:28">
      <c r="A22" s="51" t="s">
        <v>1033</v>
      </c>
      <c r="B22" s="358" t="str">
        <f>Assum!B114</f>
        <v>Custom</v>
      </c>
      <c r="C22" s="358"/>
      <c r="D22" s="358"/>
      <c r="E22" s="358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  <c r="V22" s="358"/>
      <c r="W22" s="358"/>
      <c r="X22" s="358"/>
      <c r="Y22" s="358"/>
      <c r="Z22" s="358"/>
      <c r="AA22" s="358"/>
      <c r="AB22" s="358"/>
    </row>
    <row r="23" spans="1:28">
      <c r="A23" s="51" t="s">
        <v>1010</v>
      </c>
      <c r="B23" s="360"/>
      <c r="C23" s="694">
        <f ca="1">(C78-$A$18*C87)/$A$18</f>
        <v>6030.4051764156829</v>
      </c>
      <c r="D23" s="694">
        <f>IF(C40=0,0,MIN(C40,(D78-$A$18*D87)/$A$18))</f>
        <v>0</v>
      </c>
      <c r="E23" s="694">
        <f t="shared" ref="E23:R23" ca="1" si="5">IF(D40=0,0,MIN(D40,(E78-$A$18*E87)/$A$18))</f>
        <v>0</v>
      </c>
      <c r="F23" s="694">
        <f t="shared" ca="1" si="5"/>
        <v>0</v>
      </c>
      <c r="G23" s="694">
        <f t="shared" ca="1" si="5"/>
        <v>0</v>
      </c>
      <c r="H23" s="694">
        <f t="shared" ca="1" si="5"/>
        <v>0</v>
      </c>
      <c r="I23" s="694">
        <f t="shared" ca="1" si="5"/>
        <v>0</v>
      </c>
      <c r="J23" s="694">
        <f t="shared" ca="1" si="5"/>
        <v>0</v>
      </c>
      <c r="K23" s="694">
        <f t="shared" ca="1" si="5"/>
        <v>0</v>
      </c>
      <c r="L23" s="694">
        <f t="shared" ca="1" si="5"/>
        <v>0</v>
      </c>
      <c r="M23" s="694">
        <f t="shared" ca="1" si="5"/>
        <v>0</v>
      </c>
      <c r="N23" s="694">
        <f t="shared" ca="1" si="5"/>
        <v>0</v>
      </c>
      <c r="O23" s="694">
        <f t="shared" ca="1" si="5"/>
        <v>0</v>
      </c>
      <c r="P23" s="694">
        <f t="shared" ca="1" si="5"/>
        <v>0</v>
      </c>
      <c r="Q23" s="694">
        <f t="shared" ca="1" si="5"/>
        <v>0</v>
      </c>
      <c r="R23" s="694">
        <f t="shared" ca="1" si="5"/>
        <v>0</v>
      </c>
      <c r="S23" s="694">
        <f ca="1">IF(R40=0,0,MIN(R40,(S78-$A$18*S87)/$A$18))</f>
        <v>0</v>
      </c>
      <c r="T23" s="694">
        <f t="shared" ref="T23:AB23" ca="1" si="6">IF(S40=0,0,MIN(S40,(T78-$A$18*T87)/$A$18))</f>
        <v>0</v>
      </c>
      <c r="U23" s="694">
        <f t="shared" ca="1" si="6"/>
        <v>0</v>
      </c>
      <c r="V23" s="694">
        <f t="shared" ca="1" si="6"/>
        <v>0</v>
      </c>
      <c r="W23" s="694">
        <f t="shared" ca="1" si="6"/>
        <v>0</v>
      </c>
      <c r="X23" s="694">
        <f t="shared" ca="1" si="6"/>
        <v>0</v>
      </c>
      <c r="Y23" s="694">
        <f t="shared" ca="1" si="6"/>
        <v>0</v>
      </c>
      <c r="Z23" s="694">
        <f t="shared" ca="1" si="6"/>
        <v>0</v>
      </c>
      <c r="AA23" s="694">
        <f t="shared" ca="1" si="6"/>
        <v>0</v>
      </c>
      <c r="AB23" s="694">
        <f t="shared" ca="1" si="6"/>
        <v>0</v>
      </c>
    </row>
    <row r="24" spans="1:28">
      <c r="A24" s="51" t="s">
        <v>1034</v>
      </c>
      <c r="B24" s="359" t="str">
        <f>Assum!C114</f>
        <v>Level</v>
      </c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59"/>
      <c r="N24" s="359"/>
      <c r="O24" s="359"/>
      <c r="P24" s="359"/>
      <c r="Q24" s="359"/>
      <c r="R24" s="359"/>
      <c r="S24" s="359"/>
      <c r="T24" s="359"/>
      <c r="U24" s="359"/>
      <c r="V24" s="359"/>
      <c r="W24" s="359"/>
      <c r="X24" s="359"/>
      <c r="Y24" s="359"/>
      <c r="Z24" s="359"/>
      <c r="AA24" s="359"/>
      <c r="AB24" s="359"/>
    </row>
    <row r="25" spans="1:28">
      <c r="A25" s="51" t="s">
        <v>1010</v>
      </c>
      <c r="B25" s="360"/>
      <c r="C25" s="360"/>
      <c r="D25" s="360"/>
      <c r="E25" s="360"/>
      <c r="F25" s="360"/>
      <c r="G25" s="360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  <c r="X25" s="360"/>
      <c r="Y25" s="360"/>
      <c r="Z25" s="360"/>
      <c r="AA25" s="360"/>
      <c r="AB25" s="360"/>
    </row>
    <row r="26" spans="1:28">
      <c r="A26" s="51"/>
      <c r="B26" s="359"/>
      <c r="C26" s="359"/>
      <c r="D26" s="359"/>
      <c r="E26" s="359"/>
      <c r="F26" s="359"/>
      <c r="G26" s="359"/>
      <c r="H26" s="359"/>
      <c r="I26" s="359"/>
      <c r="J26" s="359"/>
      <c r="K26" s="359"/>
      <c r="L26" s="359"/>
      <c r="M26" s="359"/>
      <c r="N26" s="359"/>
      <c r="O26" s="359"/>
      <c r="P26" s="359"/>
      <c r="Q26" s="359"/>
      <c r="R26" s="359"/>
      <c r="S26" s="359"/>
      <c r="T26" s="359"/>
      <c r="U26" s="359"/>
      <c r="V26" s="359"/>
      <c r="W26" s="359"/>
      <c r="X26" s="359"/>
      <c r="Y26" s="359"/>
      <c r="Z26" s="359"/>
      <c r="AA26" s="359"/>
      <c r="AB26" s="359"/>
    </row>
    <row r="27" spans="1:28">
      <c r="A27" s="55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</row>
    <row r="28" spans="1:28">
      <c r="A28" s="55"/>
      <c r="B28" s="125"/>
      <c r="C28" s="125">
        <f>IF(B29=0, IF(B20&gt;cod, 1,0), B29+1)</f>
        <v>0</v>
      </c>
      <c r="D28" s="125">
        <f t="shared" ref="D28:S28" si="7">IF(C29=0, IF(C20&gt;cod, 1,0), C29+1)</f>
        <v>2</v>
      </c>
      <c r="E28" s="125">
        <f t="shared" si="7"/>
        <v>4</v>
      </c>
      <c r="F28" s="125">
        <f t="shared" si="7"/>
        <v>6</v>
      </c>
      <c r="G28" s="125">
        <f t="shared" si="7"/>
        <v>8</v>
      </c>
      <c r="H28" s="125">
        <f t="shared" si="7"/>
        <v>10</v>
      </c>
      <c r="I28" s="125">
        <f t="shared" si="7"/>
        <v>12</v>
      </c>
      <c r="J28" s="125">
        <f t="shared" si="7"/>
        <v>14</v>
      </c>
      <c r="K28" s="125">
        <f t="shared" si="7"/>
        <v>16</v>
      </c>
      <c r="L28" s="125">
        <f t="shared" si="7"/>
        <v>18</v>
      </c>
      <c r="M28" s="125">
        <f t="shared" si="7"/>
        <v>20</v>
      </c>
      <c r="N28" s="125">
        <f t="shared" si="7"/>
        <v>22</v>
      </c>
      <c r="O28" s="125">
        <f t="shared" si="7"/>
        <v>24</v>
      </c>
      <c r="P28" s="125">
        <f t="shared" si="7"/>
        <v>26</v>
      </c>
      <c r="Q28" s="125">
        <f t="shared" si="7"/>
        <v>28</v>
      </c>
      <c r="R28" s="125">
        <f t="shared" si="7"/>
        <v>30</v>
      </c>
      <c r="S28" s="125">
        <f t="shared" si="7"/>
        <v>32</v>
      </c>
      <c r="T28" s="125">
        <f t="shared" ref="T28:AB28" si="8">IF(S29=0, IF(S20&gt;cod, 1,0), S29+1)</f>
        <v>34</v>
      </c>
      <c r="U28" s="125">
        <f t="shared" si="8"/>
        <v>36</v>
      </c>
      <c r="V28" s="125">
        <f t="shared" si="8"/>
        <v>38</v>
      </c>
      <c r="W28" s="125">
        <f t="shared" si="8"/>
        <v>40</v>
      </c>
      <c r="X28" s="125">
        <f t="shared" si="8"/>
        <v>42</v>
      </c>
      <c r="Y28" s="125">
        <f t="shared" si="8"/>
        <v>44</v>
      </c>
      <c r="Z28" s="125">
        <f t="shared" si="8"/>
        <v>46</v>
      </c>
      <c r="AA28" s="125">
        <f t="shared" si="8"/>
        <v>48</v>
      </c>
      <c r="AB28" s="125">
        <f t="shared" si="8"/>
        <v>50</v>
      </c>
    </row>
    <row r="29" spans="1:28">
      <c r="A29" s="55"/>
      <c r="B29" s="125">
        <f>IF(B21&gt;cod, 1, 0)</f>
        <v>0</v>
      </c>
      <c r="C29" s="125">
        <f>IF(C28=0, IF(C21&gt;cod, 1, 0),C28+1)</f>
        <v>1</v>
      </c>
      <c r="D29" s="125">
        <f t="shared" ref="D29:S29" si="9">IF(D28=0, IF(D21&gt;cod, 1, 0),D28+1)</f>
        <v>3</v>
      </c>
      <c r="E29" s="125">
        <f t="shared" si="9"/>
        <v>5</v>
      </c>
      <c r="F29" s="125">
        <f t="shared" si="9"/>
        <v>7</v>
      </c>
      <c r="G29" s="125">
        <f t="shared" si="9"/>
        <v>9</v>
      </c>
      <c r="H29" s="125">
        <f t="shared" si="9"/>
        <v>11</v>
      </c>
      <c r="I29" s="125">
        <f t="shared" si="9"/>
        <v>13</v>
      </c>
      <c r="J29" s="125">
        <f t="shared" si="9"/>
        <v>15</v>
      </c>
      <c r="K29" s="125">
        <f t="shared" si="9"/>
        <v>17</v>
      </c>
      <c r="L29" s="125">
        <f t="shared" si="9"/>
        <v>19</v>
      </c>
      <c r="M29" s="125">
        <f t="shared" si="9"/>
        <v>21</v>
      </c>
      <c r="N29" s="125">
        <f t="shared" si="9"/>
        <v>23</v>
      </c>
      <c r="O29" s="125">
        <f t="shared" si="9"/>
        <v>25</v>
      </c>
      <c r="P29" s="125">
        <f t="shared" si="9"/>
        <v>27</v>
      </c>
      <c r="Q29" s="125">
        <f t="shared" si="9"/>
        <v>29</v>
      </c>
      <c r="R29" s="125">
        <f t="shared" si="9"/>
        <v>31</v>
      </c>
      <c r="S29" s="125">
        <f t="shared" si="9"/>
        <v>33</v>
      </c>
      <c r="T29" s="125">
        <f t="shared" ref="T29:AB29" si="10">IF(T28=0, IF(T21&gt;cod, 1, 0),T28+1)</f>
        <v>35</v>
      </c>
      <c r="U29" s="125">
        <f t="shared" si="10"/>
        <v>37</v>
      </c>
      <c r="V29" s="125">
        <f t="shared" si="10"/>
        <v>39</v>
      </c>
      <c r="W29" s="125">
        <f t="shared" si="10"/>
        <v>41</v>
      </c>
      <c r="X29" s="125">
        <f t="shared" si="10"/>
        <v>43</v>
      </c>
      <c r="Y29" s="125">
        <f t="shared" si="10"/>
        <v>45</v>
      </c>
      <c r="Z29" s="125">
        <f t="shared" si="10"/>
        <v>47</v>
      </c>
      <c r="AA29" s="125">
        <f t="shared" si="10"/>
        <v>49</v>
      </c>
      <c r="AB29" s="125">
        <f t="shared" si="10"/>
        <v>51</v>
      </c>
    </row>
    <row r="30" spans="1:28">
      <c r="A30" s="56" t="str">
        <f>CONCATENATE("Tranche 1 @ ",F7*100,"%")</f>
        <v>Tranche 1 @ 7.5%</v>
      </c>
      <c r="C30" s="57"/>
    </row>
    <row r="31" spans="1:28">
      <c r="A31" s="284" t="s">
        <v>1191</v>
      </c>
      <c r="B31" s="59"/>
    </row>
    <row r="32" spans="1:28">
      <c r="A32" s="59" t="s">
        <v>1035</v>
      </c>
      <c r="B32" s="234">
        <v>0</v>
      </c>
      <c r="C32" s="59">
        <f>IF(B20&gt;cod,  IF(B40&gt;0, B40,Assum!$E$110),0)*IF(C28&gt;$F$8*2, 0,1)</f>
        <v>0</v>
      </c>
      <c r="D32" s="59">
        <f>IF(C20&gt;cod,  IF(C40&gt;0, C40,Assum!$E$110),0)*IF(D28&gt;$F$8*2, 0,1)</f>
        <v>0</v>
      </c>
      <c r="E32" s="59">
        <f ca="1">D40</f>
        <v>0</v>
      </c>
      <c r="F32" s="59">
        <f t="shared" ref="F32:S32" ca="1" si="11">E40</f>
        <v>0</v>
      </c>
      <c r="G32" s="59">
        <f t="shared" ca="1" si="11"/>
        <v>0</v>
      </c>
      <c r="H32" s="59">
        <f t="shared" ca="1" si="11"/>
        <v>0</v>
      </c>
      <c r="I32" s="59">
        <f t="shared" ca="1" si="11"/>
        <v>0</v>
      </c>
      <c r="J32" s="59">
        <f t="shared" ca="1" si="11"/>
        <v>0</v>
      </c>
      <c r="K32" s="59">
        <f t="shared" ca="1" si="11"/>
        <v>0</v>
      </c>
      <c r="L32" s="59">
        <f t="shared" ca="1" si="11"/>
        <v>0</v>
      </c>
      <c r="M32" s="59">
        <f t="shared" ca="1" si="11"/>
        <v>0</v>
      </c>
      <c r="N32" s="59">
        <f t="shared" ca="1" si="11"/>
        <v>0</v>
      </c>
      <c r="O32" s="59">
        <f t="shared" ca="1" si="11"/>
        <v>0</v>
      </c>
      <c r="P32" s="59">
        <f t="shared" ca="1" si="11"/>
        <v>0</v>
      </c>
      <c r="Q32" s="59">
        <f t="shared" ca="1" si="11"/>
        <v>0</v>
      </c>
      <c r="R32" s="59">
        <f t="shared" ca="1" si="11"/>
        <v>0</v>
      </c>
      <c r="S32" s="59">
        <f t="shared" ca="1" si="11"/>
        <v>0</v>
      </c>
      <c r="T32" s="59">
        <f t="shared" ref="T32:AB32" ca="1" si="12">S40</f>
        <v>0</v>
      </c>
      <c r="U32" s="59">
        <f t="shared" ca="1" si="12"/>
        <v>0</v>
      </c>
      <c r="V32" s="59">
        <f t="shared" ca="1" si="12"/>
        <v>0</v>
      </c>
      <c r="W32" s="59">
        <f t="shared" ca="1" si="12"/>
        <v>0</v>
      </c>
      <c r="X32" s="59">
        <f t="shared" ca="1" si="12"/>
        <v>0</v>
      </c>
      <c r="Y32" s="59">
        <f t="shared" ca="1" si="12"/>
        <v>0</v>
      </c>
      <c r="Z32" s="59">
        <f t="shared" ca="1" si="12"/>
        <v>0</v>
      </c>
      <c r="AA32" s="59">
        <f t="shared" ca="1" si="12"/>
        <v>0</v>
      </c>
      <c r="AB32" s="59">
        <f t="shared" ca="1" si="12"/>
        <v>0</v>
      </c>
    </row>
    <row r="33" spans="1:28">
      <c r="A33" s="59" t="s">
        <v>1036</v>
      </c>
      <c r="B33" s="59">
        <f>IF(B$32=0,0,IF($B$22="Level",$F$10/($F$8*2),IF($B$22="Custom",B23/2,IF(B28&gt;$F$8*2,0,-PPMT($F$7/2,B28,$F$8*2,$F$10)))*IF(B28&gt;$F$8*2,0,1)))</f>
        <v>0</v>
      </c>
      <c r="C33" s="59">
        <v>0</v>
      </c>
      <c r="D33" s="59">
        <f t="shared" ref="D33:R33" ca="1" si="13">(D101-D34-D39)/2</f>
        <v>0</v>
      </c>
      <c r="E33" s="59">
        <f t="shared" ca="1" si="13"/>
        <v>0</v>
      </c>
      <c r="F33" s="59">
        <f t="shared" ca="1" si="13"/>
        <v>0</v>
      </c>
      <c r="G33" s="59">
        <f t="shared" ca="1" si="13"/>
        <v>0</v>
      </c>
      <c r="H33" s="59">
        <f t="shared" ca="1" si="13"/>
        <v>0</v>
      </c>
      <c r="I33" s="59">
        <f t="shared" ca="1" si="13"/>
        <v>0</v>
      </c>
      <c r="J33" s="59">
        <f t="shared" ca="1" si="13"/>
        <v>0</v>
      </c>
      <c r="K33" s="59">
        <f t="shared" ca="1" si="13"/>
        <v>0</v>
      </c>
      <c r="L33" s="59">
        <f t="shared" ca="1" si="13"/>
        <v>0</v>
      </c>
      <c r="M33" s="59">
        <f t="shared" ca="1" si="13"/>
        <v>0</v>
      </c>
      <c r="N33" s="59">
        <f t="shared" ca="1" si="13"/>
        <v>0</v>
      </c>
      <c r="O33" s="59">
        <f t="shared" ca="1" si="13"/>
        <v>0</v>
      </c>
      <c r="P33" s="59">
        <f t="shared" ca="1" si="13"/>
        <v>0</v>
      </c>
      <c r="Q33" s="59">
        <f t="shared" ca="1" si="13"/>
        <v>0</v>
      </c>
      <c r="R33" s="59">
        <f t="shared" ca="1" si="13"/>
        <v>0</v>
      </c>
      <c r="S33" s="59">
        <v>0</v>
      </c>
      <c r="T33" s="59">
        <v>0</v>
      </c>
      <c r="U33" s="59">
        <v>0</v>
      </c>
      <c r="V33" s="59">
        <v>0</v>
      </c>
      <c r="W33" s="59">
        <v>0</v>
      </c>
      <c r="X33" s="59">
        <v>0</v>
      </c>
      <c r="Y33" s="59">
        <v>0</v>
      </c>
      <c r="Z33" s="59">
        <v>0</v>
      </c>
      <c r="AA33" s="59">
        <v>0</v>
      </c>
      <c r="AB33" s="59">
        <v>0</v>
      </c>
    </row>
    <row r="34" spans="1:28">
      <c r="A34" s="59" t="s">
        <v>1037</v>
      </c>
      <c r="B34" s="237">
        <f>IF(C2=1,(-Assum!$B$106+DATE(YEAR(B20),MONTH(B20)-6,DAY(EOMONTH(B20,-6)))/365.25*$F$7*B32),0)</f>
        <v>0</v>
      </c>
      <c r="C34" s="26">
        <v>0</v>
      </c>
      <c r="D34" s="26">
        <f>$F$7/2*D32</f>
        <v>0</v>
      </c>
      <c r="E34" s="26">
        <f t="shared" ref="E34:S34" ca="1" si="14">$F$7/2*E32</f>
        <v>0</v>
      </c>
      <c r="F34" s="26">
        <f t="shared" ca="1" si="14"/>
        <v>0</v>
      </c>
      <c r="G34" s="26">
        <f t="shared" ca="1" si="14"/>
        <v>0</v>
      </c>
      <c r="H34" s="26">
        <f t="shared" ca="1" si="14"/>
        <v>0</v>
      </c>
      <c r="I34" s="26">
        <f t="shared" ca="1" si="14"/>
        <v>0</v>
      </c>
      <c r="J34" s="26">
        <f t="shared" ca="1" si="14"/>
        <v>0</v>
      </c>
      <c r="K34" s="26">
        <f t="shared" ca="1" si="14"/>
        <v>0</v>
      </c>
      <c r="L34" s="26">
        <f t="shared" ca="1" si="14"/>
        <v>0</v>
      </c>
      <c r="M34" s="26">
        <f t="shared" ca="1" si="14"/>
        <v>0</v>
      </c>
      <c r="N34" s="26">
        <f t="shared" ca="1" si="14"/>
        <v>0</v>
      </c>
      <c r="O34" s="26">
        <f t="shared" ca="1" si="14"/>
        <v>0</v>
      </c>
      <c r="P34" s="26">
        <f t="shared" ca="1" si="14"/>
        <v>0</v>
      </c>
      <c r="Q34" s="26">
        <f t="shared" ca="1" si="14"/>
        <v>0</v>
      </c>
      <c r="R34" s="26">
        <f t="shared" ca="1" si="14"/>
        <v>0</v>
      </c>
      <c r="S34" s="26">
        <f t="shared" ca="1" si="14"/>
        <v>0</v>
      </c>
      <c r="T34" s="26">
        <f t="shared" ref="T34:AB34" ca="1" si="15">$F$7/2*T32</f>
        <v>0</v>
      </c>
      <c r="U34" s="26">
        <f t="shared" ca="1" si="15"/>
        <v>0</v>
      </c>
      <c r="V34" s="26">
        <f t="shared" ca="1" si="15"/>
        <v>0</v>
      </c>
      <c r="W34" s="26">
        <f t="shared" ca="1" si="15"/>
        <v>0</v>
      </c>
      <c r="X34" s="26">
        <f t="shared" ca="1" si="15"/>
        <v>0</v>
      </c>
      <c r="Y34" s="26">
        <f t="shared" ca="1" si="15"/>
        <v>0</v>
      </c>
      <c r="Z34" s="26">
        <f t="shared" ca="1" si="15"/>
        <v>0</v>
      </c>
      <c r="AA34" s="26">
        <f t="shared" ca="1" si="15"/>
        <v>0</v>
      </c>
      <c r="AB34" s="26">
        <f t="shared" ca="1" si="15"/>
        <v>0</v>
      </c>
    </row>
    <row r="35" spans="1:28">
      <c r="A35" s="59" t="s">
        <v>1038</v>
      </c>
      <c r="B35" s="237">
        <f>B32-B33</f>
        <v>0</v>
      </c>
      <c r="C35" s="59">
        <f>C32-C33</f>
        <v>0</v>
      </c>
      <c r="D35" s="59">
        <f t="shared" ref="D35:S35" ca="1" si="16">D32-D33</f>
        <v>0</v>
      </c>
      <c r="E35" s="59">
        <f t="shared" ca="1" si="16"/>
        <v>0</v>
      </c>
      <c r="F35" s="59">
        <f t="shared" ca="1" si="16"/>
        <v>0</v>
      </c>
      <c r="G35" s="59">
        <f t="shared" ca="1" si="16"/>
        <v>0</v>
      </c>
      <c r="H35" s="59">
        <f t="shared" ca="1" si="16"/>
        <v>0</v>
      </c>
      <c r="I35" s="59">
        <f t="shared" ca="1" si="16"/>
        <v>0</v>
      </c>
      <c r="J35" s="59">
        <f t="shared" ca="1" si="16"/>
        <v>0</v>
      </c>
      <c r="K35" s="59">
        <f t="shared" ca="1" si="16"/>
        <v>0</v>
      </c>
      <c r="L35" s="59">
        <f t="shared" ca="1" si="16"/>
        <v>0</v>
      </c>
      <c r="M35" s="59">
        <f t="shared" ca="1" si="16"/>
        <v>0</v>
      </c>
      <c r="N35" s="59">
        <f t="shared" ca="1" si="16"/>
        <v>0</v>
      </c>
      <c r="O35" s="59">
        <f t="shared" ca="1" si="16"/>
        <v>0</v>
      </c>
      <c r="P35" s="59">
        <f t="shared" ca="1" si="16"/>
        <v>0</v>
      </c>
      <c r="Q35" s="59">
        <f t="shared" ca="1" si="16"/>
        <v>0</v>
      </c>
      <c r="R35" s="59">
        <f t="shared" ca="1" si="16"/>
        <v>0</v>
      </c>
      <c r="S35" s="59">
        <f t="shared" ca="1" si="16"/>
        <v>0</v>
      </c>
      <c r="T35" s="59">
        <f t="shared" ref="T35:AB35" ca="1" si="17">T32-T33</f>
        <v>0</v>
      </c>
      <c r="U35" s="59">
        <f t="shared" ca="1" si="17"/>
        <v>0</v>
      </c>
      <c r="V35" s="59">
        <f t="shared" ca="1" si="17"/>
        <v>0</v>
      </c>
      <c r="W35" s="59">
        <f t="shared" ca="1" si="17"/>
        <v>0</v>
      </c>
      <c r="X35" s="59">
        <f t="shared" ca="1" si="17"/>
        <v>0</v>
      </c>
      <c r="Y35" s="59">
        <f t="shared" ca="1" si="17"/>
        <v>0</v>
      </c>
      <c r="Z35" s="59">
        <f t="shared" ca="1" si="17"/>
        <v>0</v>
      </c>
      <c r="AA35" s="59">
        <f t="shared" ca="1" si="17"/>
        <v>0</v>
      </c>
      <c r="AB35" s="59">
        <f t="shared" ca="1" si="17"/>
        <v>0</v>
      </c>
    </row>
    <row r="36" spans="1:28">
      <c r="A36" s="284" t="s">
        <v>1192</v>
      </c>
      <c r="B36" s="237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</row>
    <row r="37" spans="1:28">
      <c r="A37" s="59" t="s">
        <v>1035</v>
      </c>
      <c r="B37" s="237">
        <f>IF(B21&gt;cod,IF(B35&gt;0,B35,Assum!$E$110),0)*IF(B29&gt;$F$8*2,0,1)</f>
        <v>0</v>
      </c>
      <c r="C37" s="237">
        <f>IF(C21&gt;cod,IF(C35&gt;0,C35,Assum!$E$110),0)*IF(C29&gt;$F$8*2,0,1)</f>
        <v>0</v>
      </c>
      <c r="D37" s="237">
        <f ca="1">IF(D21&gt;cod,IF(D35&gt;0,D35,Assum!$E$110),0)*IF(D29&gt;$F$8*2,0,1)</f>
        <v>0</v>
      </c>
      <c r="E37" s="237">
        <f ca="1">E35</f>
        <v>0</v>
      </c>
      <c r="F37" s="237">
        <f t="shared" ref="F37:S37" ca="1" si="18">F35</f>
        <v>0</v>
      </c>
      <c r="G37" s="237">
        <f t="shared" ca="1" si="18"/>
        <v>0</v>
      </c>
      <c r="H37" s="237">
        <f t="shared" ca="1" si="18"/>
        <v>0</v>
      </c>
      <c r="I37" s="237">
        <f t="shared" ca="1" si="18"/>
        <v>0</v>
      </c>
      <c r="J37" s="237">
        <f t="shared" ca="1" si="18"/>
        <v>0</v>
      </c>
      <c r="K37" s="237">
        <f t="shared" ca="1" si="18"/>
        <v>0</v>
      </c>
      <c r="L37" s="237">
        <f t="shared" ca="1" si="18"/>
        <v>0</v>
      </c>
      <c r="M37" s="237">
        <f t="shared" ca="1" si="18"/>
        <v>0</v>
      </c>
      <c r="N37" s="237">
        <f t="shared" ca="1" si="18"/>
        <v>0</v>
      </c>
      <c r="O37" s="237">
        <f t="shared" ca="1" si="18"/>
        <v>0</v>
      </c>
      <c r="P37" s="237">
        <f t="shared" ca="1" si="18"/>
        <v>0</v>
      </c>
      <c r="Q37" s="237">
        <f t="shared" ca="1" si="18"/>
        <v>0</v>
      </c>
      <c r="R37" s="237">
        <f t="shared" ca="1" si="18"/>
        <v>0</v>
      </c>
      <c r="S37" s="237">
        <f t="shared" ca="1" si="18"/>
        <v>0</v>
      </c>
      <c r="T37" s="237">
        <f t="shared" ref="T37:AB37" ca="1" si="19">T35</f>
        <v>0</v>
      </c>
      <c r="U37" s="237">
        <f t="shared" ca="1" si="19"/>
        <v>0</v>
      </c>
      <c r="V37" s="237">
        <f t="shared" ca="1" si="19"/>
        <v>0</v>
      </c>
      <c r="W37" s="237">
        <f t="shared" ca="1" si="19"/>
        <v>0</v>
      </c>
      <c r="X37" s="237">
        <f t="shared" ca="1" si="19"/>
        <v>0</v>
      </c>
      <c r="Y37" s="237">
        <f t="shared" ca="1" si="19"/>
        <v>0</v>
      </c>
      <c r="Z37" s="237">
        <f t="shared" ca="1" si="19"/>
        <v>0</v>
      </c>
      <c r="AA37" s="237">
        <f t="shared" ca="1" si="19"/>
        <v>0</v>
      </c>
      <c r="AB37" s="237">
        <f t="shared" ca="1" si="19"/>
        <v>0</v>
      </c>
    </row>
    <row r="38" spans="1:28">
      <c r="A38" s="59" t="s">
        <v>1036</v>
      </c>
      <c r="B38" s="59">
        <f>IF(B37=0,0,IF($B$22="Level",$F$10/($F$8*2),IF($B$22="Custom",B23/2,IF(B29&gt;$F$8*2,0,-PPMT($F$7/2,B29,$F$8*2,$F$10)))*IF(B29&gt;$F$8*2,0,1)))</f>
        <v>0</v>
      </c>
      <c r="C38" s="20">
        <f>C101-C39-C34</f>
        <v>0</v>
      </c>
      <c r="D38" s="59">
        <f ca="1">D33</f>
        <v>0</v>
      </c>
      <c r="E38" s="59">
        <f t="shared" ref="E38:S38" ca="1" si="20">E33</f>
        <v>0</v>
      </c>
      <c r="F38" s="59">
        <f t="shared" ca="1" si="20"/>
        <v>0</v>
      </c>
      <c r="G38" s="59">
        <f t="shared" ca="1" si="20"/>
        <v>0</v>
      </c>
      <c r="H38" s="59">
        <f t="shared" ca="1" si="20"/>
        <v>0</v>
      </c>
      <c r="I38" s="59">
        <f t="shared" ca="1" si="20"/>
        <v>0</v>
      </c>
      <c r="J38" s="59">
        <f t="shared" ca="1" si="20"/>
        <v>0</v>
      </c>
      <c r="K38" s="59">
        <f t="shared" ca="1" si="20"/>
        <v>0</v>
      </c>
      <c r="L38" s="59">
        <f t="shared" ca="1" si="20"/>
        <v>0</v>
      </c>
      <c r="M38" s="59">
        <f t="shared" ca="1" si="20"/>
        <v>0</v>
      </c>
      <c r="N38" s="59">
        <f t="shared" ca="1" si="20"/>
        <v>0</v>
      </c>
      <c r="O38" s="59">
        <f t="shared" ca="1" si="20"/>
        <v>0</v>
      </c>
      <c r="P38" s="59">
        <f t="shared" ca="1" si="20"/>
        <v>0</v>
      </c>
      <c r="Q38" s="59">
        <f t="shared" ca="1" si="20"/>
        <v>0</v>
      </c>
      <c r="R38" s="59">
        <f ca="1">R35</f>
        <v>0</v>
      </c>
      <c r="S38" s="59">
        <f t="shared" si="20"/>
        <v>0</v>
      </c>
      <c r="T38" s="59">
        <f t="shared" ref="T38:AB38" si="21">T33</f>
        <v>0</v>
      </c>
      <c r="U38" s="59">
        <f t="shared" si="21"/>
        <v>0</v>
      </c>
      <c r="V38" s="59">
        <f t="shared" si="21"/>
        <v>0</v>
      </c>
      <c r="W38" s="59">
        <f t="shared" si="21"/>
        <v>0</v>
      </c>
      <c r="X38" s="59">
        <f t="shared" si="21"/>
        <v>0</v>
      </c>
      <c r="Y38" s="59">
        <f t="shared" si="21"/>
        <v>0</v>
      </c>
      <c r="Z38" s="59">
        <f t="shared" si="21"/>
        <v>0</v>
      </c>
      <c r="AA38" s="59">
        <f t="shared" si="21"/>
        <v>0</v>
      </c>
      <c r="AB38" s="59">
        <f t="shared" si="21"/>
        <v>0</v>
      </c>
    </row>
    <row r="39" spans="1:28">
      <c r="A39" s="59" t="s">
        <v>1037</v>
      </c>
      <c r="B39" s="237">
        <f>B37*$F$7/2</f>
        <v>0</v>
      </c>
      <c r="C39" s="237">
        <f t="shared" ref="C39:S39" si="22">C37*$F$7/2</f>
        <v>0</v>
      </c>
      <c r="D39" s="237">
        <f t="shared" ca="1" si="22"/>
        <v>0</v>
      </c>
      <c r="E39" s="237">
        <f t="shared" ca="1" si="22"/>
        <v>0</v>
      </c>
      <c r="F39" s="237">
        <f t="shared" ca="1" si="22"/>
        <v>0</v>
      </c>
      <c r="G39" s="237">
        <f t="shared" ca="1" si="22"/>
        <v>0</v>
      </c>
      <c r="H39" s="237">
        <f t="shared" ca="1" si="22"/>
        <v>0</v>
      </c>
      <c r="I39" s="237">
        <f t="shared" ca="1" si="22"/>
        <v>0</v>
      </c>
      <c r="J39" s="237">
        <f t="shared" ca="1" si="22"/>
        <v>0</v>
      </c>
      <c r="K39" s="237">
        <f t="shared" ca="1" si="22"/>
        <v>0</v>
      </c>
      <c r="L39" s="237">
        <f t="shared" ca="1" si="22"/>
        <v>0</v>
      </c>
      <c r="M39" s="237">
        <f t="shared" ca="1" si="22"/>
        <v>0</v>
      </c>
      <c r="N39" s="237">
        <f t="shared" ca="1" si="22"/>
        <v>0</v>
      </c>
      <c r="O39" s="237">
        <f t="shared" ca="1" si="22"/>
        <v>0</v>
      </c>
      <c r="P39" s="237">
        <f t="shared" ca="1" si="22"/>
        <v>0</v>
      </c>
      <c r="Q39" s="237">
        <f t="shared" ca="1" si="22"/>
        <v>0</v>
      </c>
      <c r="R39" s="237">
        <f t="shared" ca="1" si="22"/>
        <v>0</v>
      </c>
      <c r="S39" s="237">
        <f t="shared" ca="1" si="22"/>
        <v>0</v>
      </c>
      <c r="T39" s="237">
        <f t="shared" ref="T39:AB39" ca="1" si="23">T37*$F$7/2</f>
        <v>0</v>
      </c>
      <c r="U39" s="237">
        <f t="shared" ca="1" si="23"/>
        <v>0</v>
      </c>
      <c r="V39" s="237">
        <f t="shared" ca="1" si="23"/>
        <v>0</v>
      </c>
      <c r="W39" s="237">
        <f t="shared" ca="1" si="23"/>
        <v>0</v>
      </c>
      <c r="X39" s="237">
        <f t="shared" ca="1" si="23"/>
        <v>0</v>
      </c>
      <c r="Y39" s="237">
        <f t="shared" ca="1" si="23"/>
        <v>0</v>
      </c>
      <c r="Z39" s="237">
        <f t="shared" ca="1" si="23"/>
        <v>0</v>
      </c>
      <c r="AA39" s="237">
        <f t="shared" ca="1" si="23"/>
        <v>0</v>
      </c>
      <c r="AB39" s="237">
        <f t="shared" ca="1" si="23"/>
        <v>0</v>
      </c>
    </row>
    <row r="40" spans="1:28">
      <c r="A40" s="59" t="s">
        <v>1038</v>
      </c>
      <c r="B40" s="237">
        <f>B37-B38</f>
        <v>0</v>
      </c>
      <c r="C40" s="59">
        <f t="shared" ref="C40:R40" si="24">C37-C38</f>
        <v>0</v>
      </c>
      <c r="D40" s="59">
        <f t="shared" ca="1" si="24"/>
        <v>0</v>
      </c>
      <c r="E40" s="59">
        <f t="shared" ca="1" si="24"/>
        <v>0</v>
      </c>
      <c r="F40" s="59">
        <f t="shared" ca="1" si="24"/>
        <v>0</v>
      </c>
      <c r="G40" s="59">
        <f t="shared" ca="1" si="24"/>
        <v>0</v>
      </c>
      <c r="H40" s="59">
        <f t="shared" ca="1" si="24"/>
        <v>0</v>
      </c>
      <c r="I40" s="59">
        <f t="shared" ca="1" si="24"/>
        <v>0</v>
      </c>
      <c r="J40" s="59">
        <f t="shared" ca="1" si="24"/>
        <v>0</v>
      </c>
      <c r="K40" s="59">
        <f t="shared" ca="1" si="24"/>
        <v>0</v>
      </c>
      <c r="L40" s="59">
        <f t="shared" ca="1" si="24"/>
        <v>0</v>
      </c>
      <c r="M40" s="59">
        <f t="shared" ca="1" si="24"/>
        <v>0</v>
      </c>
      <c r="N40" s="59">
        <f t="shared" ca="1" si="24"/>
        <v>0</v>
      </c>
      <c r="O40" s="59">
        <f t="shared" ca="1" si="24"/>
        <v>0</v>
      </c>
      <c r="P40" s="59">
        <f t="shared" ca="1" si="24"/>
        <v>0</v>
      </c>
      <c r="Q40" s="59">
        <f t="shared" ca="1" si="24"/>
        <v>0</v>
      </c>
      <c r="R40" s="59">
        <f t="shared" ca="1" si="24"/>
        <v>0</v>
      </c>
      <c r="S40" s="59">
        <f ca="1">S37-S38</f>
        <v>0</v>
      </c>
      <c r="T40" s="59">
        <f t="shared" ref="T40:AB40" ca="1" si="25">T37-T38</f>
        <v>0</v>
      </c>
      <c r="U40" s="59">
        <f t="shared" ca="1" si="25"/>
        <v>0</v>
      </c>
      <c r="V40" s="59">
        <f t="shared" ca="1" si="25"/>
        <v>0</v>
      </c>
      <c r="W40" s="59">
        <f t="shared" ca="1" si="25"/>
        <v>0</v>
      </c>
      <c r="X40" s="59">
        <f t="shared" ca="1" si="25"/>
        <v>0</v>
      </c>
      <c r="Y40" s="59">
        <f t="shared" ca="1" si="25"/>
        <v>0</v>
      </c>
      <c r="Z40" s="59">
        <f t="shared" ca="1" si="25"/>
        <v>0</v>
      </c>
      <c r="AA40" s="59">
        <f t="shared" ca="1" si="25"/>
        <v>0</v>
      </c>
      <c r="AB40" s="59">
        <f t="shared" ca="1" si="25"/>
        <v>0</v>
      </c>
    </row>
    <row r="41" spans="1:28">
      <c r="A41" s="59"/>
      <c r="B41" s="237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</row>
    <row r="42" spans="1:28">
      <c r="A42" s="61" t="s">
        <v>1193</v>
      </c>
      <c r="B42" s="237">
        <f>B34+B39</f>
        <v>0</v>
      </c>
      <c r="C42" s="237">
        <f t="shared" ref="C42:S42" si="26">C34+C39</f>
        <v>0</v>
      </c>
      <c r="D42" s="237">
        <f t="shared" ca="1" si="26"/>
        <v>0</v>
      </c>
      <c r="E42" s="237">
        <f t="shared" ca="1" si="26"/>
        <v>0</v>
      </c>
      <c r="F42" s="237">
        <f t="shared" ca="1" si="26"/>
        <v>0</v>
      </c>
      <c r="G42" s="237">
        <f t="shared" ca="1" si="26"/>
        <v>0</v>
      </c>
      <c r="H42" s="237">
        <f t="shared" ca="1" si="26"/>
        <v>0</v>
      </c>
      <c r="I42" s="237">
        <f t="shared" ca="1" si="26"/>
        <v>0</v>
      </c>
      <c r="J42" s="237">
        <f t="shared" ca="1" si="26"/>
        <v>0</v>
      </c>
      <c r="K42" s="237">
        <f t="shared" ca="1" si="26"/>
        <v>0</v>
      </c>
      <c r="L42" s="237">
        <f t="shared" ca="1" si="26"/>
        <v>0</v>
      </c>
      <c r="M42" s="237">
        <f t="shared" ca="1" si="26"/>
        <v>0</v>
      </c>
      <c r="N42" s="237">
        <f t="shared" ca="1" si="26"/>
        <v>0</v>
      </c>
      <c r="O42" s="237">
        <f t="shared" ca="1" si="26"/>
        <v>0</v>
      </c>
      <c r="P42" s="237">
        <f t="shared" ca="1" si="26"/>
        <v>0</v>
      </c>
      <c r="Q42" s="237">
        <f t="shared" ca="1" si="26"/>
        <v>0</v>
      </c>
      <c r="R42" s="237">
        <f t="shared" ca="1" si="26"/>
        <v>0</v>
      </c>
      <c r="S42" s="237">
        <f t="shared" ca="1" si="26"/>
        <v>0</v>
      </c>
      <c r="T42" s="237">
        <f t="shared" ref="T42:AB42" ca="1" si="27">T34+T39</f>
        <v>0</v>
      </c>
      <c r="U42" s="237">
        <f t="shared" ca="1" si="27"/>
        <v>0</v>
      </c>
      <c r="V42" s="237">
        <f t="shared" ca="1" si="27"/>
        <v>0</v>
      </c>
      <c r="W42" s="237">
        <f t="shared" ca="1" si="27"/>
        <v>0</v>
      </c>
      <c r="X42" s="237">
        <f t="shared" ca="1" si="27"/>
        <v>0</v>
      </c>
      <c r="Y42" s="237">
        <f t="shared" ca="1" si="27"/>
        <v>0</v>
      </c>
      <c r="Z42" s="237">
        <f t="shared" ca="1" si="27"/>
        <v>0</v>
      </c>
      <c r="AA42" s="237">
        <f t="shared" ca="1" si="27"/>
        <v>0</v>
      </c>
      <c r="AB42" s="237">
        <f t="shared" ca="1" si="27"/>
        <v>0</v>
      </c>
    </row>
    <row r="43" spans="1:28">
      <c r="A43" s="61" t="s">
        <v>1194</v>
      </c>
      <c r="B43" s="237">
        <f>B33+B38</f>
        <v>0</v>
      </c>
      <c r="C43" s="237">
        <f t="shared" ref="C43:S43" si="28">C33+C38</f>
        <v>0</v>
      </c>
      <c r="D43" s="237">
        <f t="shared" ca="1" si="28"/>
        <v>0</v>
      </c>
      <c r="E43" s="237">
        <f t="shared" ca="1" si="28"/>
        <v>0</v>
      </c>
      <c r="F43" s="237">
        <f t="shared" ca="1" si="28"/>
        <v>0</v>
      </c>
      <c r="G43" s="237">
        <f t="shared" ca="1" si="28"/>
        <v>0</v>
      </c>
      <c r="H43" s="237">
        <f t="shared" ca="1" si="28"/>
        <v>0</v>
      </c>
      <c r="I43" s="237">
        <f t="shared" ca="1" si="28"/>
        <v>0</v>
      </c>
      <c r="J43" s="237">
        <f t="shared" ca="1" si="28"/>
        <v>0</v>
      </c>
      <c r="K43" s="237">
        <f t="shared" ca="1" si="28"/>
        <v>0</v>
      </c>
      <c r="L43" s="237">
        <f t="shared" ca="1" si="28"/>
        <v>0</v>
      </c>
      <c r="M43" s="237">
        <f t="shared" ca="1" si="28"/>
        <v>0</v>
      </c>
      <c r="N43" s="237">
        <f t="shared" ca="1" si="28"/>
        <v>0</v>
      </c>
      <c r="O43" s="237">
        <f t="shared" ca="1" si="28"/>
        <v>0</v>
      </c>
      <c r="P43" s="237">
        <f t="shared" ca="1" si="28"/>
        <v>0</v>
      </c>
      <c r="Q43" s="237">
        <f t="shared" ca="1" si="28"/>
        <v>0</v>
      </c>
      <c r="R43" s="237">
        <f t="shared" ca="1" si="28"/>
        <v>0</v>
      </c>
      <c r="S43" s="237">
        <f t="shared" si="28"/>
        <v>0</v>
      </c>
      <c r="T43" s="237">
        <f t="shared" ref="T43:AB43" si="29">T33+T38</f>
        <v>0</v>
      </c>
      <c r="U43" s="237">
        <f t="shared" si="29"/>
        <v>0</v>
      </c>
      <c r="V43" s="237">
        <f t="shared" si="29"/>
        <v>0</v>
      </c>
      <c r="W43" s="237">
        <f t="shared" si="29"/>
        <v>0</v>
      </c>
      <c r="X43" s="237">
        <f t="shared" si="29"/>
        <v>0</v>
      </c>
      <c r="Y43" s="237">
        <f t="shared" si="29"/>
        <v>0</v>
      </c>
      <c r="Z43" s="237">
        <f t="shared" si="29"/>
        <v>0</v>
      </c>
      <c r="AA43" s="237">
        <f t="shared" si="29"/>
        <v>0</v>
      </c>
      <c r="AB43" s="237">
        <f t="shared" si="29"/>
        <v>0</v>
      </c>
    </row>
    <row r="44" spans="1:28">
      <c r="B44" s="15"/>
      <c r="C44" s="59"/>
      <c r="D44" s="59"/>
    </row>
    <row r="45" spans="1:28">
      <c r="B45" s="15"/>
    </row>
    <row r="46" spans="1:28">
      <c r="A46" s="56" t="str">
        <f>CONCATENATE("Tranche 2 @ ",L7*100,"%")</f>
        <v>Tranche 2 @ 7.5%</v>
      </c>
      <c r="B46" s="15"/>
      <c r="C46" s="57"/>
    </row>
    <row r="47" spans="1:28">
      <c r="A47" s="283" t="str">
        <f>A31</f>
        <v>Period 1</v>
      </c>
      <c r="B47" s="237"/>
    </row>
    <row r="48" spans="1:28">
      <c r="A48" s="59" t="s">
        <v>1035</v>
      </c>
      <c r="B48" s="129">
        <v>0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20"/>
    </row>
    <row r="49" spans="1:21">
      <c r="A49" s="59" t="s">
        <v>1036</v>
      </c>
      <c r="B49" s="237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20"/>
    </row>
    <row r="50" spans="1:21">
      <c r="A50" s="59" t="s">
        <v>1037</v>
      </c>
      <c r="B50" s="237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20"/>
    </row>
    <row r="51" spans="1:21">
      <c r="A51" s="59" t="s">
        <v>1038</v>
      </c>
      <c r="B51" s="237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20"/>
    </row>
    <row r="52" spans="1:21">
      <c r="A52" s="283" t="str">
        <f>A36</f>
        <v>Period 2</v>
      </c>
      <c r="B52" s="237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20"/>
    </row>
    <row r="53" spans="1:21">
      <c r="A53" s="59" t="s">
        <v>1035</v>
      </c>
      <c r="B53" s="237"/>
      <c r="C53" s="237"/>
      <c r="D53" s="237"/>
      <c r="E53" s="237"/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59"/>
      <c r="U53" s="20"/>
    </row>
    <row r="54" spans="1:21">
      <c r="A54" s="59" t="s">
        <v>1036</v>
      </c>
      <c r="B54" s="237"/>
      <c r="C54" s="23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59"/>
      <c r="U54" s="20"/>
    </row>
    <row r="55" spans="1:21">
      <c r="A55" s="59" t="s">
        <v>1037</v>
      </c>
      <c r="B55" s="237"/>
      <c r="C55" s="237"/>
      <c r="D55" s="237"/>
      <c r="E55" s="237"/>
      <c r="F55" s="237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59"/>
      <c r="U55" s="20"/>
    </row>
    <row r="56" spans="1:21">
      <c r="A56" s="59" t="s">
        <v>1038</v>
      </c>
      <c r="B56" s="237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20"/>
    </row>
    <row r="57" spans="1:21">
      <c r="A57" s="59"/>
      <c r="B57" s="237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20"/>
    </row>
    <row r="58" spans="1:21">
      <c r="A58" s="61" t="s">
        <v>1193</v>
      </c>
      <c r="B58" s="237">
        <f>B55+B50</f>
        <v>0</v>
      </c>
      <c r="C58" s="237">
        <f>C55+C50</f>
        <v>0</v>
      </c>
      <c r="D58" s="237">
        <f t="shared" ref="D58:S58" si="30">D55+D50</f>
        <v>0</v>
      </c>
      <c r="E58" s="237">
        <f t="shared" si="30"/>
        <v>0</v>
      </c>
      <c r="F58" s="237">
        <f t="shared" si="30"/>
        <v>0</v>
      </c>
      <c r="G58" s="237">
        <f t="shared" si="30"/>
        <v>0</v>
      </c>
      <c r="H58" s="237">
        <f t="shared" si="30"/>
        <v>0</v>
      </c>
      <c r="I58" s="237">
        <f t="shared" si="30"/>
        <v>0</v>
      </c>
      <c r="J58" s="237">
        <f t="shared" si="30"/>
        <v>0</v>
      </c>
      <c r="K58" s="237">
        <f t="shared" si="30"/>
        <v>0</v>
      </c>
      <c r="L58" s="237">
        <f t="shared" si="30"/>
        <v>0</v>
      </c>
      <c r="M58" s="237">
        <f t="shared" si="30"/>
        <v>0</v>
      </c>
      <c r="N58" s="237">
        <f t="shared" si="30"/>
        <v>0</v>
      </c>
      <c r="O58" s="237">
        <f t="shared" si="30"/>
        <v>0</v>
      </c>
      <c r="P58" s="237">
        <f t="shared" si="30"/>
        <v>0</v>
      </c>
      <c r="Q58" s="237">
        <f t="shared" si="30"/>
        <v>0</v>
      </c>
      <c r="R58" s="237">
        <f t="shared" si="30"/>
        <v>0</v>
      </c>
      <c r="S58" s="237">
        <f t="shared" si="30"/>
        <v>0</v>
      </c>
      <c r="T58" s="59"/>
      <c r="U58" s="20"/>
    </row>
    <row r="59" spans="1:21">
      <c r="A59" s="61" t="s">
        <v>1194</v>
      </c>
      <c r="B59" s="237">
        <f>B54+B49</f>
        <v>0</v>
      </c>
      <c r="C59" s="237">
        <f t="shared" ref="C59:S59" si="31">C54+C49</f>
        <v>0</v>
      </c>
      <c r="D59" s="237">
        <f t="shared" si="31"/>
        <v>0</v>
      </c>
      <c r="E59" s="237">
        <f t="shared" si="31"/>
        <v>0</v>
      </c>
      <c r="F59" s="237">
        <f t="shared" si="31"/>
        <v>0</v>
      </c>
      <c r="G59" s="237">
        <f t="shared" si="31"/>
        <v>0</v>
      </c>
      <c r="H59" s="237">
        <f t="shared" si="31"/>
        <v>0</v>
      </c>
      <c r="I59" s="237">
        <f t="shared" si="31"/>
        <v>0</v>
      </c>
      <c r="J59" s="237">
        <f t="shared" si="31"/>
        <v>0</v>
      </c>
      <c r="K59" s="237">
        <f t="shared" si="31"/>
        <v>0</v>
      </c>
      <c r="L59" s="237">
        <f t="shared" si="31"/>
        <v>0</v>
      </c>
      <c r="M59" s="237">
        <f t="shared" si="31"/>
        <v>0</v>
      </c>
      <c r="N59" s="237">
        <f t="shared" si="31"/>
        <v>0</v>
      </c>
      <c r="O59" s="237">
        <f t="shared" si="31"/>
        <v>0</v>
      </c>
      <c r="P59" s="237">
        <f t="shared" si="31"/>
        <v>0</v>
      </c>
      <c r="Q59" s="237">
        <f t="shared" si="31"/>
        <v>0</v>
      </c>
      <c r="R59" s="237">
        <f t="shared" si="31"/>
        <v>0</v>
      </c>
      <c r="S59" s="237">
        <f t="shared" si="31"/>
        <v>0</v>
      </c>
      <c r="T59" s="59"/>
      <c r="U59" s="20"/>
    </row>
    <row r="60" spans="1:21">
      <c r="B60" s="12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20"/>
    </row>
    <row r="61" spans="1:21">
      <c r="B61" s="237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20"/>
    </row>
    <row r="62" spans="1:21">
      <c r="A62" s="56" t="str">
        <f>CONCATENATE("Tranche 3 @ ",R7*100,"%")</f>
        <v>Tranche 3 @ 7.5%</v>
      </c>
      <c r="B62" s="15"/>
      <c r="C62" s="57"/>
    </row>
    <row r="63" spans="1:21">
      <c r="A63" s="283" t="str">
        <f>A31</f>
        <v>Period 1</v>
      </c>
      <c r="B63" s="237"/>
    </row>
    <row r="64" spans="1:21">
      <c r="A64" s="59" t="s">
        <v>1035</v>
      </c>
      <c r="B64" s="129">
        <v>0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20"/>
    </row>
    <row r="65" spans="1:26">
      <c r="A65" s="59" t="s">
        <v>1036</v>
      </c>
      <c r="B65" s="237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235"/>
      <c r="U65" s="20"/>
    </row>
    <row r="66" spans="1:26">
      <c r="A66" s="59" t="s">
        <v>1037</v>
      </c>
      <c r="B66" s="237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235"/>
      <c r="U66" s="20"/>
    </row>
    <row r="67" spans="1:26">
      <c r="A67" s="59" t="s">
        <v>1038</v>
      </c>
      <c r="B67" s="237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235"/>
      <c r="N67" s="235"/>
      <c r="O67" s="235"/>
      <c r="P67" s="235"/>
      <c r="Q67" s="235"/>
      <c r="R67" s="235"/>
      <c r="S67" s="235"/>
      <c r="T67" s="235"/>
      <c r="U67" s="20"/>
    </row>
    <row r="68" spans="1:26">
      <c r="A68" s="283" t="str">
        <f>A36</f>
        <v>Period 2</v>
      </c>
      <c r="B68" s="237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20"/>
    </row>
    <row r="69" spans="1:26">
      <c r="A69" s="59" t="s">
        <v>1035</v>
      </c>
      <c r="B69" s="237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20"/>
    </row>
    <row r="70" spans="1:26">
      <c r="A70" s="59" t="s">
        <v>1036</v>
      </c>
      <c r="B70" s="237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20"/>
    </row>
    <row r="71" spans="1:26">
      <c r="A71" s="59" t="s">
        <v>1037</v>
      </c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59"/>
      <c r="U71" s="20"/>
    </row>
    <row r="72" spans="1:26">
      <c r="A72" s="59" t="s">
        <v>1038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20"/>
    </row>
    <row r="73" spans="1:26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20"/>
    </row>
    <row r="74" spans="1:26">
      <c r="A74" s="61" t="s">
        <v>1193</v>
      </c>
      <c r="B74" s="59">
        <f>B71+B66</f>
        <v>0</v>
      </c>
      <c r="C74" s="59">
        <f t="shared" ref="C74:S74" si="32">C71+C66</f>
        <v>0</v>
      </c>
      <c r="D74" s="59">
        <f t="shared" si="32"/>
        <v>0</v>
      </c>
      <c r="E74" s="59">
        <f t="shared" si="32"/>
        <v>0</v>
      </c>
      <c r="F74" s="59">
        <f t="shared" si="32"/>
        <v>0</v>
      </c>
      <c r="G74" s="59">
        <f t="shared" si="32"/>
        <v>0</v>
      </c>
      <c r="H74" s="59">
        <f t="shared" si="32"/>
        <v>0</v>
      </c>
      <c r="I74" s="59">
        <f t="shared" si="32"/>
        <v>0</v>
      </c>
      <c r="J74" s="59">
        <f t="shared" si="32"/>
        <v>0</v>
      </c>
      <c r="K74" s="59">
        <f t="shared" si="32"/>
        <v>0</v>
      </c>
      <c r="L74" s="59">
        <f t="shared" si="32"/>
        <v>0</v>
      </c>
      <c r="M74" s="59">
        <f t="shared" si="32"/>
        <v>0</v>
      </c>
      <c r="N74" s="59">
        <f t="shared" si="32"/>
        <v>0</v>
      </c>
      <c r="O74" s="59">
        <f t="shared" si="32"/>
        <v>0</v>
      </c>
      <c r="P74" s="59">
        <f t="shared" si="32"/>
        <v>0</v>
      </c>
      <c r="Q74" s="59">
        <f t="shared" si="32"/>
        <v>0</v>
      </c>
      <c r="R74" s="59">
        <f t="shared" si="32"/>
        <v>0</v>
      </c>
      <c r="S74" s="59">
        <f t="shared" si="32"/>
        <v>0</v>
      </c>
      <c r="T74" s="59"/>
      <c r="U74" s="20"/>
    </row>
    <row r="75" spans="1:26">
      <c r="A75" s="61" t="s">
        <v>1194</v>
      </c>
      <c r="B75" s="237">
        <f>B70+B65</f>
        <v>0</v>
      </c>
      <c r="C75" s="237">
        <f t="shared" ref="C75:S75" si="33">C70+C65</f>
        <v>0</v>
      </c>
      <c r="D75" s="237">
        <f t="shared" si="33"/>
        <v>0</v>
      </c>
      <c r="E75" s="237">
        <f t="shared" si="33"/>
        <v>0</v>
      </c>
      <c r="F75" s="237">
        <f t="shared" si="33"/>
        <v>0</v>
      </c>
      <c r="G75" s="237">
        <f t="shared" si="33"/>
        <v>0</v>
      </c>
      <c r="H75" s="237">
        <f t="shared" si="33"/>
        <v>0</v>
      </c>
      <c r="I75" s="237">
        <f t="shared" si="33"/>
        <v>0</v>
      </c>
      <c r="J75" s="237">
        <f t="shared" si="33"/>
        <v>0</v>
      </c>
      <c r="K75" s="237">
        <f t="shared" si="33"/>
        <v>0</v>
      </c>
      <c r="L75" s="237">
        <f t="shared" si="33"/>
        <v>0</v>
      </c>
      <c r="M75" s="237">
        <f t="shared" si="33"/>
        <v>0</v>
      </c>
      <c r="N75" s="237">
        <f t="shared" si="33"/>
        <v>0</v>
      </c>
      <c r="O75" s="237">
        <f t="shared" si="33"/>
        <v>0</v>
      </c>
      <c r="P75" s="237">
        <f t="shared" si="33"/>
        <v>0</v>
      </c>
      <c r="Q75" s="237">
        <f t="shared" si="33"/>
        <v>0</v>
      </c>
      <c r="R75" s="237">
        <f t="shared" si="33"/>
        <v>0</v>
      </c>
      <c r="S75" s="237">
        <f t="shared" si="33"/>
        <v>0</v>
      </c>
      <c r="T75" s="59"/>
      <c r="U75" s="20"/>
    </row>
    <row r="78" spans="1:26">
      <c r="A78" s="73" t="s">
        <v>1016</v>
      </c>
      <c r="B78" s="74">
        <f>IS!B66</f>
        <v>0</v>
      </c>
      <c r="C78" s="74">
        <f ca="1">IS!C66</f>
        <v>9045.6077646456088</v>
      </c>
      <c r="D78" s="74">
        <f ca="1">IS!D66</f>
        <v>15475.282424412293</v>
      </c>
      <c r="E78" s="74">
        <f ca="1">IS!E66</f>
        <v>15445.261579780281</v>
      </c>
      <c r="F78" s="74">
        <f ca="1">IS!F66</f>
        <v>15413.587646116757</v>
      </c>
      <c r="G78" s="74">
        <f ca="1">IS!G66</f>
        <v>15380.267990831486</v>
      </c>
      <c r="H78" s="74">
        <f ca="1">IS!H66</f>
        <v>15345.504926369997</v>
      </c>
      <c r="I78" s="74">
        <f ca="1">IS!I66</f>
        <v>15309.271802450894</v>
      </c>
      <c r="J78" s="74">
        <f ca="1">IS!J66</f>
        <v>15271.714837750125</v>
      </c>
      <c r="K78" s="74">
        <f ca="1">IS!K66</f>
        <v>15232.704639052812</v>
      </c>
      <c r="L78" s="74">
        <f ca="1">IS!L66</f>
        <v>15192.199082263758</v>
      </c>
      <c r="M78" s="74">
        <f ca="1">IS!M66</f>
        <v>15146.91158069065</v>
      </c>
      <c r="N78" s="74">
        <f ca="1">IS!N66</f>
        <v>15099.849012430426</v>
      </c>
      <c r="O78" s="74">
        <f ca="1">IS!O66</f>
        <v>15050.523299033706</v>
      </c>
      <c r="P78" s="74">
        <f ca="1">IS!P66</f>
        <v>14998.755855235695</v>
      </c>
      <c r="Q78" s="74">
        <f ca="1">IS!Q66</f>
        <v>14947.482903990138</v>
      </c>
      <c r="R78" s="74">
        <f ca="1">IS!R66</f>
        <v>14891.703752489528</v>
      </c>
      <c r="S78" s="74">
        <f ca="1">IS!S66</f>
        <v>14831.452360610943</v>
      </c>
      <c r="T78" s="74"/>
      <c r="U78" s="1"/>
      <c r="V78" s="1"/>
      <c r="W78" s="1"/>
      <c r="X78" s="1"/>
      <c r="Y78" s="1"/>
      <c r="Z78" s="1"/>
    </row>
    <row r="79" spans="1:26">
      <c r="A79" s="54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54"/>
      <c r="U79" s="54"/>
      <c r="V79" s="54"/>
      <c r="W79" s="54"/>
      <c r="X79" s="54"/>
      <c r="Y79" s="54"/>
      <c r="Z79" s="54"/>
    </row>
    <row r="80" spans="1:26">
      <c r="A80" s="60" t="s">
        <v>1195</v>
      </c>
      <c r="B80" s="60">
        <f>B33+B34+B38+B39</f>
        <v>0</v>
      </c>
      <c r="C80" s="60">
        <f>C33+C34+C38+C39</f>
        <v>0</v>
      </c>
      <c r="D80" s="60">
        <f t="shared" ref="D80:S80" ca="1" si="34">D33+D34+D38+D39</f>
        <v>0</v>
      </c>
      <c r="E80" s="60">
        <f t="shared" ca="1" si="34"/>
        <v>0</v>
      </c>
      <c r="F80" s="60">
        <f t="shared" ca="1" si="34"/>
        <v>0</v>
      </c>
      <c r="G80" s="60">
        <f t="shared" ca="1" si="34"/>
        <v>0</v>
      </c>
      <c r="H80" s="60">
        <f t="shared" ca="1" si="34"/>
        <v>0</v>
      </c>
      <c r="I80" s="60">
        <f t="shared" ca="1" si="34"/>
        <v>0</v>
      </c>
      <c r="J80" s="60">
        <f t="shared" ca="1" si="34"/>
        <v>0</v>
      </c>
      <c r="K80" s="60">
        <f t="shared" ca="1" si="34"/>
        <v>0</v>
      </c>
      <c r="L80" s="60">
        <f t="shared" ca="1" si="34"/>
        <v>0</v>
      </c>
      <c r="M80" s="60">
        <f t="shared" ca="1" si="34"/>
        <v>0</v>
      </c>
      <c r="N80" s="60">
        <f t="shared" ca="1" si="34"/>
        <v>0</v>
      </c>
      <c r="O80" s="60">
        <f t="shared" ca="1" si="34"/>
        <v>0</v>
      </c>
      <c r="P80" s="60">
        <f t="shared" ca="1" si="34"/>
        <v>0</v>
      </c>
      <c r="Q80" s="60">
        <f t="shared" ca="1" si="34"/>
        <v>0</v>
      </c>
      <c r="R80" s="60">
        <f t="shared" ca="1" si="34"/>
        <v>0</v>
      </c>
      <c r="S80" s="60">
        <f t="shared" ca="1" si="34"/>
        <v>0</v>
      </c>
      <c r="T80" s="60"/>
      <c r="U80" s="60"/>
      <c r="V80" s="60"/>
      <c r="W80" s="60"/>
      <c r="X80" s="60"/>
      <c r="Y80" s="60"/>
      <c r="Z80" s="60"/>
    </row>
    <row r="81" spans="1:26">
      <c r="A81" s="60" t="s">
        <v>1196</v>
      </c>
      <c r="B81" s="60">
        <f>B49+B50+B54+B55</f>
        <v>0</v>
      </c>
      <c r="C81" s="60">
        <f>C49+C50+C54+C55</f>
        <v>0</v>
      </c>
      <c r="D81" s="60">
        <f t="shared" ref="D81:S81" si="35">D49+D50+D54+D55</f>
        <v>0</v>
      </c>
      <c r="E81" s="60">
        <f t="shared" si="35"/>
        <v>0</v>
      </c>
      <c r="F81" s="60">
        <f t="shared" si="35"/>
        <v>0</v>
      </c>
      <c r="G81" s="60">
        <f t="shared" si="35"/>
        <v>0</v>
      </c>
      <c r="H81" s="60">
        <f t="shared" si="35"/>
        <v>0</v>
      </c>
      <c r="I81" s="60">
        <f t="shared" si="35"/>
        <v>0</v>
      </c>
      <c r="J81" s="60">
        <f t="shared" si="35"/>
        <v>0</v>
      </c>
      <c r="K81" s="60">
        <f t="shared" si="35"/>
        <v>0</v>
      </c>
      <c r="L81" s="60">
        <f t="shared" si="35"/>
        <v>0</v>
      </c>
      <c r="M81" s="60">
        <f t="shared" si="35"/>
        <v>0</v>
      </c>
      <c r="N81" s="60">
        <f t="shared" si="35"/>
        <v>0</v>
      </c>
      <c r="O81" s="60">
        <f t="shared" si="35"/>
        <v>0</v>
      </c>
      <c r="P81" s="60">
        <f t="shared" si="35"/>
        <v>0</v>
      </c>
      <c r="Q81" s="60">
        <f t="shared" si="35"/>
        <v>0</v>
      </c>
      <c r="R81" s="60">
        <f t="shared" si="35"/>
        <v>0</v>
      </c>
      <c r="S81" s="60">
        <f t="shared" si="35"/>
        <v>0</v>
      </c>
      <c r="T81" s="60"/>
      <c r="U81" s="60"/>
      <c r="V81" s="60"/>
      <c r="W81" s="60"/>
      <c r="X81" s="60"/>
      <c r="Y81" s="60"/>
      <c r="Z81" s="60"/>
    </row>
    <row r="82" spans="1:26">
      <c r="A82" s="60" t="s">
        <v>1197</v>
      </c>
      <c r="B82" s="60">
        <f>B65+B66+B70+B71</f>
        <v>0</v>
      </c>
      <c r="C82" s="60">
        <f t="shared" ref="C82:S82" si="36">C65+C66+C70+C71</f>
        <v>0</v>
      </c>
      <c r="D82" s="60">
        <f t="shared" si="36"/>
        <v>0</v>
      </c>
      <c r="E82" s="60">
        <f t="shared" si="36"/>
        <v>0</v>
      </c>
      <c r="F82" s="60">
        <f t="shared" si="36"/>
        <v>0</v>
      </c>
      <c r="G82" s="60">
        <f t="shared" si="36"/>
        <v>0</v>
      </c>
      <c r="H82" s="60">
        <f t="shared" si="36"/>
        <v>0</v>
      </c>
      <c r="I82" s="60">
        <f t="shared" si="36"/>
        <v>0</v>
      </c>
      <c r="J82" s="60">
        <f t="shared" si="36"/>
        <v>0</v>
      </c>
      <c r="K82" s="60">
        <f t="shared" si="36"/>
        <v>0</v>
      </c>
      <c r="L82" s="60">
        <f t="shared" si="36"/>
        <v>0</v>
      </c>
      <c r="M82" s="60">
        <f t="shared" si="36"/>
        <v>0</v>
      </c>
      <c r="N82" s="60">
        <f t="shared" si="36"/>
        <v>0</v>
      </c>
      <c r="O82" s="60">
        <f t="shared" si="36"/>
        <v>0</v>
      </c>
      <c r="P82" s="60">
        <f t="shared" si="36"/>
        <v>0</v>
      </c>
      <c r="Q82" s="60">
        <f t="shared" si="36"/>
        <v>0</v>
      </c>
      <c r="R82" s="60">
        <f t="shared" si="36"/>
        <v>0</v>
      </c>
      <c r="S82" s="60">
        <f t="shared" si="36"/>
        <v>0</v>
      </c>
      <c r="T82" s="60"/>
      <c r="U82" s="60"/>
      <c r="V82" s="60"/>
      <c r="W82" s="60"/>
      <c r="X82" s="60"/>
      <c r="Y82" s="60"/>
      <c r="Z82" s="60"/>
    </row>
    <row r="83" spans="1:26">
      <c r="A83" s="54" t="s">
        <v>1081</v>
      </c>
      <c r="B83" s="288">
        <v>0</v>
      </c>
      <c r="C83" s="288">
        <v>0</v>
      </c>
      <c r="D83" s="289">
        <v>0</v>
      </c>
      <c r="E83" s="289">
        <v>0</v>
      </c>
      <c r="F83" s="289">
        <v>0</v>
      </c>
      <c r="G83" s="289">
        <v>0</v>
      </c>
      <c r="H83" s="289">
        <v>0</v>
      </c>
      <c r="I83" s="289">
        <v>0</v>
      </c>
      <c r="J83" s="289">
        <v>0</v>
      </c>
      <c r="K83" s="289">
        <v>0</v>
      </c>
      <c r="L83" s="289">
        <v>0</v>
      </c>
      <c r="M83" s="289">
        <v>0</v>
      </c>
      <c r="N83" s="289">
        <v>0</v>
      </c>
      <c r="O83" s="289">
        <v>0</v>
      </c>
      <c r="P83" s="289">
        <v>0</v>
      </c>
      <c r="Q83" s="289">
        <v>0</v>
      </c>
      <c r="R83" s="289">
        <v>0</v>
      </c>
      <c r="S83" s="289">
        <v>0</v>
      </c>
      <c r="T83" s="60"/>
      <c r="U83" s="60"/>
      <c r="V83" s="60"/>
      <c r="W83" s="60"/>
      <c r="X83" s="60"/>
      <c r="Y83" s="60"/>
      <c r="Z83" s="60"/>
    </row>
    <row r="84" spans="1:26"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60"/>
      <c r="U84" s="60"/>
      <c r="V84" s="60"/>
      <c r="W84" s="60"/>
      <c r="X84" s="60"/>
      <c r="Y84" s="60"/>
      <c r="Z84" s="60"/>
    </row>
    <row r="85" spans="1:26">
      <c r="A85" s="61" t="s">
        <v>1039</v>
      </c>
      <c r="B85" s="61">
        <f>SUM(B80:B82)-B83</f>
        <v>0</v>
      </c>
      <c r="C85" s="61">
        <f>SUM(C80:C82)-C83</f>
        <v>0</v>
      </c>
      <c r="D85" s="61">
        <f t="shared" ref="D85:S85" ca="1" si="37">SUM(D80:D82)-D83</f>
        <v>0</v>
      </c>
      <c r="E85" s="61">
        <f t="shared" ca="1" si="37"/>
        <v>0</v>
      </c>
      <c r="F85" s="61">
        <f t="shared" ca="1" si="37"/>
        <v>0</v>
      </c>
      <c r="G85" s="61">
        <f t="shared" ca="1" si="37"/>
        <v>0</v>
      </c>
      <c r="H85" s="61">
        <f t="shared" ca="1" si="37"/>
        <v>0</v>
      </c>
      <c r="I85" s="61">
        <f t="shared" ca="1" si="37"/>
        <v>0</v>
      </c>
      <c r="J85" s="61">
        <f t="shared" ca="1" si="37"/>
        <v>0</v>
      </c>
      <c r="K85" s="61">
        <f t="shared" ca="1" si="37"/>
        <v>0</v>
      </c>
      <c r="L85" s="61">
        <f t="shared" ca="1" si="37"/>
        <v>0</v>
      </c>
      <c r="M85" s="61">
        <f t="shared" ca="1" si="37"/>
        <v>0</v>
      </c>
      <c r="N85" s="61">
        <f t="shared" ca="1" si="37"/>
        <v>0</v>
      </c>
      <c r="O85" s="61">
        <f t="shared" ca="1" si="37"/>
        <v>0</v>
      </c>
      <c r="P85" s="61">
        <f t="shared" ca="1" si="37"/>
        <v>0</v>
      </c>
      <c r="Q85" s="61">
        <f t="shared" ca="1" si="37"/>
        <v>0</v>
      </c>
      <c r="R85" s="61">
        <f t="shared" ca="1" si="37"/>
        <v>0</v>
      </c>
      <c r="S85" s="61">
        <f t="shared" ca="1" si="37"/>
        <v>0</v>
      </c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 t="s">
        <v>1198</v>
      </c>
      <c r="B87" s="61">
        <f t="shared" ref="B87:S87" si="38">B42+B58+B74</f>
        <v>0</v>
      </c>
      <c r="C87" s="61">
        <f t="shared" si="38"/>
        <v>0</v>
      </c>
      <c r="D87" s="61">
        <f t="shared" ca="1" si="38"/>
        <v>0</v>
      </c>
      <c r="E87" s="61">
        <f t="shared" ca="1" si="38"/>
        <v>0</v>
      </c>
      <c r="F87" s="61">
        <f t="shared" ca="1" si="38"/>
        <v>0</v>
      </c>
      <c r="G87" s="61">
        <f t="shared" ca="1" si="38"/>
        <v>0</v>
      </c>
      <c r="H87" s="61">
        <f t="shared" ca="1" si="38"/>
        <v>0</v>
      </c>
      <c r="I87" s="61">
        <f t="shared" ca="1" si="38"/>
        <v>0</v>
      </c>
      <c r="J87" s="61">
        <f t="shared" ca="1" si="38"/>
        <v>0</v>
      </c>
      <c r="K87" s="61">
        <f t="shared" ca="1" si="38"/>
        <v>0</v>
      </c>
      <c r="L87" s="61">
        <f t="shared" ca="1" si="38"/>
        <v>0</v>
      </c>
      <c r="M87" s="61">
        <f t="shared" ca="1" si="38"/>
        <v>0</v>
      </c>
      <c r="N87" s="61">
        <f t="shared" ca="1" si="38"/>
        <v>0</v>
      </c>
      <c r="O87" s="61">
        <f t="shared" ca="1" si="38"/>
        <v>0</v>
      </c>
      <c r="P87" s="61">
        <f t="shared" ca="1" si="38"/>
        <v>0</v>
      </c>
      <c r="Q87" s="61">
        <f t="shared" ca="1" si="38"/>
        <v>0</v>
      </c>
      <c r="R87" s="61">
        <f t="shared" ca="1" si="38"/>
        <v>0</v>
      </c>
      <c r="S87" s="61">
        <f t="shared" ca="1" si="38"/>
        <v>0</v>
      </c>
      <c r="T87" s="61"/>
      <c r="U87" s="61"/>
      <c r="V87" s="61"/>
      <c r="W87" s="61"/>
      <c r="X87" s="61"/>
      <c r="Y87" s="61"/>
      <c r="Z87" s="61"/>
    </row>
    <row r="88" spans="1:26">
      <c r="A88" s="61" t="s">
        <v>1077</v>
      </c>
      <c r="B88" s="61">
        <f t="shared" ref="B88:S88" si="39">B75+B59+B43</f>
        <v>0</v>
      </c>
      <c r="C88" s="61">
        <f t="shared" si="39"/>
        <v>0</v>
      </c>
      <c r="D88" s="61">
        <f t="shared" ca="1" si="39"/>
        <v>0</v>
      </c>
      <c r="E88" s="61">
        <f t="shared" ca="1" si="39"/>
        <v>0</v>
      </c>
      <c r="F88" s="61">
        <f t="shared" ca="1" si="39"/>
        <v>0</v>
      </c>
      <c r="G88" s="61">
        <f t="shared" ca="1" si="39"/>
        <v>0</v>
      </c>
      <c r="H88" s="61">
        <f t="shared" ca="1" si="39"/>
        <v>0</v>
      </c>
      <c r="I88" s="61">
        <f t="shared" ca="1" si="39"/>
        <v>0</v>
      </c>
      <c r="J88" s="61">
        <f t="shared" ca="1" si="39"/>
        <v>0</v>
      </c>
      <c r="K88" s="61">
        <f t="shared" ca="1" si="39"/>
        <v>0</v>
      </c>
      <c r="L88" s="61">
        <f t="shared" ca="1" si="39"/>
        <v>0</v>
      </c>
      <c r="M88" s="61">
        <f t="shared" ca="1" si="39"/>
        <v>0</v>
      </c>
      <c r="N88" s="61">
        <f t="shared" ca="1" si="39"/>
        <v>0</v>
      </c>
      <c r="O88" s="61">
        <f t="shared" ca="1" si="39"/>
        <v>0</v>
      </c>
      <c r="P88" s="61">
        <f t="shared" ca="1" si="39"/>
        <v>0</v>
      </c>
      <c r="Q88" s="61">
        <f t="shared" ca="1" si="39"/>
        <v>0</v>
      </c>
      <c r="R88" s="61">
        <f t="shared" ca="1" si="39"/>
        <v>0</v>
      </c>
      <c r="S88" s="61">
        <f t="shared" si="39"/>
        <v>0</v>
      </c>
      <c r="T88" s="61"/>
      <c r="U88" s="61"/>
      <c r="V88" s="61"/>
      <c r="W88" s="61"/>
      <c r="X88" s="61"/>
      <c r="Y88" s="61"/>
      <c r="Z88" s="61"/>
    </row>
    <row r="89" spans="1:26">
      <c r="A89" s="60"/>
      <c r="B89" s="60"/>
      <c r="C89" s="60"/>
      <c r="D89" s="60"/>
      <c r="E89" s="60"/>
      <c r="F89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277" t="s">
        <v>1040</v>
      </c>
      <c r="B90" s="278" t="str">
        <f>IF(B85&gt;0,B78/B85," ")</f>
        <v xml:space="preserve"> </v>
      </c>
      <c r="C90" s="278" t="str">
        <f>IF(C85&gt;0,C78/C85," ")</f>
        <v xml:space="preserve"> </v>
      </c>
      <c r="D90" s="278" t="str">
        <f t="shared" ref="D90:S90" ca="1" si="40">IF(D85&gt;0,D78/D85," ")</f>
        <v xml:space="preserve"> </v>
      </c>
      <c r="E90" s="278" t="str">
        <f t="shared" ca="1" si="40"/>
        <v xml:space="preserve"> </v>
      </c>
      <c r="F90" s="278" t="str">
        <f t="shared" ca="1" si="40"/>
        <v xml:space="preserve"> </v>
      </c>
      <c r="G90" s="278" t="str">
        <f t="shared" ca="1" si="40"/>
        <v xml:space="preserve"> </v>
      </c>
      <c r="H90" s="278" t="str">
        <f t="shared" ca="1" si="40"/>
        <v xml:space="preserve"> </v>
      </c>
      <c r="I90" s="278" t="str">
        <f t="shared" ca="1" si="40"/>
        <v xml:space="preserve"> </v>
      </c>
      <c r="J90" s="278" t="str">
        <f t="shared" ca="1" si="40"/>
        <v xml:space="preserve"> </v>
      </c>
      <c r="K90" s="278" t="str">
        <f t="shared" ca="1" si="40"/>
        <v xml:space="preserve"> </v>
      </c>
      <c r="L90" s="278" t="str">
        <f t="shared" ca="1" si="40"/>
        <v xml:space="preserve"> </v>
      </c>
      <c r="M90" s="278" t="str">
        <f t="shared" ca="1" si="40"/>
        <v xml:space="preserve"> </v>
      </c>
      <c r="N90" s="278" t="str">
        <f t="shared" ca="1" si="40"/>
        <v xml:space="preserve"> </v>
      </c>
      <c r="O90" s="278" t="str">
        <f t="shared" ca="1" si="40"/>
        <v xml:space="preserve"> </v>
      </c>
      <c r="P90" s="278" t="str">
        <f t="shared" ca="1" si="40"/>
        <v xml:space="preserve"> </v>
      </c>
      <c r="Q90" s="278" t="str">
        <f t="shared" ca="1" si="40"/>
        <v xml:space="preserve"> </v>
      </c>
      <c r="R90" s="278" t="str">
        <f t="shared" ca="1" si="40"/>
        <v xml:space="preserve"> </v>
      </c>
      <c r="S90" s="278" t="str">
        <f t="shared" ca="1" si="40"/>
        <v xml:space="preserve"> </v>
      </c>
      <c r="T90" s="62"/>
      <c r="U90" s="62"/>
      <c r="V90" s="62"/>
      <c r="W90" s="62"/>
      <c r="X90" s="62"/>
      <c r="Y90" s="62"/>
      <c r="Z90" s="62"/>
    </row>
    <row r="91" spans="1:26">
      <c r="A91" s="63"/>
      <c r="B91" s="276"/>
      <c r="C91" s="276"/>
      <c r="D91" s="276"/>
      <c r="E91" s="276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62"/>
      <c r="U91" s="62"/>
      <c r="V91" s="62"/>
      <c r="W91" s="62"/>
      <c r="X91" s="62"/>
      <c r="Y91" s="62"/>
      <c r="Z91" s="62"/>
    </row>
    <row r="93" spans="1:26">
      <c r="A93" s="64" t="s">
        <v>1090</v>
      </c>
      <c r="B93" s="65" t="e">
        <f ca="1">AVERAGE(C90:Q90)</f>
        <v>#DIV/0!</v>
      </c>
      <c r="C93"/>
      <c r="F93" s="62"/>
      <c r="G93"/>
      <c r="H93"/>
      <c r="I93"/>
      <c r="J93"/>
      <c r="K93" s="62"/>
      <c r="L93" s="62"/>
      <c r="M93" s="66"/>
      <c r="N93" s="62"/>
      <c r="O93" s="62"/>
      <c r="P93" s="67"/>
      <c r="Q93" s="67"/>
      <c r="R93" s="67"/>
      <c r="S93" s="62"/>
      <c r="T93" s="62"/>
      <c r="U93" s="62"/>
      <c r="V93" s="62"/>
      <c r="W93" s="62"/>
      <c r="X93" s="62"/>
      <c r="Y93" s="62"/>
      <c r="Z93" s="62"/>
    </row>
    <row r="94" spans="1:26">
      <c r="A94" s="70" t="s">
        <v>1091</v>
      </c>
      <c r="B94" s="88">
        <f ca="1">MIN(C90:Q90)</f>
        <v>0</v>
      </c>
      <c r="C94"/>
      <c r="F94" s="63"/>
      <c r="G94"/>
      <c r="H94"/>
      <c r="I94"/>
      <c r="J94"/>
      <c r="K94" s="63"/>
      <c r="L94" s="63"/>
      <c r="M94" s="63"/>
      <c r="N94" s="63"/>
      <c r="O94" s="63"/>
      <c r="P94" s="67"/>
      <c r="Q94" s="67"/>
      <c r="R94" s="67"/>
      <c r="S94" s="62"/>
      <c r="T94" s="62"/>
      <c r="U94" s="62"/>
      <c r="V94" s="62"/>
      <c r="W94" s="62"/>
      <c r="X94" s="62"/>
      <c r="Y94" s="62"/>
      <c r="Z94" s="62"/>
    </row>
    <row r="96" spans="1:26">
      <c r="A96"/>
      <c r="B96"/>
      <c r="C96"/>
      <c r="D96"/>
      <c r="E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 s="622" t="s">
        <v>951</v>
      </c>
      <c r="B98" s="696">
        <v>1.4</v>
      </c>
      <c r="C98"/>
      <c r="D98"/>
      <c r="E98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 s="697">
        <v>37072</v>
      </c>
      <c r="C100" s="697">
        <f>C20</f>
        <v>37256</v>
      </c>
      <c r="D100" s="697">
        <f t="shared" ref="D100:R100" si="41">D20</f>
        <v>37621</v>
      </c>
      <c r="E100" s="697">
        <f t="shared" si="41"/>
        <v>37986</v>
      </c>
      <c r="F100" s="697">
        <f t="shared" si="41"/>
        <v>38352</v>
      </c>
      <c r="G100" s="697">
        <f t="shared" si="41"/>
        <v>38717</v>
      </c>
      <c r="H100" s="697">
        <f t="shared" si="41"/>
        <v>39082</v>
      </c>
      <c r="I100" s="697">
        <f t="shared" si="41"/>
        <v>39447</v>
      </c>
      <c r="J100" s="697">
        <f t="shared" si="41"/>
        <v>39813</v>
      </c>
      <c r="K100" s="697">
        <f t="shared" si="41"/>
        <v>40178</v>
      </c>
      <c r="L100" s="697">
        <f t="shared" si="41"/>
        <v>40543</v>
      </c>
      <c r="M100" s="697">
        <f t="shared" si="41"/>
        <v>40908</v>
      </c>
      <c r="N100" s="697">
        <f t="shared" si="41"/>
        <v>41274</v>
      </c>
      <c r="O100" s="697">
        <f t="shared" si="41"/>
        <v>41639</v>
      </c>
      <c r="P100" s="697">
        <f t="shared" si="41"/>
        <v>42004</v>
      </c>
      <c r="Q100" s="697">
        <f t="shared" si="41"/>
        <v>42369</v>
      </c>
      <c r="R100" s="697">
        <f t="shared" si="41"/>
        <v>42735</v>
      </c>
      <c r="S100"/>
    </row>
    <row r="101" spans="1:19">
      <c r="A101" t="s">
        <v>1484</v>
      </c>
      <c r="B101">
        <v>0</v>
      </c>
      <c r="C101" s="294">
        <f>IF(Assum!$Q$82=1,C78/$B$98,0)</f>
        <v>0</v>
      </c>
      <c r="D101" s="294">
        <f>IF(Assum!$Q$82=1,D78/$B$98,0)</f>
        <v>0</v>
      </c>
      <c r="E101" s="294">
        <f>IF(Assum!$Q$82=1,E78/$B$98,0)</f>
        <v>0</v>
      </c>
      <c r="F101" s="294">
        <f>IF(Assum!$Q$82=1,F78/$B$98,0)</f>
        <v>0</v>
      </c>
      <c r="G101" s="294">
        <f>IF(Assum!$Q$82=1,G78/$B$98,0)</f>
        <v>0</v>
      </c>
      <c r="H101" s="294">
        <f>IF(Assum!$Q$82=1,H78/$B$98,0)</f>
        <v>0</v>
      </c>
      <c r="I101" s="294">
        <f>IF(Assum!$Q$82=1,I78/$B$98,0)</f>
        <v>0</v>
      </c>
      <c r="J101" s="294">
        <f>IF(Assum!$Q$82=1,J78/$B$98,0)</f>
        <v>0</v>
      </c>
      <c r="K101" s="294">
        <f>IF(Assum!$Q$82=1,K78/$B$98,0)</f>
        <v>0</v>
      </c>
      <c r="L101" s="294">
        <f>IF(Assum!$Q$82=1,L78/$B$98,0)</f>
        <v>0</v>
      </c>
      <c r="M101" s="294">
        <f>IF(Assum!$Q$82=1,M78/$B$98,0)</f>
        <v>0</v>
      </c>
      <c r="N101" s="294">
        <f>IF(Assum!$Q$82=1,N78/$B$98,0)</f>
        <v>0</v>
      </c>
      <c r="O101" s="294">
        <f>IF(Assum!$Q$82=1,O78/$B$98,0)</f>
        <v>0</v>
      </c>
      <c r="P101" s="294">
        <f>IF(Assum!$Q$82=1,P78/$B$98,0)</f>
        <v>0</v>
      </c>
      <c r="Q101" s="294">
        <f>IF(Assum!$Q$82=1,Q78/$B$98,0)</f>
        <v>0</v>
      </c>
      <c r="R101" s="294">
        <f>IF(Assum!$Q$82=1,R78/$B$98,0)</f>
        <v>0</v>
      </c>
    </row>
    <row r="102" spans="1:19">
      <c r="A102" t="s">
        <v>1458</v>
      </c>
      <c r="B102" s="294">
        <f>XNPV(Assum!B118,Debt!B101:R101,Debt!B100:R100)</f>
        <v>0</v>
      </c>
      <c r="C102"/>
      <c r="D102"/>
      <c r="E102"/>
    </row>
    <row r="103" spans="1:19">
      <c r="A103"/>
      <c r="B103"/>
      <c r="C103"/>
      <c r="D103"/>
      <c r="E103"/>
    </row>
    <row r="104" spans="1:19">
      <c r="A104"/>
      <c r="B104"/>
      <c r="C104"/>
      <c r="D104"/>
      <c r="E104"/>
    </row>
    <row r="105" spans="1:19">
      <c r="A105"/>
      <c r="B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9"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9"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9" spans="1:19">
      <c r="C109" s="294"/>
    </row>
    <row r="110" spans="1:19"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</row>
    <row r="111" spans="1:19"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</row>
  </sheetData>
  <pageMargins left="0.45" right="0.45" top="0.5" bottom="0.5" header="0.25" footer="0.25"/>
  <pageSetup scale="48" fitToWidth="2" orientation="landscape" r:id="rId1"/>
  <headerFooter alignWithMargins="0">
    <oddFooter xml:space="preserve">&amp;L&amp;T, &amp;D&amp;C&amp;F&amp;R&amp;P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AI45"/>
  <sheetViews>
    <sheetView showGridLines="0" topLeftCell="A12" zoomScale="75" zoomScaleNormal="75" workbookViewId="0">
      <selection activeCell="A52" sqref="A52"/>
    </sheetView>
  </sheetViews>
  <sheetFormatPr defaultRowHeight="12.75"/>
  <cols>
    <col min="1" max="1" width="55.7109375" style="14" customWidth="1"/>
    <col min="2" max="2" width="9.7109375" style="14" customWidth="1"/>
    <col min="3" max="3" width="9" style="27" customWidth="1"/>
    <col min="4" max="4" width="14.85546875" style="14" customWidth="1"/>
    <col min="5" max="5" width="14.140625" style="14" customWidth="1"/>
    <col min="6" max="6" width="11.140625" style="14" customWidth="1"/>
    <col min="7" max="9" width="11.5703125" style="14" customWidth="1"/>
    <col min="10" max="10" width="11.28515625" style="14" customWidth="1"/>
    <col min="11" max="11" width="11.5703125" style="14" customWidth="1"/>
    <col min="12" max="12" width="11.28515625" style="14" customWidth="1"/>
    <col min="13" max="14" width="11.5703125" style="14" customWidth="1"/>
    <col min="15" max="15" width="11.140625" style="14" customWidth="1"/>
    <col min="16" max="16" width="10.5703125" style="14" customWidth="1"/>
    <col min="17" max="19" width="11.140625" style="14" customWidth="1"/>
    <col min="20" max="20" width="10.85546875" style="14" customWidth="1"/>
    <col min="21" max="21" width="11.140625" style="14" customWidth="1"/>
    <col min="22" max="22" width="10.85546875" style="14" customWidth="1"/>
    <col min="23" max="24" width="11.140625" style="14" customWidth="1"/>
    <col min="25" max="34" width="11.5703125" style="14" customWidth="1"/>
    <col min="35" max="16384" width="9.140625" style="14"/>
  </cols>
  <sheetData>
    <row r="2" spans="1:34" ht="21" customHeight="1">
      <c r="A2" s="126" t="str">
        <f>Assum!A2</f>
        <v xml:space="preserve">PROJECT NAME: PLANO </v>
      </c>
    </row>
    <row r="4" spans="1:34" ht="18.75">
      <c r="A4" s="90" t="s">
        <v>1115</v>
      </c>
    </row>
    <row r="5" spans="1:34">
      <c r="Z5" s="240"/>
    </row>
    <row r="6" spans="1:34">
      <c r="D6" s="321">
        <f>'Power Price'!C9</f>
        <v>0.58333333333333337</v>
      </c>
      <c r="E6" s="321">
        <f>'Power Price'!D9</f>
        <v>1.5833333333333335</v>
      </c>
      <c r="F6" s="321">
        <f>'Power Price'!E9</f>
        <v>2.5833333333333335</v>
      </c>
      <c r="G6" s="321">
        <f>'Power Price'!F9</f>
        <v>3.5833333333333335</v>
      </c>
      <c r="H6" s="321">
        <f>'Power Price'!G9</f>
        <v>4.5833333333333339</v>
      </c>
      <c r="I6" s="321">
        <f>'Power Price'!H9</f>
        <v>5.5833333333333339</v>
      </c>
      <c r="J6" s="321">
        <f>'Power Price'!I9</f>
        <v>6.5833333333333339</v>
      </c>
      <c r="K6" s="321">
        <f>'Power Price'!J9</f>
        <v>7.5833333333333339</v>
      </c>
      <c r="L6" s="321">
        <f>'Power Price'!K9</f>
        <v>8.5833333333333339</v>
      </c>
      <c r="M6" s="321">
        <f>'Power Price'!L9</f>
        <v>9.5833333333333339</v>
      </c>
      <c r="N6" s="321">
        <f>'Power Price'!M9</f>
        <v>10.583333333333334</v>
      </c>
      <c r="O6" s="321">
        <f>'Power Price'!N9</f>
        <v>11.583333333333334</v>
      </c>
      <c r="P6" s="321">
        <f>'Power Price'!O9</f>
        <v>12.583333333333334</v>
      </c>
      <c r="Q6" s="321">
        <f>'Power Price'!P9</f>
        <v>13.583333333333334</v>
      </c>
      <c r="R6" s="321">
        <f>'Power Price'!Q9</f>
        <v>14.583333333333334</v>
      </c>
      <c r="S6" s="321">
        <f>'Power Price'!R9</f>
        <v>15.583333333333334</v>
      </c>
      <c r="T6" s="321">
        <f>'Power Price'!S9</f>
        <v>16.583333333333336</v>
      </c>
      <c r="U6" s="321">
        <f>'Power Price'!T9</f>
        <v>17.583333333333336</v>
      </c>
      <c r="V6" s="321">
        <f>'Power Price'!U9</f>
        <v>18.583333333333336</v>
      </c>
      <c r="W6" s="321">
        <f>'Power Price'!V9</f>
        <v>19.583333333333336</v>
      </c>
      <c r="X6" s="321">
        <f>'Power Price'!W9</f>
        <v>20.583333333333336</v>
      </c>
      <c r="Y6" s="321">
        <f>'Power Price'!X9</f>
        <v>21.583333333333336</v>
      </c>
      <c r="Z6" s="321">
        <f>'Power Price'!Y9</f>
        <v>22.583333333333336</v>
      </c>
      <c r="AA6" s="321">
        <f>'Power Price'!Z9</f>
        <v>23.583333333333336</v>
      </c>
      <c r="AB6" s="321">
        <f>'Power Price'!AA9</f>
        <v>24.583333333333336</v>
      </c>
      <c r="AC6" s="321">
        <f>'Power Price'!AB9</f>
        <v>25.583333333333336</v>
      </c>
      <c r="AD6" s="321">
        <f>'Power Price'!AC9</f>
        <v>26.583333333333336</v>
      </c>
      <c r="AE6" s="321">
        <f>'Power Price'!AD9</f>
        <v>27.583333333333336</v>
      </c>
      <c r="AF6" s="321">
        <f>'Power Price'!AE9</f>
        <v>28.583333333333336</v>
      </c>
      <c r="AG6" s="321">
        <f>'Power Price'!AF9</f>
        <v>29.583333333333336</v>
      </c>
      <c r="AH6" s="321">
        <f>'Power Price'!AG9</f>
        <v>30.583333333333336</v>
      </c>
    </row>
    <row r="7" spans="1:34" s="28" customFormat="1" ht="13.5" thickBot="1">
      <c r="A7" s="151" t="s">
        <v>1011</v>
      </c>
      <c r="B7" s="200"/>
      <c r="C7" s="200"/>
      <c r="D7" s="7">
        <f>'Power Price'!C10</f>
        <v>2001</v>
      </c>
      <c r="E7" s="7">
        <f>'Power Price'!D10</f>
        <v>2002</v>
      </c>
      <c r="F7" s="7">
        <f>'Power Price'!E10</f>
        <v>2003</v>
      </c>
      <c r="G7" s="7">
        <f>'Power Price'!F10</f>
        <v>2004</v>
      </c>
      <c r="H7" s="7">
        <f>'Power Price'!G10</f>
        <v>2005</v>
      </c>
      <c r="I7" s="7">
        <f>'Power Price'!H10</f>
        <v>2006</v>
      </c>
      <c r="J7" s="7">
        <f>'Power Price'!I10</f>
        <v>2007</v>
      </c>
      <c r="K7" s="7">
        <f>'Power Price'!J10</f>
        <v>2008</v>
      </c>
      <c r="L7" s="7">
        <f>'Power Price'!K10</f>
        <v>2009</v>
      </c>
      <c r="M7" s="7">
        <f>'Power Price'!L10</f>
        <v>2010</v>
      </c>
      <c r="N7" s="7">
        <f>'Power Price'!M10</f>
        <v>2011</v>
      </c>
      <c r="O7" s="7">
        <f>'Power Price'!N10</f>
        <v>2012</v>
      </c>
      <c r="P7" s="7">
        <f>'Power Price'!O10</f>
        <v>2013</v>
      </c>
      <c r="Q7" s="7">
        <f>'Power Price'!P10</f>
        <v>2014</v>
      </c>
      <c r="R7" s="7">
        <f>'Power Price'!Q10</f>
        <v>2015</v>
      </c>
      <c r="S7" s="7">
        <f>'Power Price'!R10</f>
        <v>2016</v>
      </c>
      <c r="T7" s="7">
        <f>'Power Price'!S10</f>
        <v>2017</v>
      </c>
      <c r="U7" s="7">
        <f>'Power Price'!T10</f>
        <v>2018</v>
      </c>
      <c r="V7" s="7">
        <f>'Power Price'!U10</f>
        <v>2019</v>
      </c>
      <c r="W7" s="7">
        <f>'Power Price'!V10</f>
        <v>2020</v>
      </c>
      <c r="X7" s="7">
        <f>'Power Price'!W10</f>
        <v>2021</v>
      </c>
      <c r="Y7" s="7">
        <f>'Power Price'!X10</f>
        <v>2022</v>
      </c>
      <c r="Z7" s="7">
        <f>'Power Price'!Y10</f>
        <v>2023</v>
      </c>
      <c r="AA7" s="7">
        <f>'Power Price'!Z10</f>
        <v>2024</v>
      </c>
      <c r="AB7" s="7">
        <f>'Power Price'!AA10</f>
        <v>2025</v>
      </c>
      <c r="AC7" s="7">
        <f>'Power Price'!AB10</f>
        <v>2026</v>
      </c>
      <c r="AD7" s="7">
        <f>'Power Price'!AC10</f>
        <v>0</v>
      </c>
      <c r="AE7" s="7">
        <f>'Power Price'!AD10</f>
        <v>0</v>
      </c>
      <c r="AF7" s="7">
        <f>'Power Price'!AE10</f>
        <v>0</v>
      </c>
      <c r="AG7" s="7">
        <f>'Power Price'!AF10</f>
        <v>0</v>
      </c>
      <c r="AH7" s="7">
        <f>'Power Price'!AG10</f>
        <v>0</v>
      </c>
    </row>
    <row r="8" spans="1:34" s="28" customFormat="1">
      <c r="A8" s="173"/>
      <c r="B8" s="201"/>
      <c r="C8" s="201"/>
      <c r="D8" s="315">
        <f>IS!C8</f>
        <v>37256</v>
      </c>
      <c r="E8" s="315">
        <f>IS!D8</f>
        <v>37621</v>
      </c>
      <c r="F8" s="315">
        <f>IS!E8</f>
        <v>37986</v>
      </c>
      <c r="G8" s="315">
        <f>IS!F8</f>
        <v>38352</v>
      </c>
      <c r="H8" s="315">
        <f>IS!G8</f>
        <v>38717</v>
      </c>
      <c r="I8" s="315">
        <f>IS!H8</f>
        <v>39082</v>
      </c>
      <c r="J8" s="315">
        <f>IS!I8</f>
        <v>39447</v>
      </c>
      <c r="K8" s="315">
        <f>IS!J8</f>
        <v>39813</v>
      </c>
      <c r="L8" s="315">
        <f>IS!K8</f>
        <v>40178</v>
      </c>
      <c r="M8" s="315">
        <f>IS!L8</f>
        <v>40543</v>
      </c>
      <c r="N8" s="315">
        <f>IS!M8</f>
        <v>40908</v>
      </c>
      <c r="O8" s="315">
        <f>IS!N8</f>
        <v>41274</v>
      </c>
      <c r="P8" s="315">
        <f>IS!O8</f>
        <v>41639</v>
      </c>
      <c r="Q8" s="315">
        <f>IS!P8</f>
        <v>42004</v>
      </c>
      <c r="R8" s="315">
        <f>IS!Q8</f>
        <v>42369</v>
      </c>
      <c r="S8" s="315">
        <f>IS!R8</f>
        <v>42735</v>
      </c>
      <c r="T8" s="315">
        <f>IS!S8</f>
        <v>43100</v>
      </c>
      <c r="U8" s="315">
        <f>IS!T8</f>
        <v>43465</v>
      </c>
      <c r="V8" s="315">
        <f>IS!U8</f>
        <v>43830</v>
      </c>
      <c r="W8" s="315">
        <f>IS!V8</f>
        <v>44196</v>
      </c>
      <c r="X8" s="315">
        <f>IS!W8</f>
        <v>44561</v>
      </c>
      <c r="Y8" s="315">
        <f>IS!X8</f>
        <v>44926</v>
      </c>
      <c r="Z8" s="315">
        <f>IS!Y8</f>
        <v>45291</v>
      </c>
      <c r="AA8" s="315">
        <f>IS!Z8</f>
        <v>45657</v>
      </c>
      <c r="AB8" s="315">
        <f>IS!AA8</f>
        <v>46022</v>
      </c>
      <c r="AC8" s="315">
        <f>IS!AB8</f>
        <v>46387</v>
      </c>
      <c r="AD8" s="315">
        <f>IS!AC8</f>
        <v>0</v>
      </c>
      <c r="AE8" s="315">
        <f>IS!AD8</f>
        <v>0</v>
      </c>
      <c r="AF8" s="315">
        <f>IS!AE8</f>
        <v>0</v>
      </c>
      <c r="AG8" s="315">
        <f>IS!AF8</f>
        <v>0</v>
      </c>
      <c r="AH8" s="315">
        <f>IS!AG8</f>
        <v>0</v>
      </c>
    </row>
    <row r="9" spans="1:34" s="28" customFormat="1">
      <c r="A9" s="29" t="s">
        <v>1105</v>
      </c>
      <c r="B9" s="29"/>
      <c r="C9" s="27"/>
      <c r="D9" s="324">
        <f>Assum!I18</f>
        <v>7</v>
      </c>
      <c r="E9" s="314">
        <v>12</v>
      </c>
      <c r="F9" s="314">
        <v>12</v>
      </c>
      <c r="G9" s="314">
        <v>12</v>
      </c>
      <c r="H9" s="314">
        <v>12</v>
      </c>
      <c r="I9" s="314">
        <v>12</v>
      </c>
      <c r="J9" s="314">
        <v>12</v>
      </c>
      <c r="K9" s="314">
        <v>12</v>
      </c>
      <c r="L9" s="314">
        <v>12</v>
      </c>
      <c r="M9" s="314">
        <v>12</v>
      </c>
      <c r="N9" s="314">
        <v>12</v>
      </c>
      <c r="O9" s="314">
        <v>12</v>
      </c>
      <c r="P9" s="314">
        <v>12</v>
      </c>
      <c r="Q9" s="314">
        <v>12</v>
      </c>
      <c r="R9" s="314">
        <v>12</v>
      </c>
      <c r="S9" s="314">
        <v>12</v>
      </c>
      <c r="T9" s="314">
        <v>12</v>
      </c>
      <c r="U9" s="314">
        <v>12</v>
      </c>
      <c r="V9" s="314">
        <v>12</v>
      </c>
      <c r="W9" s="314">
        <v>12</v>
      </c>
      <c r="X9" s="314">
        <v>12</v>
      </c>
      <c r="Y9" s="325">
        <v>12</v>
      </c>
      <c r="Z9" s="314">
        <v>12</v>
      </c>
      <c r="AA9" s="325">
        <v>12</v>
      </c>
      <c r="AB9" s="314">
        <v>12</v>
      </c>
      <c r="AC9" s="325">
        <v>12</v>
      </c>
      <c r="AD9" s="314">
        <v>12</v>
      </c>
      <c r="AE9" s="325">
        <v>12</v>
      </c>
      <c r="AF9" s="314">
        <v>12</v>
      </c>
      <c r="AG9" s="325">
        <v>12</v>
      </c>
      <c r="AH9" s="314">
        <v>12</v>
      </c>
    </row>
    <row r="10" spans="1:34" s="28" customFormat="1">
      <c r="A10" s="29"/>
      <c r="B10" s="29"/>
      <c r="C10" s="27"/>
      <c r="D10" s="15"/>
      <c r="E10" s="15"/>
      <c r="F10" s="15"/>
      <c r="G10" s="15"/>
      <c r="H10" s="15"/>
    </row>
    <row r="11" spans="1:34" ht="15.75">
      <c r="A11" s="30"/>
    </row>
    <row r="12" spans="1:34" s="12" customFormat="1">
      <c r="A12" s="31" t="s">
        <v>1041</v>
      </c>
      <c r="B12" s="14"/>
      <c r="C12" s="32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2" customFormat="1">
      <c r="A13" s="14"/>
      <c r="B13" s="33" t="s">
        <v>1042</v>
      </c>
      <c r="C13" s="27"/>
      <c r="D13" s="37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s="12" customFormat="1">
      <c r="A14" s="23" t="s">
        <v>1043</v>
      </c>
      <c r="B14" s="35">
        <f>Assum!$N$66</f>
        <v>15</v>
      </c>
      <c r="C14" s="36"/>
      <c r="D14" s="286">
        <v>0.05</v>
      </c>
      <c r="E14" s="286">
        <v>9.5000000000000001E-2</v>
      </c>
      <c r="F14" s="286">
        <v>8.5500000000000007E-2</v>
      </c>
      <c r="G14" s="286">
        <v>7.6999999999999999E-2</v>
      </c>
      <c r="H14" s="286">
        <v>6.93E-2</v>
      </c>
      <c r="I14" s="286">
        <v>6.2300000000000001E-2</v>
      </c>
      <c r="J14" s="286">
        <v>5.8999999999999997E-2</v>
      </c>
      <c r="K14" s="286">
        <v>5.91E-2</v>
      </c>
      <c r="L14" s="286">
        <v>5.8999999999999997E-2</v>
      </c>
      <c r="M14" s="286">
        <v>5.91E-2</v>
      </c>
      <c r="N14" s="286">
        <v>5.8999999999999997E-2</v>
      </c>
      <c r="O14" s="286">
        <v>5.91E-2</v>
      </c>
      <c r="P14" s="286">
        <v>5.8999999999999997E-2</v>
      </c>
      <c r="Q14" s="286">
        <v>5.91E-2</v>
      </c>
      <c r="R14" s="286">
        <v>5.8999999999999997E-2</v>
      </c>
      <c r="S14" s="286">
        <v>2.9499999999999998E-2</v>
      </c>
      <c r="T14" s="286">
        <v>0</v>
      </c>
      <c r="U14" s="286">
        <v>0</v>
      </c>
      <c r="V14" s="286">
        <v>0</v>
      </c>
      <c r="W14" s="286">
        <v>0</v>
      </c>
      <c r="X14" s="286">
        <v>0</v>
      </c>
      <c r="Y14" s="286">
        <v>0</v>
      </c>
      <c r="Z14" s="286">
        <v>0</v>
      </c>
      <c r="AA14" s="286">
        <v>0</v>
      </c>
      <c r="AB14" s="286">
        <v>0</v>
      </c>
      <c r="AC14" s="286">
        <v>0</v>
      </c>
      <c r="AD14" s="286">
        <v>0</v>
      </c>
      <c r="AE14" s="286">
        <v>0</v>
      </c>
      <c r="AF14" s="286">
        <v>0</v>
      </c>
      <c r="AG14" s="286">
        <v>0</v>
      </c>
      <c r="AH14" s="286">
        <v>0</v>
      </c>
    </row>
    <row r="15" spans="1:34" s="105" customFormat="1">
      <c r="A15" s="24" t="s">
        <v>1044</v>
      </c>
      <c r="B15" s="103">
        <f>Assum!$N$67</f>
        <v>20</v>
      </c>
      <c r="C15" s="104"/>
      <c r="D15" s="286">
        <f>1/Assum!$N$67*D9/12</f>
        <v>2.9166666666666671E-2</v>
      </c>
      <c r="E15" s="286">
        <f>IF(AND(E6&gt;=Assum!$N$67,D6&lt;Assum!$N$67),1/Assum!$N$67-Dep!$D$15,IF(E6&lt;Assum!$N$67,1/Assum!$N$67,0))</f>
        <v>0.05</v>
      </c>
      <c r="F15" s="286">
        <f>IF(AND(F6&gt;=Assum!$N$67,E6&lt;Assum!$N$67),1/Assum!$N$67-Dep!$D$15,IF(F6&lt;Assum!$N$67,1/Assum!$N$67,0))</f>
        <v>0.05</v>
      </c>
      <c r="G15" s="286">
        <f>IF(AND(G6&gt;=Assum!$N$67,F6&lt;Assum!$N$67),1/Assum!$N$67-Dep!$D$15,IF(G6&lt;Assum!$N$67,1/Assum!$N$67,0))</f>
        <v>0.05</v>
      </c>
      <c r="H15" s="286">
        <f>IF(AND(H6&gt;=Assum!$N$67,G6&lt;Assum!$N$67),1/Assum!$N$67-Dep!$D$15,IF(H6&lt;Assum!$N$67,1/Assum!$N$67,0))</f>
        <v>0.05</v>
      </c>
      <c r="I15" s="286">
        <f>IF(AND(I6&gt;=Assum!$N$67,H6&lt;Assum!$N$67),1/Assum!$N$67-Dep!$D$15,IF(I6&lt;Assum!$N$67,1/Assum!$N$67,0))</f>
        <v>0.05</v>
      </c>
      <c r="J15" s="286">
        <f>IF(AND(J6&gt;=Assum!$N$67,I6&lt;Assum!$N$67),1/Assum!$N$67-Dep!$D$15,IF(J6&lt;Assum!$N$67,1/Assum!$N$67,0))</f>
        <v>0.05</v>
      </c>
      <c r="K15" s="286">
        <f>IF(AND(K6&gt;=Assum!$N$67,J6&lt;Assum!$N$67),1/Assum!$N$67-Dep!$D$15,IF(K6&lt;Assum!$N$67,1/Assum!$N$67,0))</f>
        <v>0.05</v>
      </c>
      <c r="L15" s="286">
        <f>IF(AND(L6&gt;=Assum!$N$67,K6&lt;Assum!$N$67),1/Assum!$N$67-Dep!$D$15,IF(L6&lt;Assum!$N$67,1/Assum!$N$67,0))</f>
        <v>0.05</v>
      </c>
      <c r="M15" s="286">
        <f>IF(AND(M6&gt;=Assum!$N$67,L6&lt;Assum!$N$67),1/Assum!$N$67-Dep!$D$15,IF(M6&lt;Assum!$N$67,1/Assum!$N$67,0))</f>
        <v>0.05</v>
      </c>
      <c r="N15" s="286">
        <f>IF(AND(N6&gt;=Assum!$N$67,M6&lt;Assum!$N$67),1/Assum!$N$67-Dep!$D$15,IF(N6&lt;Assum!$N$67,1/Assum!$N$67,0))</f>
        <v>0.05</v>
      </c>
      <c r="O15" s="286">
        <f>IF(AND(O6&gt;=Assum!$N$67,N6&lt;Assum!$N$67),1/Assum!$N$67-Dep!$D$15,IF(O6&lt;Assum!$N$67,1/Assum!$N$67,0))</f>
        <v>0.05</v>
      </c>
      <c r="P15" s="286">
        <f>IF(AND(P6&gt;=Assum!$N$67,O6&lt;Assum!$N$67),1/Assum!$N$67-Dep!$D$15,IF(P6&lt;Assum!$N$67,1/Assum!$N$67,0))</f>
        <v>0.05</v>
      </c>
      <c r="Q15" s="286">
        <f>IF(AND(Q6&gt;=Assum!$N$67,P6&lt;Assum!$N$67),1/Assum!$N$67-Dep!$D$15,IF(Q6&lt;Assum!$N$67,1/Assum!$N$67,0))</f>
        <v>0.05</v>
      </c>
      <c r="R15" s="286">
        <f>IF(AND(R6&gt;=Assum!$N$67,Q6&lt;Assum!$N$67),1/Assum!$N$67-Dep!$D$15,IF(R6&lt;Assum!$N$67,1/Assum!$N$67,0))</f>
        <v>0.05</v>
      </c>
      <c r="S15" s="286">
        <f>IF(AND(S6&gt;=Assum!$N$67,R6&lt;Assum!$N$67),1/Assum!$N$67-Dep!$D$15,IF(S6&lt;Assum!$N$67,1/Assum!$N$67,0))</f>
        <v>0.05</v>
      </c>
      <c r="T15" s="286">
        <f>IF(AND(T6&gt;=Assum!$N$67,S6&lt;Assum!$N$67),1/Assum!$N$67-Dep!$D$15,IF(T6&lt;Assum!$N$67,1/Assum!$N$67,0))</f>
        <v>0.05</v>
      </c>
      <c r="U15" s="286">
        <f>IF(AND(U6&gt;=Assum!$N$67,T6&lt;Assum!$N$67),1/Assum!$N$67-Dep!$D$15,IF(U6&lt;Assum!$N$67,1/Assum!$N$67,0))</f>
        <v>0.05</v>
      </c>
      <c r="V15" s="286">
        <f>IF(AND(V6&gt;=Assum!$N$67,U6&lt;Assum!$N$67),1/Assum!$N$67-Dep!$D$15,IF(V6&lt;Assum!$N$67,1/Assum!$N$67,0))</f>
        <v>0.05</v>
      </c>
      <c r="W15" s="286">
        <f>IF(AND(W6&gt;=Assum!$N$67,V6&lt;Assum!$N$67),1/Assum!$N$67-Dep!$D$15,IF(W6&lt;Assum!$N$67,1/Assum!$N$67,0))</f>
        <v>0.05</v>
      </c>
      <c r="X15" s="286">
        <f>IF(AND(X6&gt;=Assum!$N$67,W6&lt;Assum!$N$67),1/Assum!$N$67-Dep!$D$15,IF(X6&lt;Assum!$N$67,1/Assum!$N$67,0))</f>
        <v>2.0833333333333332E-2</v>
      </c>
      <c r="Y15" s="286">
        <f>IF(AND(Y6&gt;=Assum!$N$67,X6&lt;Assum!$N$67),1/Assum!$N$67-Dep!$D$15,IF(Y6&lt;Assum!$N$67,1/Assum!$N$67,0))</f>
        <v>0</v>
      </c>
      <c r="Z15" s="286">
        <f>IF(AND(Z6&gt;=Assum!$N$67,Y6&lt;Assum!$N$67),1/Assum!$N$67-Dep!$D$15,IF(Z6&lt;Assum!$N$67,1/Assum!$N$67,0))</f>
        <v>0</v>
      </c>
      <c r="AA15" s="286">
        <f>IF(AND(AA6&gt;=Assum!$N$67,Z6&lt;Assum!$N$67),1/Assum!$N$67-Dep!$D$15,IF(AA6&lt;Assum!$N$67,1/Assum!$N$67,0))</f>
        <v>0</v>
      </c>
      <c r="AB15" s="286">
        <f>IF(AND(AB6&gt;=Assum!$N$67,AA6&lt;Assum!$N$67),1/Assum!$N$67-Dep!$D$15,IF(AB6&lt;Assum!$N$67,1/Assum!$N$67,0))</f>
        <v>0</v>
      </c>
      <c r="AC15" s="286">
        <f>IF(AND(AC6&gt;=Assum!$N$67,AB6&lt;Assum!$N$67),1/Assum!$N$67-Dep!$D$15,IF(AC6&lt;Assum!$N$67,1/Assum!$N$67,0))</f>
        <v>0</v>
      </c>
      <c r="AD15" s="286">
        <f>IF(AND(AD6&gt;=Assum!$N$67,AC6&lt;Assum!$N$67),1/Assum!$N$67-Dep!$D$15,IF(AD6&lt;Assum!$N$67,1/Assum!$N$67,0))</f>
        <v>0</v>
      </c>
      <c r="AE15" s="286">
        <f>IF(AND(AE6&gt;=Assum!$N$67,AD6&lt;Assum!$N$67),1/Assum!$N$67-Dep!$D$15,IF(AE6&lt;Assum!$N$67,1/Assum!$N$67,0))</f>
        <v>0</v>
      </c>
      <c r="AF15" s="286">
        <f>IF(AND(AF6&gt;=Assum!$N$67,AE6&lt;Assum!$N$67),1/Assum!$N$67-Dep!$D$15,IF(AF6&lt;Assum!$N$67,1/Assum!$N$67,0))</f>
        <v>0</v>
      </c>
      <c r="AG15" s="286">
        <f>IF(AND(AG6&gt;=Assum!$N$67,AF6&lt;Assum!$N$67),1/Assum!$N$67-Dep!$D$15,IF(AG6&lt;Assum!$N$67,1/Assum!$N$67,0))</f>
        <v>0</v>
      </c>
      <c r="AH15" s="286">
        <f>IF(AND(AH6&gt;=Assum!$N$67,AG6&lt;Assum!$N$67),1/Assum!$N$67-Dep!$D$15,IF(AH6&lt;Assum!$N$67,1/Assum!$N$67,0))</f>
        <v>0</v>
      </c>
    </row>
    <row r="16" spans="1:34" s="12" customFormat="1">
      <c r="A16" s="14"/>
      <c r="B16" s="38"/>
      <c r="C16" s="27"/>
      <c r="D16" s="3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s="12" customFormat="1">
      <c r="A17" s="23" t="s">
        <v>1045</v>
      </c>
      <c r="B17" s="109">
        <f ca="1">Assum!C91-Assum!C81</f>
        <v>140281.46155350332</v>
      </c>
      <c r="C17" s="110"/>
      <c r="D17" s="111">
        <f ca="1">$B$17*D14</f>
        <v>7014.0730776751661</v>
      </c>
      <c r="E17" s="111">
        <f ca="1">$B$17*E14</f>
        <v>13326.738847582816</v>
      </c>
      <c r="F17" s="111">
        <f ca="1">$B$17*F14</f>
        <v>11994.064962824536</v>
      </c>
      <c r="G17" s="111">
        <f t="shared" ref="G17:Y17" ca="1" si="0">$B$17*G14</f>
        <v>10801.672539619756</v>
      </c>
      <c r="H17" s="111">
        <f t="shared" ca="1" si="0"/>
        <v>9721.5052856577804</v>
      </c>
      <c r="I17" s="111">
        <f t="shared" ca="1" si="0"/>
        <v>8739.5350547832568</v>
      </c>
      <c r="J17" s="111">
        <f t="shared" ca="1" si="0"/>
        <v>8276.6062316566949</v>
      </c>
      <c r="K17" s="111">
        <f t="shared" ca="1" si="0"/>
        <v>8290.6343778120463</v>
      </c>
      <c r="L17" s="111">
        <f t="shared" ca="1" si="0"/>
        <v>8276.6062316566949</v>
      </c>
      <c r="M17" s="111">
        <f t="shared" ca="1" si="0"/>
        <v>8290.6343778120463</v>
      </c>
      <c r="N17" s="111">
        <f t="shared" ca="1" si="0"/>
        <v>8276.6062316566949</v>
      </c>
      <c r="O17" s="111">
        <f t="shared" ca="1" si="0"/>
        <v>8290.6343778120463</v>
      </c>
      <c r="P17" s="111">
        <f t="shared" ca="1" si="0"/>
        <v>8276.6062316566949</v>
      </c>
      <c r="Q17" s="111">
        <f t="shared" ca="1" si="0"/>
        <v>8290.6343778120463</v>
      </c>
      <c r="R17" s="111">
        <f t="shared" ca="1" si="0"/>
        <v>8276.6062316566949</v>
      </c>
      <c r="S17" s="111">
        <f t="shared" ca="1" si="0"/>
        <v>4138.3031158283475</v>
      </c>
      <c r="T17" s="111">
        <f t="shared" ca="1" si="0"/>
        <v>0</v>
      </c>
      <c r="U17" s="111">
        <f t="shared" ca="1" si="0"/>
        <v>0</v>
      </c>
      <c r="V17" s="111">
        <f t="shared" ca="1" si="0"/>
        <v>0</v>
      </c>
      <c r="W17" s="111">
        <f t="shared" ca="1" si="0"/>
        <v>0</v>
      </c>
      <c r="X17" s="111">
        <f t="shared" ca="1" si="0"/>
        <v>0</v>
      </c>
      <c r="Y17" s="111">
        <f t="shared" ca="1" si="0"/>
        <v>0</v>
      </c>
      <c r="Z17" s="111">
        <f t="shared" ref="Z17:AH17" ca="1" si="1">$B$17*Z14</f>
        <v>0</v>
      </c>
      <c r="AA17" s="111">
        <f t="shared" ca="1" si="1"/>
        <v>0</v>
      </c>
      <c r="AB17" s="111">
        <f t="shared" ca="1" si="1"/>
        <v>0</v>
      </c>
      <c r="AC17" s="111">
        <f t="shared" ca="1" si="1"/>
        <v>0</v>
      </c>
      <c r="AD17" s="111">
        <f t="shared" ca="1" si="1"/>
        <v>0</v>
      </c>
      <c r="AE17" s="111">
        <f t="shared" ca="1" si="1"/>
        <v>0</v>
      </c>
      <c r="AF17" s="111">
        <f t="shared" ca="1" si="1"/>
        <v>0</v>
      </c>
      <c r="AG17" s="111">
        <f t="shared" ca="1" si="1"/>
        <v>0</v>
      </c>
      <c r="AH17" s="111">
        <f t="shared" ca="1" si="1"/>
        <v>0</v>
      </c>
    </row>
    <row r="18" spans="1:34" s="12" customFormat="1" ht="15">
      <c r="A18" s="24" t="s">
        <v>1044</v>
      </c>
      <c r="B18" s="112">
        <f>SUM(Assum!C78:C80)</f>
        <v>0</v>
      </c>
      <c r="C18" s="110"/>
      <c r="D18" s="113">
        <f>$B$18*D15</f>
        <v>0</v>
      </c>
      <c r="E18" s="113">
        <f t="shared" ref="E18:Y18" si="2">$B$18*E15</f>
        <v>0</v>
      </c>
      <c r="F18" s="113">
        <f t="shared" si="2"/>
        <v>0</v>
      </c>
      <c r="G18" s="113">
        <f t="shared" si="2"/>
        <v>0</v>
      </c>
      <c r="H18" s="113">
        <f t="shared" si="2"/>
        <v>0</v>
      </c>
      <c r="I18" s="113">
        <f t="shared" si="2"/>
        <v>0</v>
      </c>
      <c r="J18" s="113">
        <f t="shared" si="2"/>
        <v>0</v>
      </c>
      <c r="K18" s="113">
        <f t="shared" si="2"/>
        <v>0</v>
      </c>
      <c r="L18" s="113">
        <f t="shared" si="2"/>
        <v>0</v>
      </c>
      <c r="M18" s="113">
        <f t="shared" si="2"/>
        <v>0</v>
      </c>
      <c r="N18" s="113">
        <f t="shared" si="2"/>
        <v>0</v>
      </c>
      <c r="O18" s="113">
        <f t="shared" si="2"/>
        <v>0</v>
      </c>
      <c r="P18" s="113">
        <f t="shared" si="2"/>
        <v>0</v>
      </c>
      <c r="Q18" s="113">
        <f t="shared" si="2"/>
        <v>0</v>
      </c>
      <c r="R18" s="113">
        <f t="shared" si="2"/>
        <v>0</v>
      </c>
      <c r="S18" s="113">
        <f t="shared" si="2"/>
        <v>0</v>
      </c>
      <c r="T18" s="113">
        <f t="shared" si="2"/>
        <v>0</v>
      </c>
      <c r="U18" s="113">
        <f t="shared" si="2"/>
        <v>0</v>
      </c>
      <c r="V18" s="113">
        <f t="shared" si="2"/>
        <v>0</v>
      </c>
      <c r="W18" s="113">
        <f t="shared" si="2"/>
        <v>0</v>
      </c>
      <c r="X18" s="113">
        <f t="shared" si="2"/>
        <v>0</v>
      </c>
      <c r="Y18" s="113">
        <f t="shared" si="2"/>
        <v>0</v>
      </c>
      <c r="Z18" s="113">
        <f t="shared" ref="Z18:AH18" si="3">$B$18*Z15</f>
        <v>0</v>
      </c>
      <c r="AA18" s="113">
        <f t="shared" si="3"/>
        <v>0</v>
      </c>
      <c r="AB18" s="113">
        <f t="shared" si="3"/>
        <v>0</v>
      </c>
      <c r="AC18" s="113">
        <f t="shared" si="3"/>
        <v>0</v>
      </c>
      <c r="AD18" s="113">
        <f t="shared" si="3"/>
        <v>0</v>
      </c>
      <c r="AE18" s="113">
        <f t="shared" si="3"/>
        <v>0</v>
      </c>
      <c r="AF18" s="113">
        <f t="shared" si="3"/>
        <v>0</v>
      </c>
      <c r="AG18" s="113">
        <f t="shared" si="3"/>
        <v>0</v>
      </c>
      <c r="AH18" s="113">
        <f t="shared" si="3"/>
        <v>0</v>
      </c>
    </row>
    <row r="19" spans="1:34" s="12" customFormat="1">
      <c r="A19" s="24" t="s">
        <v>1046</v>
      </c>
      <c r="B19" s="111">
        <f ca="1">SUM(B17:B18)</f>
        <v>140281.46155350332</v>
      </c>
      <c r="C19" s="208"/>
      <c r="D19" s="111">
        <f t="shared" ref="D19:Y19" ca="1" si="4">SUM(D17:D18)</f>
        <v>7014.0730776751661</v>
      </c>
      <c r="E19" s="111">
        <f t="shared" ca="1" si="4"/>
        <v>13326.738847582816</v>
      </c>
      <c r="F19" s="111">
        <f t="shared" ca="1" si="4"/>
        <v>11994.064962824536</v>
      </c>
      <c r="G19" s="111">
        <f t="shared" ca="1" si="4"/>
        <v>10801.672539619756</v>
      </c>
      <c r="H19" s="111">
        <f t="shared" ca="1" si="4"/>
        <v>9721.5052856577804</v>
      </c>
      <c r="I19" s="111">
        <f t="shared" ca="1" si="4"/>
        <v>8739.5350547832568</v>
      </c>
      <c r="J19" s="111">
        <f t="shared" ca="1" si="4"/>
        <v>8276.6062316566949</v>
      </c>
      <c r="K19" s="111">
        <f t="shared" ca="1" si="4"/>
        <v>8290.6343778120463</v>
      </c>
      <c r="L19" s="111">
        <f t="shared" ca="1" si="4"/>
        <v>8276.6062316566949</v>
      </c>
      <c r="M19" s="111">
        <f t="shared" ca="1" si="4"/>
        <v>8290.6343778120463</v>
      </c>
      <c r="N19" s="111">
        <f t="shared" ca="1" si="4"/>
        <v>8276.6062316566949</v>
      </c>
      <c r="O19" s="111">
        <f t="shared" ca="1" si="4"/>
        <v>8290.6343778120463</v>
      </c>
      <c r="P19" s="111">
        <f t="shared" ca="1" si="4"/>
        <v>8276.6062316566949</v>
      </c>
      <c r="Q19" s="111">
        <f t="shared" ca="1" si="4"/>
        <v>8290.6343778120463</v>
      </c>
      <c r="R19" s="111">
        <f t="shared" ca="1" si="4"/>
        <v>8276.6062316566949</v>
      </c>
      <c r="S19" s="111">
        <f t="shared" ca="1" si="4"/>
        <v>4138.3031158283475</v>
      </c>
      <c r="T19" s="111">
        <f t="shared" ca="1" si="4"/>
        <v>0</v>
      </c>
      <c r="U19" s="111">
        <f t="shared" ca="1" si="4"/>
        <v>0</v>
      </c>
      <c r="V19" s="111">
        <f t="shared" ca="1" si="4"/>
        <v>0</v>
      </c>
      <c r="W19" s="111">
        <f t="shared" ca="1" si="4"/>
        <v>0</v>
      </c>
      <c r="X19" s="111">
        <f t="shared" ca="1" si="4"/>
        <v>0</v>
      </c>
      <c r="Y19" s="111">
        <f t="shared" ca="1" si="4"/>
        <v>0</v>
      </c>
      <c r="Z19" s="111">
        <f t="shared" ref="Z19:AH19" ca="1" si="5">SUM(Z17:Z18)</f>
        <v>0</v>
      </c>
      <c r="AA19" s="111">
        <f t="shared" ca="1" si="5"/>
        <v>0</v>
      </c>
      <c r="AB19" s="111">
        <f t="shared" ca="1" si="5"/>
        <v>0</v>
      </c>
      <c r="AC19" s="111">
        <f t="shared" ca="1" si="5"/>
        <v>0</v>
      </c>
      <c r="AD19" s="111">
        <f t="shared" ca="1" si="5"/>
        <v>0</v>
      </c>
      <c r="AE19" s="111">
        <f t="shared" ca="1" si="5"/>
        <v>0</v>
      </c>
      <c r="AF19" s="111">
        <f t="shared" ca="1" si="5"/>
        <v>0</v>
      </c>
      <c r="AG19" s="111">
        <f t="shared" ca="1" si="5"/>
        <v>0</v>
      </c>
      <c r="AH19" s="111">
        <f t="shared" ca="1" si="5"/>
        <v>0</v>
      </c>
    </row>
    <row r="20" spans="1:34" s="12" customFormat="1">
      <c r="B20" s="111"/>
      <c r="C20" s="11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</row>
    <row r="21" spans="1:34" s="12" customFormat="1">
      <c r="A21" s="14" t="s">
        <v>1047</v>
      </c>
      <c r="B21" s="111">
        <f ca="1">B19</f>
        <v>140281.46155350332</v>
      </c>
      <c r="C21" s="110"/>
      <c r="D21" s="111">
        <f ca="1">B19-D19</f>
        <v>133267.38847582816</v>
      </c>
      <c r="E21" s="111">
        <f ca="1">D21-E19</f>
        <v>119940.64962824534</v>
      </c>
      <c r="F21" s="111">
        <f t="shared" ref="F21:X21" ca="1" si="6">E21-F19</f>
        <v>107946.58466542081</v>
      </c>
      <c r="G21" s="111">
        <f t="shared" ca="1" si="6"/>
        <v>97144.912125801056</v>
      </c>
      <c r="H21" s="111">
        <f t="shared" ca="1" si="6"/>
        <v>87423.406840143274</v>
      </c>
      <c r="I21" s="111">
        <f t="shared" ca="1" si="6"/>
        <v>78683.87178536001</v>
      </c>
      <c r="J21" s="111">
        <f t="shared" ca="1" si="6"/>
        <v>70407.265553703313</v>
      </c>
      <c r="K21" s="111">
        <f t="shared" ca="1" si="6"/>
        <v>62116.631175891263</v>
      </c>
      <c r="L21" s="111">
        <f t="shared" ca="1" si="6"/>
        <v>53840.024944234567</v>
      </c>
      <c r="M21" s="111">
        <f t="shared" ca="1" si="6"/>
        <v>45549.390566422517</v>
      </c>
      <c r="N21" s="111">
        <f t="shared" ca="1" si="6"/>
        <v>37272.78433476582</v>
      </c>
      <c r="O21" s="111">
        <f t="shared" ca="1" si="6"/>
        <v>28982.149956953774</v>
      </c>
      <c r="P21" s="111">
        <f t="shared" ca="1" si="6"/>
        <v>20705.543725297081</v>
      </c>
      <c r="Q21" s="111">
        <f t="shared" ca="1" si="6"/>
        <v>12414.909347485034</v>
      </c>
      <c r="R21" s="111">
        <f t="shared" ca="1" si="6"/>
        <v>4138.3031158283393</v>
      </c>
      <c r="S21" s="111">
        <f t="shared" ca="1" si="6"/>
        <v>-8.1854523159563541E-12</v>
      </c>
      <c r="T21" s="111">
        <f t="shared" ca="1" si="6"/>
        <v>-8.1854523159563541E-12</v>
      </c>
      <c r="U21" s="111">
        <f t="shared" ca="1" si="6"/>
        <v>-8.1854523159563541E-12</v>
      </c>
      <c r="V21" s="111">
        <f t="shared" ca="1" si="6"/>
        <v>-8.1854523159563541E-12</v>
      </c>
      <c r="W21" s="111">
        <f t="shared" ca="1" si="6"/>
        <v>-8.1854523159563541E-12</v>
      </c>
      <c r="X21" s="111">
        <f t="shared" ca="1" si="6"/>
        <v>-8.1854523159563541E-12</v>
      </c>
      <c r="Y21" s="111">
        <f ca="1">X21-Y19</f>
        <v>-8.1854523159563541E-12</v>
      </c>
      <c r="Z21" s="111">
        <f t="shared" ref="Z21:AH21" ca="1" si="7">Y21-Z19</f>
        <v>-8.1854523159563541E-12</v>
      </c>
      <c r="AA21" s="111">
        <f t="shared" ca="1" si="7"/>
        <v>-8.1854523159563541E-12</v>
      </c>
      <c r="AB21" s="111">
        <f t="shared" ca="1" si="7"/>
        <v>-8.1854523159563541E-12</v>
      </c>
      <c r="AC21" s="111">
        <f t="shared" ca="1" si="7"/>
        <v>-8.1854523159563541E-12</v>
      </c>
      <c r="AD21" s="111">
        <f t="shared" ca="1" si="7"/>
        <v>-8.1854523159563541E-12</v>
      </c>
      <c r="AE21" s="111">
        <f t="shared" ca="1" si="7"/>
        <v>-8.1854523159563541E-12</v>
      </c>
      <c r="AF21" s="111">
        <f t="shared" ca="1" si="7"/>
        <v>-8.1854523159563541E-12</v>
      </c>
      <c r="AG21" s="111">
        <f t="shared" ca="1" si="7"/>
        <v>-8.1854523159563541E-12</v>
      </c>
      <c r="AH21" s="111">
        <f t="shared" ca="1" si="7"/>
        <v>-8.1854523159563541E-12</v>
      </c>
    </row>
    <row r="22" spans="1:34" s="12" customFormat="1">
      <c r="A22" s="18"/>
      <c r="B22" s="19"/>
      <c r="C22" s="3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s="12" customFormat="1">
      <c r="A23" s="31" t="s">
        <v>1048</v>
      </c>
      <c r="B23" s="40"/>
      <c r="C23" s="27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s="12" customFormat="1">
      <c r="A24" s="31"/>
      <c r="B24" s="33" t="s">
        <v>1042</v>
      </c>
      <c r="C24" s="27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s="12" customFormat="1">
      <c r="A25" s="23" t="s">
        <v>1043</v>
      </c>
      <c r="B25" s="35">
        <f>Assum!$N$66</f>
        <v>15</v>
      </c>
      <c r="C25" s="36"/>
      <c r="D25" s="37">
        <f>D14</f>
        <v>0.05</v>
      </c>
      <c r="E25" s="37">
        <f t="shared" ref="E25:Y25" si="8">E14</f>
        <v>9.5000000000000001E-2</v>
      </c>
      <c r="F25" s="37">
        <f t="shared" si="8"/>
        <v>8.5500000000000007E-2</v>
      </c>
      <c r="G25" s="37">
        <f t="shared" si="8"/>
        <v>7.6999999999999999E-2</v>
      </c>
      <c r="H25" s="37">
        <f t="shared" si="8"/>
        <v>6.93E-2</v>
      </c>
      <c r="I25" s="37">
        <f t="shared" si="8"/>
        <v>6.2300000000000001E-2</v>
      </c>
      <c r="J25" s="37">
        <f t="shared" si="8"/>
        <v>5.8999999999999997E-2</v>
      </c>
      <c r="K25" s="37">
        <f t="shared" si="8"/>
        <v>5.91E-2</v>
      </c>
      <c r="L25" s="37">
        <f t="shared" si="8"/>
        <v>5.8999999999999997E-2</v>
      </c>
      <c r="M25" s="37">
        <f t="shared" si="8"/>
        <v>5.91E-2</v>
      </c>
      <c r="N25" s="37">
        <f t="shared" si="8"/>
        <v>5.8999999999999997E-2</v>
      </c>
      <c r="O25" s="37">
        <f t="shared" si="8"/>
        <v>5.91E-2</v>
      </c>
      <c r="P25" s="37">
        <f t="shared" si="8"/>
        <v>5.8999999999999997E-2</v>
      </c>
      <c r="Q25" s="37">
        <f t="shared" si="8"/>
        <v>5.91E-2</v>
      </c>
      <c r="R25" s="37">
        <f t="shared" si="8"/>
        <v>5.8999999999999997E-2</v>
      </c>
      <c r="S25" s="37">
        <f t="shared" si="8"/>
        <v>2.9499999999999998E-2</v>
      </c>
      <c r="T25" s="37">
        <f t="shared" si="8"/>
        <v>0</v>
      </c>
      <c r="U25" s="37">
        <f t="shared" si="8"/>
        <v>0</v>
      </c>
      <c r="V25" s="37">
        <f t="shared" si="8"/>
        <v>0</v>
      </c>
      <c r="W25" s="37">
        <f t="shared" si="8"/>
        <v>0</v>
      </c>
      <c r="X25" s="37">
        <f t="shared" si="8"/>
        <v>0</v>
      </c>
      <c r="Y25" s="37">
        <f t="shared" si="8"/>
        <v>0</v>
      </c>
      <c r="Z25" s="37">
        <f t="shared" ref="Z25:AH25" si="9">Z14</f>
        <v>0</v>
      </c>
      <c r="AA25" s="37">
        <f t="shared" si="9"/>
        <v>0</v>
      </c>
      <c r="AB25" s="37">
        <f t="shared" si="9"/>
        <v>0</v>
      </c>
      <c r="AC25" s="37">
        <f t="shared" si="9"/>
        <v>0</v>
      </c>
      <c r="AD25" s="37">
        <f t="shared" si="9"/>
        <v>0</v>
      </c>
      <c r="AE25" s="37">
        <f t="shared" si="9"/>
        <v>0</v>
      </c>
      <c r="AF25" s="37">
        <f t="shared" si="9"/>
        <v>0</v>
      </c>
      <c r="AG25" s="37">
        <f t="shared" si="9"/>
        <v>0</v>
      </c>
      <c r="AH25" s="37">
        <f t="shared" si="9"/>
        <v>0</v>
      </c>
    </row>
    <row r="26" spans="1:34" s="12" customFormat="1">
      <c r="A26" s="24" t="s">
        <v>1044</v>
      </c>
      <c r="B26" s="103">
        <f>Assum!$N$67</f>
        <v>20</v>
      </c>
      <c r="C26" s="36"/>
      <c r="D26" s="37">
        <f>D15</f>
        <v>2.9166666666666671E-2</v>
      </c>
      <c r="E26" s="37">
        <f t="shared" ref="E26:Y26" si="10">E15</f>
        <v>0.05</v>
      </c>
      <c r="F26" s="37">
        <f t="shared" si="10"/>
        <v>0.05</v>
      </c>
      <c r="G26" s="37">
        <f t="shared" si="10"/>
        <v>0.05</v>
      </c>
      <c r="H26" s="37">
        <f t="shared" si="10"/>
        <v>0.05</v>
      </c>
      <c r="I26" s="37">
        <f t="shared" si="10"/>
        <v>0.05</v>
      </c>
      <c r="J26" s="37">
        <f t="shared" si="10"/>
        <v>0.05</v>
      </c>
      <c r="K26" s="37">
        <f t="shared" si="10"/>
        <v>0.05</v>
      </c>
      <c r="L26" s="37">
        <f t="shared" si="10"/>
        <v>0.05</v>
      </c>
      <c r="M26" s="37">
        <f t="shared" si="10"/>
        <v>0.05</v>
      </c>
      <c r="N26" s="37">
        <f t="shared" si="10"/>
        <v>0.05</v>
      </c>
      <c r="O26" s="37">
        <f t="shared" si="10"/>
        <v>0.05</v>
      </c>
      <c r="P26" s="37">
        <f t="shared" si="10"/>
        <v>0.05</v>
      </c>
      <c r="Q26" s="37">
        <f t="shared" si="10"/>
        <v>0.05</v>
      </c>
      <c r="R26" s="37">
        <f t="shared" si="10"/>
        <v>0.05</v>
      </c>
      <c r="S26" s="37">
        <f t="shared" si="10"/>
        <v>0.05</v>
      </c>
      <c r="T26" s="37">
        <f t="shared" si="10"/>
        <v>0.05</v>
      </c>
      <c r="U26" s="37">
        <f t="shared" si="10"/>
        <v>0.05</v>
      </c>
      <c r="V26" s="37">
        <f t="shared" si="10"/>
        <v>0.05</v>
      </c>
      <c r="W26" s="37">
        <f t="shared" si="10"/>
        <v>0.05</v>
      </c>
      <c r="X26" s="37">
        <f t="shared" si="10"/>
        <v>2.0833333333333332E-2</v>
      </c>
      <c r="Y26" s="37">
        <f t="shared" si="10"/>
        <v>0</v>
      </c>
      <c r="Z26" s="37">
        <f t="shared" ref="Z26:AH26" si="11">Z15</f>
        <v>0</v>
      </c>
      <c r="AA26" s="37">
        <f t="shared" si="11"/>
        <v>0</v>
      </c>
      <c r="AB26" s="37">
        <f t="shared" si="11"/>
        <v>0</v>
      </c>
      <c r="AC26" s="37">
        <f t="shared" si="11"/>
        <v>0</v>
      </c>
      <c r="AD26" s="37">
        <f t="shared" si="11"/>
        <v>0</v>
      </c>
      <c r="AE26" s="37">
        <f t="shared" si="11"/>
        <v>0</v>
      </c>
      <c r="AF26" s="37">
        <f t="shared" si="11"/>
        <v>0</v>
      </c>
      <c r="AG26" s="37">
        <f t="shared" si="11"/>
        <v>0</v>
      </c>
      <c r="AH26" s="37">
        <f t="shared" si="11"/>
        <v>0</v>
      </c>
    </row>
    <row r="27" spans="1:34" s="12" customFormat="1">
      <c r="A27" s="18"/>
      <c r="B27" s="35"/>
      <c r="C27" s="2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</row>
    <row r="28" spans="1:34" s="12" customFormat="1">
      <c r="A28" s="14"/>
      <c r="B28" s="33"/>
      <c r="C28" s="2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s="22" customFormat="1">
      <c r="A29" s="23" t="s">
        <v>1045</v>
      </c>
      <c r="B29" s="109">
        <f ca="1">B17</f>
        <v>140281.46155350332</v>
      </c>
      <c r="C29" s="110"/>
      <c r="D29" s="111">
        <f ca="1">$B$29*D25</f>
        <v>7014.0730776751661</v>
      </c>
      <c r="E29" s="111">
        <f t="shared" ref="E29:Y29" ca="1" si="12">$B$29*E25</f>
        <v>13326.738847582816</v>
      </c>
      <c r="F29" s="111">
        <f t="shared" ca="1" si="12"/>
        <v>11994.064962824536</v>
      </c>
      <c r="G29" s="111">
        <f t="shared" ca="1" si="12"/>
        <v>10801.672539619756</v>
      </c>
      <c r="H29" s="111">
        <f t="shared" ca="1" si="12"/>
        <v>9721.5052856577804</v>
      </c>
      <c r="I29" s="111">
        <f t="shared" ca="1" si="12"/>
        <v>8739.5350547832568</v>
      </c>
      <c r="J29" s="111">
        <f t="shared" ca="1" si="12"/>
        <v>8276.6062316566949</v>
      </c>
      <c r="K29" s="111">
        <f t="shared" ca="1" si="12"/>
        <v>8290.6343778120463</v>
      </c>
      <c r="L29" s="111">
        <f t="shared" ca="1" si="12"/>
        <v>8276.6062316566949</v>
      </c>
      <c r="M29" s="111">
        <f t="shared" ca="1" si="12"/>
        <v>8290.6343778120463</v>
      </c>
      <c r="N29" s="111">
        <f t="shared" ca="1" si="12"/>
        <v>8276.6062316566949</v>
      </c>
      <c r="O29" s="111">
        <f t="shared" ca="1" si="12"/>
        <v>8290.6343778120463</v>
      </c>
      <c r="P29" s="111">
        <f t="shared" ca="1" si="12"/>
        <v>8276.6062316566949</v>
      </c>
      <c r="Q29" s="111">
        <f t="shared" ca="1" si="12"/>
        <v>8290.6343778120463</v>
      </c>
      <c r="R29" s="111">
        <f t="shared" ca="1" si="12"/>
        <v>8276.6062316566949</v>
      </c>
      <c r="S29" s="111">
        <f t="shared" ca="1" si="12"/>
        <v>4138.3031158283475</v>
      </c>
      <c r="T29" s="111">
        <f t="shared" ca="1" si="12"/>
        <v>0</v>
      </c>
      <c r="U29" s="111">
        <f t="shared" ca="1" si="12"/>
        <v>0</v>
      </c>
      <c r="V29" s="111">
        <f t="shared" ca="1" si="12"/>
        <v>0</v>
      </c>
      <c r="W29" s="111">
        <f t="shared" ca="1" si="12"/>
        <v>0</v>
      </c>
      <c r="X29" s="111">
        <f t="shared" ca="1" si="12"/>
        <v>0</v>
      </c>
      <c r="Y29" s="111">
        <f t="shared" ca="1" si="12"/>
        <v>0</v>
      </c>
      <c r="Z29" s="111">
        <f t="shared" ref="Z29:AH29" ca="1" si="13">$B$29*Z25</f>
        <v>0</v>
      </c>
      <c r="AA29" s="111">
        <f t="shared" ca="1" si="13"/>
        <v>0</v>
      </c>
      <c r="AB29" s="111">
        <f t="shared" ca="1" si="13"/>
        <v>0</v>
      </c>
      <c r="AC29" s="111">
        <f t="shared" ca="1" si="13"/>
        <v>0</v>
      </c>
      <c r="AD29" s="111">
        <f t="shared" ca="1" si="13"/>
        <v>0</v>
      </c>
      <c r="AE29" s="111">
        <f t="shared" ca="1" si="13"/>
        <v>0</v>
      </c>
      <c r="AF29" s="111">
        <f t="shared" ca="1" si="13"/>
        <v>0</v>
      </c>
      <c r="AG29" s="111">
        <f t="shared" ca="1" si="13"/>
        <v>0</v>
      </c>
      <c r="AH29" s="111">
        <f t="shared" ca="1" si="13"/>
        <v>0</v>
      </c>
    </row>
    <row r="30" spans="1:34" s="12" customFormat="1" ht="15">
      <c r="A30" s="24" t="s">
        <v>1044</v>
      </c>
      <c r="B30" s="112">
        <f>B18</f>
        <v>0</v>
      </c>
      <c r="C30" s="110"/>
      <c r="D30" s="113">
        <f t="shared" ref="D30:Y30" si="14">$B30*D26</f>
        <v>0</v>
      </c>
      <c r="E30" s="113">
        <f t="shared" si="14"/>
        <v>0</v>
      </c>
      <c r="F30" s="113">
        <f t="shared" si="14"/>
        <v>0</v>
      </c>
      <c r="G30" s="113">
        <f t="shared" si="14"/>
        <v>0</v>
      </c>
      <c r="H30" s="113">
        <f t="shared" si="14"/>
        <v>0</v>
      </c>
      <c r="I30" s="113">
        <f t="shared" si="14"/>
        <v>0</v>
      </c>
      <c r="J30" s="113">
        <f t="shared" si="14"/>
        <v>0</v>
      </c>
      <c r="K30" s="113">
        <f t="shared" si="14"/>
        <v>0</v>
      </c>
      <c r="L30" s="113">
        <f t="shared" si="14"/>
        <v>0</v>
      </c>
      <c r="M30" s="113">
        <f t="shared" si="14"/>
        <v>0</v>
      </c>
      <c r="N30" s="113">
        <f t="shared" si="14"/>
        <v>0</v>
      </c>
      <c r="O30" s="113">
        <f t="shared" si="14"/>
        <v>0</v>
      </c>
      <c r="P30" s="113">
        <f t="shared" si="14"/>
        <v>0</v>
      </c>
      <c r="Q30" s="113">
        <f t="shared" si="14"/>
        <v>0</v>
      </c>
      <c r="R30" s="113">
        <f t="shared" si="14"/>
        <v>0</v>
      </c>
      <c r="S30" s="113">
        <f t="shared" si="14"/>
        <v>0</v>
      </c>
      <c r="T30" s="113">
        <f t="shared" si="14"/>
        <v>0</v>
      </c>
      <c r="U30" s="113">
        <f t="shared" si="14"/>
        <v>0</v>
      </c>
      <c r="V30" s="113">
        <f t="shared" si="14"/>
        <v>0</v>
      </c>
      <c r="W30" s="113">
        <f t="shared" si="14"/>
        <v>0</v>
      </c>
      <c r="X30" s="113">
        <f t="shared" si="14"/>
        <v>0</v>
      </c>
      <c r="Y30" s="113">
        <f t="shared" si="14"/>
        <v>0</v>
      </c>
      <c r="Z30" s="113">
        <f t="shared" ref="Z30:AH30" si="15">$B30*Z26</f>
        <v>0</v>
      </c>
      <c r="AA30" s="113">
        <f t="shared" si="15"/>
        <v>0</v>
      </c>
      <c r="AB30" s="113">
        <f t="shared" si="15"/>
        <v>0</v>
      </c>
      <c r="AC30" s="113">
        <f t="shared" si="15"/>
        <v>0</v>
      </c>
      <c r="AD30" s="113">
        <f t="shared" si="15"/>
        <v>0</v>
      </c>
      <c r="AE30" s="113">
        <f t="shared" si="15"/>
        <v>0</v>
      </c>
      <c r="AF30" s="113">
        <f t="shared" si="15"/>
        <v>0</v>
      </c>
      <c r="AG30" s="113">
        <f t="shared" si="15"/>
        <v>0</v>
      </c>
      <c r="AH30" s="113">
        <f t="shared" si="15"/>
        <v>0</v>
      </c>
    </row>
    <row r="31" spans="1:34" s="12" customFormat="1">
      <c r="A31" s="18" t="s">
        <v>1046</v>
      </c>
      <c r="B31" s="111">
        <f ca="1">SUM(B29:B30)</f>
        <v>140281.46155350332</v>
      </c>
      <c r="C31" s="110"/>
      <c r="D31" s="111">
        <f t="shared" ref="D31:Y31" ca="1" si="16">SUM(D29:D30)</f>
        <v>7014.0730776751661</v>
      </c>
      <c r="E31" s="111">
        <f t="shared" ca="1" si="16"/>
        <v>13326.738847582816</v>
      </c>
      <c r="F31" s="111">
        <f t="shared" ca="1" si="16"/>
        <v>11994.064962824536</v>
      </c>
      <c r="G31" s="111">
        <f t="shared" ca="1" si="16"/>
        <v>10801.672539619756</v>
      </c>
      <c r="H31" s="111">
        <f t="shared" ca="1" si="16"/>
        <v>9721.5052856577804</v>
      </c>
      <c r="I31" s="111">
        <f t="shared" ca="1" si="16"/>
        <v>8739.5350547832568</v>
      </c>
      <c r="J31" s="111">
        <f t="shared" ca="1" si="16"/>
        <v>8276.6062316566949</v>
      </c>
      <c r="K31" s="111">
        <f t="shared" ca="1" si="16"/>
        <v>8290.6343778120463</v>
      </c>
      <c r="L31" s="111">
        <f t="shared" ca="1" si="16"/>
        <v>8276.6062316566949</v>
      </c>
      <c r="M31" s="111">
        <f t="shared" ca="1" si="16"/>
        <v>8290.6343778120463</v>
      </c>
      <c r="N31" s="111">
        <f t="shared" ca="1" si="16"/>
        <v>8276.6062316566949</v>
      </c>
      <c r="O31" s="111">
        <f t="shared" ca="1" si="16"/>
        <v>8290.6343778120463</v>
      </c>
      <c r="P31" s="111">
        <f t="shared" ca="1" si="16"/>
        <v>8276.6062316566949</v>
      </c>
      <c r="Q31" s="111">
        <f t="shared" ca="1" si="16"/>
        <v>8290.6343778120463</v>
      </c>
      <c r="R31" s="111">
        <f t="shared" ca="1" si="16"/>
        <v>8276.6062316566949</v>
      </c>
      <c r="S31" s="111">
        <f t="shared" ca="1" si="16"/>
        <v>4138.3031158283475</v>
      </c>
      <c r="T31" s="111">
        <f t="shared" ca="1" si="16"/>
        <v>0</v>
      </c>
      <c r="U31" s="111">
        <f t="shared" ca="1" si="16"/>
        <v>0</v>
      </c>
      <c r="V31" s="111">
        <f t="shared" ca="1" si="16"/>
        <v>0</v>
      </c>
      <c r="W31" s="111">
        <f t="shared" ca="1" si="16"/>
        <v>0</v>
      </c>
      <c r="X31" s="111">
        <f t="shared" ca="1" si="16"/>
        <v>0</v>
      </c>
      <c r="Y31" s="111">
        <f t="shared" ca="1" si="16"/>
        <v>0</v>
      </c>
      <c r="Z31" s="111">
        <f t="shared" ref="Z31:AH31" ca="1" si="17">SUM(Z29:Z30)</f>
        <v>0</v>
      </c>
      <c r="AA31" s="111">
        <f t="shared" ca="1" si="17"/>
        <v>0</v>
      </c>
      <c r="AB31" s="111">
        <f t="shared" ca="1" si="17"/>
        <v>0</v>
      </c>
      <c r="AC31" s="111">
        <f t="shared" ca="1" si="17"/>
        <v>0</v>
      </c>
      <c r="AD31" s="111">
        <f t="shared" ca="1" si="17"/>
        <v>0</v>
      </c>
      <c r="AE31" s="111">
        <f t="shared" ca="1" si="17"/>
        <v>0</v>
      </c>
      <c r="AF31" s="111">
        <f t="shared" ca="1" si="17"/>
        <v>0</v>
      </c>
      <c r="AG31" s="111">
        <f t="shared" ca="1" si="17"/>
        <v>0</v>
      </c>
      <c r="AH31" s="111">
        <f t="shared" ca="1" si="17"/>
        <v>0</v>
      </c>
    </row>
    <row r="32" spans="1:34" s="12" customFormat="1">
      <c r="A32" s="18"/>
      <c r="B32" s="14"/>
      <c r="C32" s="2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5" s="12" customFormat="1">
      <c r="A33" s="14" t="s">
        <v>1047</v>
      </c>
      <c r="B33" s="100">
        <f ca="1">B31</f>
        <v>140281.46155350332</v>
      </c>
      <c r="C33" s="27"/>
      <c r="D33" s="20">
        <f ca="1">B31-D31</f>
        <v>133267.38847582816</v>
      </c>
      <c r="E33" s="20">
        <f ca="1">D33-E31</f>
        <v>119940.64962824534</v>
      </c>
      <c r="F33" s="20">
        <f t="shared" ref="F33:W33" ca="1" si="18">E33-F31</f>
        <v>107946.58466542081</v>
      </c>
      <c r="G33" s="20">
        <f t="shared" ca="1" si="18"/>
        <v>97144.912125801056</v>
      </c>
      <c r="H33" s="20">
        <f t="shared" ca="1" si="18"/>
        <v>87423.406840143274</v>
      </c>
      <c r="I33" s="20">
        <f t="shared" ca="1" si="18"/>
        <v>78683.87178536001</v>
      </c>
      <c r="J33" s="20">
        <f t="shared" ca="1" si="18"/>
        <v>70407.265553703313</v>
      </c>
      <c r="K33" s="20">
        <f t="shared" ca="1" si="18"/>
        <v>62116.631175891263</v>
      </c>
      <c r="L33" s="20">
        <f t="shared" ca="1" si="18"/>
        <v>53840.024944234567</v>
      </c>
      <c r="M33" s="20">
        <f t="shared" ca="1" si="18"/>
        <v>45549.390566422517</v>
      </c>
      <c r="N33" s="20">
        <f t="shared" ca="1" si="18"/>
        <v>37272.78433476582</v>
      </c>
      <c r="O33" s="20">
        <f t="shared" ca="1" si="18"/>
        <v>28982.149956953774</v>
      </c>
      <c r="P33" s="20">
        <f t="shared" ca="1" si="18"/>
        <v>20705.543725297081</v>
      </c>
      <c r="Q33" s="20">
        <f t="shared" ca="1" si="18"/>
        <v>12414.909347485034</v>
      </c>
      <c r="R33" s="20">
        <f t="shared" ca="1" si="18"/>
        <v>4138.3031158283393</v>
      </c>
      <c r="S33" s="20">
        <f t="shared" ca="1" si="18"/>
        <v>-8.1854523159563541E-12</v>
      </c>
      <c r="T33" s="20">
        <f t="shared" ca="1" si="18"/>
        <v>-8.1854523159563541E-12</v>
      </c>
      <c r="U33" s="20">
        <f t="shared" ca="1" si="18"/>
        <v>-8.1854523159563541E-12</v>
      </c>
      <c r="V33" s="20">
        <f t="shared" ca="1" si="18"/>
        <v>-8.1854523159563541E-12</v>
      </c>
      <c r="W33" s="20">
        <f t="shared" ca="1" si="18"/>
        <v>-8.1854523159563541E-12</v>
      </c>
      <c r="X33" s="20">
        <f ca="1">W33-X31</f>
        <v>-8.1854523159563541E-12</v>
      </c>
      <c r="Y33" s="20">
        <f ca="1">X33-Y31</f>
        <v>-8.1854523159563541E-12</v>
      </c>
      <c r="Z33" s="20">
        <f t="shared" ref="Z33:AH33" ca="1" si="19">Y33-Z31</f>
        <v>-8.1854523159563541E-12</v>
      </c>
      <c r="AA33" s="20">
        <f t="shared" ca="1" si="19"/>
        <v>-8.1854523159563541E-12</v>
      </c>
      <c r="AB33" s="20">
        <f t="shared" ca="1" si="19"/>
        <v>-8.1854523159563541E-12</v>
      </c>
      <c r="AC33" s="20">
        <f t="shared" ca="1" si="19"/>
        <v>-8.1854523159563541E-12</v>
      </c>
      <c r="AD33" s="20">
        <f t="shared" ca="1" si="19"/>
        <v>-8.1854523159563541E-12</v>
      </c>
      <c r="AE33" s="20">
        <f t="shared" ca="1" si="19"/>
        <v>-8.1854523159563541E-12</v>
      </c>
      <c r="AF33" s="20">
        <f t="shared" ca="1" si="19"/>
        <v>-8.1854523159563541E-12</v>
      </c>
      <c r="AG33" s="20">
        <f t="shared" ca="1" si="19"/>
        <v>-8.1854523159563541E-12</v>
      </c>
      <c r="AH33" s="20">
        <f t="shared" ca="1" si="19"/>
        <v>-8.1854523159563541E-12</v>
      </c>
    </row>
    <row r="34" spans="1:35" s="12" customFormat="1">
      <c r="A34" s="14"/>
      <c r="B34" s="14"/>
      <c r="C34" s="27"/>
      <c r="D34" s="4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5" s="12" customFormat="1">
      <c r="A35" s="1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5" s="12" customFormat="1">
      <c r="A36" s="31" t="s">
        <v>1049</v>
      </c>
    </row>
    <row r="37" spans="1:35" s="12" customFormat="1">
      <c r="A37" s="31"/>
      <c r="B37" s="33" t="s">
        <v>1042</v>
      </c>
      <c r="C37" s="42" t="s">
        <v>1050</v>
      </c>
    </row>
    <row r="38" spans="1:35" s="12" customFormat="1">
      <c r="A38" s="23" t="s">
        <v>1051</v>
      </c>
      <c r="B38" s="35">
        <f>Assum!$N$70</f>
        <v>30</v>
      </c>
      <c r="C38" s="43">
        <f>Assum!Q70</f>
        <v>0.1</v>
      </c>
      <c r="D38" s="286">
        <f>1/Assum!$N$70*D9/12*(1-$C$38)</f>
        <v>1.7500000000000002E-2</v>
      </c>
      <c r="E38" s="286">
        <f>IF(E6=Assum!$N$70,1/Assum!$N$70*(1-$C$38)-Dep!$D$38,IF(E6&lt;Assum!$N$70,1/Assum!$N$70*(1-$C$38),0))</f>
        <v>0.03</v>
      </c>
      <c r="F38" s="286">
        <f>IF(F6=Assum!$N$70,1/Assum!$N$70*(1-$C$38)-Dep!$D$38,IF(F6&lt;Assum!$N$70,1/Assum!$N$70*(1-$C$38),0))</f>
        <v>0.03</v>
      </c>
      <c r="G38" s="286">
        <f>IF(G6=Assum!$N$70,1/Assum!$N$70*(1-$C$38)-Dep!$D$38,IF(G6&lt;Assum!$N$70,1/Assum!$N$70*(1-$C$38),0))</f>
        <v>0.03</v>
      </c>
      <c r="H38" s="286">
        <f>IF(H6=Assum!$N$70,1/Assum!$N$70*(1-$C$38)-Dep!$D$38,IF(H6&lt;Assum!$N$70,1/Assum!$N$70*(1-$C$38),0))</f>
        <v>0.03</v>
      </c>
      <c r="I38" s="286">
        <f>IF(I6=Assum!$N$70,1/Assum!$N$70*(1-$C$38)-Dep!$D$38,IF(I6&lt;Assum!$N$70,1/Assum!$N$70*(1-$C$38),0))</f>
        <v>0.03</v>
      </c>
      <c r="J38" s="286">
        <f>IF(J6=Assum!$N$70,1/Assum!$N$70*(1-$C$38)-Dep!$D$38,IF(J6&lt;Assum!$N$70,1/Assum!$N$70*(1-$C$38),0))</f>
        <v>0.03</v>
      </c>
      <c r="K38" s="286">
        <f>IF(K6=Assum!$N$70,1/Assum!$N$70*(1-$C$38)-Dep!$D$38,IF(K6&lt;Assum!$N$70,1/Assum!$N$70*(1-$C$38),0))</f>
        <v>0.03</v>
      </c>
      <c r="L38" s="286">
        <f>IF(L6=Assum!$N$70,1/Assum!$N$70*(1-$C$38)-Dep!$D$38,IF(L6&lt;Assum!$N$70,1/Assum!$N$70*(1-$C$38),0))</f>
        <v>0.03</v>
      </c>
      <c r="M38" s="286">
        <f>IF(M6=Assum!$N$70,1/Assum!$N$70*(1-$C$38)-Dep!$D$38,IF(M6&lt;Assum!$N$70,1/Assum!$N$70*(1-$C$38),0))</f>
        <v>0.03</v>
      </c>
      <c r="N38" s="286">
        <f>IF(N6=Assum!$N$70,1/Assum!$N$70*(1-$C$38)-Dep!$D$38,IF(N6&lt;Assum!$N$70,1/Assum!$N$70*(1-$C$38),0))</f>
        <v>0.03</v>
      </c>
      <c r="O38" s="286">
        <f>IF(O6=Assum!$N$70,1/Assum!$N$70*(1-$C$38)-Dep!$D$38,IF(O6&lt;Assum!$N$70,1/Assum!$N$70*(1-$C$38),0))</f>
        <v>0.03</v>
      </c>
      <c r="P38" s="286">
        <f>IF(P6=Assum!$N$70,1/Assum!$N$70*(1-$C$38)-Dep!$D$38,IF(P6&lt;Assum!$N$70,1/Assum!$N$70*(1-$C$38),0))</f>
        <v>0.03</v>
      </c>
      <c r="Q38" s="286">
        <f>IF(Q6=Assum!$N$70,1/Assum!$N$70*(1-$C$38)-Dep!$D$38,IF(Q6&lt;Assum!$N$70,1/Assum!$N$70*(1-$C$38),0))</f>
        <v>0.03</v>
      </c>
      <c r="R38" s="286">
        <f>IF(R6=Assum!$N$70,1/Assum!$N$70*(1-$C$38)-Dep!$D$38,IF(R6&lt;Assum!$N$70,1/Assum!$N$70*(1-$C$38),0))</f>
        <v>0.03</v>
      </c>
      <c r="S38" s="286">
        <f>IF(S6=Assum!$N$70,1/Assum!$N$70*(1-$C$38)-Dep!$D$38,IF(S6&lt;Assum!$N$70,1/Assum!$N$70*(1-$C$38),0))</f>
        <v>0.03</v>
      </c>
      <c r="T38" s="286">
        <f>IF(T6=Assum!$N$70,1/Assum!$N$70*(1-$C$38)-Dep!$D$38,IF(T6&lt;Assum!$N$70,1/Assum!$N$70*(1-$C$38),0))</f>
        <v>0.03</v>
      </c>
      <c r="U38" s="286">
        <f>IF(U6=Assum!$N$70,1/Assum!$N$70*(1-$C$38)-Dep!$D$38,IF(U6&lt;Assum!$N$70,1/Assum!$N$70*(1-$C$38),0))</f>
        <v>0.03</v>
      </c>
      <c r="V38" s="286">
        <f>IF(V6=Assum!$N$70,1/Assum!$N$70*(1-$C$38)-Dep!$D$38,IF(V6&lt;Assum!$N$70,1/Assum!$N$70*(1-$C$38),0))</f>
        <v>0.03</v>
      </c>
      <c r="W38" s="286">
        <f>IF(W6=Assum!$N$70,1/Assum!$N$70*(1-$C$38)-Dep!$D$38,IF(W6&lt;Assum!$N$70,1/Assum!$N$70*(1-$C$38),0))</f>
        <v>0.03</v>
      </c>
      <c r="X38" s="286">
        <f>IF(X6=Assum!$N$70,1/Assum!$N$70*(1-$C$38)-Dep!$D$38,IF(X6&lt;Assum!$N$70,1/Assum!$N$70*(1-$C$38),0))</f>
        <v>0.03</v>
      </c>
      <c r="Y38" s="286">
        <f>IF(Y6=Assum!$N$70,1/Assum!$N$70*(1-$C$38)-Dep!$D$38,IF(Y6&lt;Assum!$N$70,1/Assum!$N$70*(1-$C$38),0))</f>
        <v>0.03</v>
      </c>
      <c r="Z38" s="286">
        <f>IF(Z6=Assum!$N$70,1/Assum!$N$70*(1-$C$38)-Dep!$D$38,IF(Z6&lt;Assum!$N$70,1/Assum!$N$70*(1-$C$38),0))</f>
        <v>0.03</v>
      </c>
      <c r="AA38" s="286">
        <f>IF(AA6=Assum!$N$70,1/Assum!$N$70*(1-$C$38)-Dep!$D$38,IF(AA6&lt;Assum!$N$70,1/Assum!$N$70*(1-$C$38),0))</f>
        <v>0.03</v>
      </c>
      <c r="AB38" s="286">
        <f>IF(AB6=Assum!$N$70,1/Assum!$N$70*(1-$C$38)-Dep!$D$38,IF(AB6&lt;Assum!$N$70,1/Assum!$N$70*(1-$C$38),0))</f>
        <v>0.03</v>
      </c>
      <c r="AC38" s="286">
        <f>IF(AC6=Assum!$N$70,1/Assum!$N$70*(1-$C$38)-Dep!$D$38,IF(AC6&lt;Assum!$N$70,1/Assum!$N$70*(1-$C$38),0))</f>
        <v>0.03</v>
      </c>
      <c r="AD38" s="286">
        <f>IF(AD6=Assum!$N$70,1/Assum!$N$70*(1-$C$38)-Dep!$D$38,IF(AD6&lt;Assum!$N$70,1/Assum!$N$70*(1-$C$38),0))</f>
        <v>0.03</v>
      </c>
      <c r="AE38" s="286">
        <f>IF(AE6=Assum!$N$70,1/Assum!$N$70*(1-$C$38)-Dep!$D$38,IF(AE6&lt;Assum!$N$70,1/Assum!$N$70*(1-$C$38),0))</f>
        <v>0.03</v>
      </c>
      <c r="AF38" s="286">
        <f>IF(AF6=Assum!$N$70,1/Assum!$N$70*(1-$C$38)-Dep!$D$38,IF(AF6&lt;Assum!$N$70,1/Assum!$N$70*(1-$C$38),0))</f>
        <v>0.03</v>
      </c>
      <c r="AG38" s="286">
        <f>IF(AG6=Assum!$N$70,1/Assum!$N$70*(1-$C$38)-Dep!$D$38,IF(AG6&lt;Assum!$N$70,1/Assum!$N$70*(1-$C$38),0))</f>
        <v>0.03</v>
      </c>
      <c r="AH38" s="286">
        <f>IF(AH6=Assum!$N$70,1/Assum!$N$70*(1-$C$38)-Dep!$D$38,IF(AH6&lt;Assum!$N$70,1/Assum!$N$70*(1-$C$38),0))</f>
        <v>0</v>
      </c>
      <c r="AI38" s="1134"/>
    </row>
    <row r="39" spans="1:35" s="12" customFormat="1">
      <c r="A39" s="24" t="s">
        <v>1044</v>
      </c>
      <c r="B39" s="38">
        <f>Assum!$N$71</f>
        <v>20</v>
      </c>
      <c r="C39" s="27"/>
      <c r="D39" s="286">
        <f>1/Assum!$N$71*D9/12</f>
        <v>2.9166666666666671E-2</v>
      </c>
      <c r="E39" s="286">
        <f>IF(AND(E6&gt;=Assum!$N$71, D6&lt;Assum!$N$71),1/Assum!$N$71-Dep!$D$39,IF(E6&lt;Assum!$N$71,1/Assum!$N$71,0))</f>
        <v>0.05</v>
      </c>
      <c r="F39" s="286">
        <f>IF(AND(F6&gt;=Assum!$N$71, E6&lt;Assum!$N$71),1/Assum!$N$71-Dep!$D$39,IF(F6&lt;Assum!$N$71,1/Assum!$N$71,0))</f>
        <v>0.05</v>
      </c>
      <c r="G39" s="286">
        <f>IF(AND(G6&gt;=Assum!$N$71, F6&lt;Assum!$N$71),1/Assum!$N$71-Dep!$D$39,IF(G6&lt;Assum!$N$71,1/Assum!$N$71,0))</f>
        <v>0.05</v>
      </c>
      <c r="H39" s="286">
        <f>IF(AND(H6&gt;=Assum!$N$71, G6&lt;Assum!$N$71),1/Assum!$N$71-Dep!$D$39,IF(H6&lt;Assum!$N$71,1/Assum!$N$71,0))</f>
        <v>0.05</v>
      </c>
      <c r="I39" s="286">
        <f>IF(AND(I6&gt;=Assum!$N$71, H6&lt;Assum!$N$71),1/Assum!$N$71-Dep!$D$39,IF(I6&lt;Assum!$N$71,1/Assum!$N$71,0))</f>
        <v>0.05</v>
      </c>
      <c r="J39" s="286">
        <f>IF(AND(J6&gt;=Assum!$N$71, I6&lt;Assum!$N$71),1/Assum!$N$71-Dep!$D$39,IF(J6&lt;Assum!$N$71,1/Assum!$N$71,0))</f>
        <v>0.05</v>
      </c>
      <c r="K39" s="286">
        <f>IF(AND(K6&gt;=Assum!$N$71, J6&lt;Assum!$N$71),1/Assum!$N$71-Dep!$D$39,IF(K6&lt;Assum!$N$71,1/Assum!$N$71,0))</f>
        <v>0.05</v>
      </c>
      <c r="L39" s="286">
        <f>IF(AND(L6&gt;=Assum!$N$71, K6&lt;Assum!$N$71),1/Assum!$N$71-Dep!$D$39,IF(L6&lt;Assum!$N$71,1/Assum!$N$71,0))</f>
        <v>0.05</v>
      </c>
      <c r="M39" s="286">
        <f>IF(AND(M6&gt;=Assum!$N$71, L6&lt;Assum!$N$71),1/Assum!$N$71-Dep!$D$39,IF(M6&lt;Assum!$N$71,1/Assum!$N$71,0))</f>
        <v>0.05</v>
      </c>
      <c r="N39" s="286">
        <f>IF(AND(N6&gt;=Assum!$N$71, M6&lt;Assum!$N$71),1/Assum!$N$71-Dep!$D$39,IF(N6&lt;Assum!$N$71,1/Assum!$N$71,0))</f>
        <v>0.05</v>
      </c>
      <c r="O39" s="286">
        <f>IF(AND(O6&gt;=Assum!$N$71, N6&lt;Assum!$N$71),1/Assum!$N$71-Dep!$D$39,IF(O6&lt;Assum!$N$71,1/Assum!$N$71,0))</f>
        <v>0.05</v>
      </c>
      <c r="P39" s="286">
        <f>IF(AND(P6&gt;=Assum!$N$71, O6&lt;Assum!$N$71),1/Assum!$N$71-Dep!$D$39,IF(P6&lt;Assum!$N$71,1/Assum!$N$71,0))</f>
        <v>0.05</v>
      </c>
      <c r="Q39" s="286">
        <f>IF(AND(Q6&gt;=Assum!$N$71, P6&lt;Assum!$N$71),1/Assum!$N$71-Dep!$D$39,IF(Q6&lt;Assum!$N$71,1/Assum!$N$71,0))</f>
        <v>0.05</v>
      </c>
      <c r="R39" s="286">
        <f>IF(AND(R6&gt;=Assum!$N$71, Q6&lt;Assum!$N$71),1/Assum!$N$71-Dep!$D$39,IF(R6&lt;Assum!$N$71,1/Assum!$N$71,0))</f>
        <v>0.05</v>
      </c>
      <c r="S39" s="286">
        <f>IF(AND(S6&gt;=Assum!$N$71, R6&lt;Assum!$N$71),1/Assum!$N$71-Dep!$D$39,IF(S6&lt;Assum!$N$71,1/Assum!$N$71,0))</f>
        <v>0.05</v>
      </c>
      <c r="T39" s="286">
        <f>IF(AND(T6&gt;=Assum!$N$71, S6&lt;Assum!$N$71),1/Assum!$N$71-Dep!$D$39,IF(T6&lt;Assum!$N$71,1/Assum!$N$71,0))</f>
        <v>0.05</v>
      </c>
      <c r="U39" s="286">
        <f>IF(AND(U6&gt;=Assum!$N$71, T6&lt;Assum!$N$71),1/Assum!$N$71-Dep!$D$39,IF(U6&lt;Assum!$N$71,1/Assum!$N$71,0))</f>
        <v>0.05</v>
      </c>
      <c r="V39" s="286">
        <f>IF(AND(V6&gt;=Assum!$N$71, U6&lt;Assum!$N$71),1/Assum!$N$71-Dep!$D$39,IF(V6&lt;Assum!$N$71,1/Assum!$N$71,0))</f>
        <v>0.05</v>
      </c>
      <c r="W39" s="286">
        <f>IF(AND(W6&gt;=Assum!$N$71, V6&lt;Assum!$N$71),1/Assum!$N$71-Dep!$D$39,IF(W6&lt;Assum!$N$71,1/Assum!$N$71,0))</f>
        <v>0.05</v>
      </c>
      <c r="X39" s="286">
        <f>IF(AND(X6&gt;=Assum!$N$71, W6&lt;Assum!$N$71),1/Assum!$N$71-Dep!$D$39,IF(X6&lt;Assum!$N$71,1/Assum!$N$71,0))</f>
        <v>2.0833333333333332E-2</v>
      </c>
      <c r="Y39" s="286">
        <f>IF(AND(Y6&gt;=Assum!$N$71, X6&lt;Assum!$N$71),1/Assum!$N$71-Dep!$D$39,IF(Y6&lt;Assum!$N$71,1/Assum!$N$71,0))</f>
        <v>0</v>
      </c>
      <c r="Z39" s="286">
        <f>IF(AND(Z6&gt;=Assum!$N$71, Y6&lt;Assum!$N$71),1/Assum!$N$71-Dep!$D$39,IF(Z6&lt;Assum!$N$71,1/Assum!$N$71,0))</f>
        <v>0</v>
      </c>
      <c r="AA39" s="286">
        <f>IF(AND(AA6&gt;=Assum!$N$71, Z6&lt;Assum!$N$71),1/Assum!$N$71-Dep!$D$39,IF(AA6&lt;Assum!$N$71,1/Assum!$N$71,0))</f>
        <v>0</v>
      </c>
      <c r="AB39" s="286">
        <f>IF(AND(AB6&gt;=Assum!$N$71, AA6&lt;Assum!$N$71),1/Assum!$N$71-Dep!$D$39,IF(AB6&lt;Assum!$N$71,1/Assum!$N$71,0))</f>
        <v>0</v>
      </c>
      <c r="AC39" s="286">
        <f>IF(AND(AC6&gt;=Assum!$N$71, AB6&lt;Assum!$N$71),1/Assum!$N$71-Dep!$D$39,IF(AC6&lt;Assum!$N$71,1/Assum!$N$71,0))</f>
        <v>0</v>
      </c>
      <c r="AD39" s="286">
        <f>IF(AND(AD6&gt;=Assum!$N$71, AC6&lt;Assum!$N$71),1/Assum!$N$71-Dep!$D$39,IF(AD6&lt;Assum!$N$71,1/Assum!$N$71,0))</f>
        <v>0</v>
      </c>
      <c r="AE39" s="286">
        <f>IF(AND(AE6&gt;=Assum!$N$71, AD6&lt;Assum!$N$71),1/Assum!$N$71-Dep!$D$39,IF(AE6&lt;Assum!$N$71,1/Assum!$N$71,0))</f>
        <v>0</v>
      </c>
      <c r="AF39" s="286">
        <f>IF(AND(AF6&gt;=Assum!$N$71, AE6&lt;Assum!$N$71),1/Assum!$N$71-Dep!$D$39,IF(AF6&lt;Assum!$N$71,1/Assum!$N$71,0))</f>
        <v>0</v>
      </c>
      <c r="AG39" s="286">
        <f>IF(AND(AG6&gt;=Assum!$N$71, AF6&lt;Assum!$N$71),1/Assum!$N$71-Dep!$D$39,IF(AG6&lt;Assum!$N$71,1/Assum!$N$71,0))</f>
        <v>0</v>
      </c>
      <c r="AH39" s="286">
        <f>IF(AND(AH6&gt;=Assum!$N$71, AG6&lt;Assum!$N$71),1/Assum!$N$71-Dep!$D$39,IF(AH6&lt;Assum!$N$71,1/Assum!$N$71,0))</f>
        <v>0</v>
      </c>
    </row>
    <row r="40" spans="1:35" s="12" customFormat="1">
      <c r="A40" s="14"/>
      <c r="B40" s="33"/>
      <c r="C40" s="27"/>
    </row>
    <row r="41" spans="1:35" s="12" customFormat="1">
      <c r="A41" s="23" t="s">
        <v>1051</v>
      </c>
      <c r="B41" s="109">
        <f ca="1">B17</f>
        <v>140281.46155350332</v>
      </c>
      <c r="C41" s="110"/>
      <c r="D41" s="111">
        <f ca="1">D38*$B$41</f>
        <v>2454.9255771863086</v>
      </c>
      <c r="E41" s="111">
        <f t="shared" ref="E41:Y41" ca="1" si="20">E38*$B$41</f>
        <v>4208.4438466050997</v>
      </c>
      <c r="F41" s="111">
        <f t="shared" ca="1" si="20"/>
        <v>4208.4438466050997</v>
      </c>
      <c r="G41" s="111">
        <f t="shared" ca="1" si="20"/>
        <v>4208.4438466050997</v>
      </c>
      <c r="H41" s="111">
        <f t="shared" ca="1" si="20"/>
        <v>4208.4438466050997</v>
      </c>
      <c r="I41" s="111">
        <f t="shared" ca="1" si="20"/>
        <v>4208.4438466050997</v>
      </c>
      <c r="J41" s="111">
        <f t="shared" ca="1" si="20"/>
        <v>4208.4438466050997</v>
      </c>
      <c r="K41" s="111">
        <f t="shared" ca="1" si="20"/>
        <v>4208.4438466050997</v>
      </c>
      <c r="L41" s="111">
        <f t="shared" ca="1" si="20"/>
        <v>4208.4438466050997</v>
      </c>
      <c r="M41" s="111">
        <f t="shared" ca="1" si="20"/>
        <v>4208.4438466050997</v>
      </c>
      <c r="N41" s="111">
        <f t="shared" ca="1" si="20"/>
        <v>4208.4438466050997</v>
      </c>
      <c r="O41" s="111">
        <f t="shared" ca="1" si="20"/>
        <v>4208.4438466050997</v>
      </c>
      <c r="P41" s="111">
        <f t="shared" ca="1" si="20"/>
        <v>4208.4438466050997</v>
      </c>
      <c r="Q41" s="111">
        <f t="shared" ca="1" si="20"/>
        <v>4208.4438466050997</v>
      </c>
      <c r="R41" s="111">
        <f t="shared" ca="1" si="20"/>
        <v>4208.4438466050997</v>
      </c>
      <c r="S41" s="111">
        <f t="shared" ca="1" si="20"/>
        <v>4208.4438466050997</v>
      </c>
      <c r="T41" s="111">
        <f t="shared" ca="1" si="20"/>
        <v>4208.4438466050997</v>
      </c>
      <c r="U41" s="111">
        <f t="shared" ca="1" si="20"/>
        <v>4208.4438466050997</v>
      </c>
      <c r="V41" s="111">
        <f t="shared" ca="1" si="20"/>
        <v>4208.4438466050997</v>
      </c>
      <c r="W41" s="111">
        <f t="shared" ca="1" si="20"/>
        <v>4208.4438466050997</v>
      </c>
      <c r="X41" s="111">
        <f t="shared" ca="1" si="20"/>
        <v>4208.4438466050997</v>
      </c>
      <c r="Y41" s="111">
        <f t="shared" ca="1" si="20"/>
        <v>4208.4438466050997</v>
      </c>
      <c r="Z41" s="111">
        <f t="shared" ref="Z41:AH41" ca="1" si="21">Z38*$B$41</f>
        <v>4208.4438466050997</v>
      </c>
      <c r="AA41" s="111">
        <f t="shared" ca="1" si="21"/>
        <v>4208.4438466050997</v>
      </c>
      <c r="AB41" s="111">
        <f t="shared" ca="1" si="21"/>
        <v>4208.4438466050997</v>
      </c>
      <c r="AC41" s="111">
        <f t="shared" ca="1" si="21"/>
        <v>4208.4438466050997</v>
      </c>
      <c r="AD41" s="111">
        <f t="shared" ca="1" si="21"/>
        <v>4208.4438466050997</v>
      </c>
      <c r="AE41" s="111">
        <f t="shared" ca="1" si="21"/>
        <v>4208.4438466050997</v>
      </c>
      <c r="AF41" s="111">
        <f t="shared" ca="1" si="21"/>
        <v>4208.4438466050997</v>
      </c>
      <c r="AG41" s="111">
        <f t="shared" ca="1" si="21"/>
        <v>4208.4438466050997</v>
      </c>
      <c r="AH41" s="111">
        <f t="shared" ca="1" si="21"/>
        <v>0</v>
      </c>
    </row>
    <row r="42" spans="1:35" s="12" customFormat="1" ht="15">
      <c r="A42" s="24" t="s">
        <v>1044</v>
      </c>
      <c r="B42" s="112">
        <f>B18</f>
        <v>0</v>
      </c>
      <c r="C42" s="110"/>
      <c r="D42" s="113">
        <f t="shared" ref="D42:Y42" si="22">D39*$B$42</f>
        <v>0</v>
      </c>
      <c r="E42" s="113">
        <f t="shared" si="22"/>
        <v>0</v>
      </c>
      <c r="F42" s="113">
        <f t="shared" si="22"/>
        <v>0</v>
      </c>
      <c r="G42" s="113">
        <f t="shared" si="22"/>
        <v>0</v>
      </c>
      <c r="H42" s="113">
        <f t="shared" si="22"/>
        <v>0</v>
      </c>
      <c r="I42" s="113">
        <f t="shared" si="22"/>
        <v>0</v>
      </c>
      <c r="J42" s="113">
        <f t="shared" si="22"/>
        <v>0</v>
      </c>
      <c r="K42" s="113">
        <f t="shared" si="22"/>
        <v>0</v>
      </c>
      <c r="L42" s="113">
        <f t="shared" si="22"/>
        <v>0</v>
      </c>
      <c r="M42" s="113">
        <f t="shared" si="22"/>
        <v>0</v>
      </c>
      <c r="N42" s="113">
        <f t="shared" si="22"/>
        <v>0</v>
      </c>
      <c r="O42" s="113">
        <f t="shared" si="22"/>
        <v>0</v>
      </c>
      <c r="P42" s="113">
        <f t="shared" si="22"/>
        <v>0</v>
      </c>
      <c r="Q42" s="113">
        <f t="shared" si="22"/>
        <v>0</v>
      </c>
      <c r="R42" s="113">
        <f t="shared" si="22"/>
        <v>0</v>
      </c>
      <c r="S42" s="113">
        <f t="shared" si="22"/>
        <v>0</v>
      </c>
      <c r="T42" s="113">
        <f t="shared" si="22"/>
        <v>0</v>
      </c>
      <c r="U42" s="113">
        <f t="shared" si="22"/>
        <v>0</v>
      </c>
      <c r="V42" s="113">
        <f t="shared" si="22"/>
        <v>0</v>
      </c>
      <c r="W42" s="113">
        <f t="shared" si="22"/>
        <v>0</v>
      </c>
      <c r="X42" s="113">
        <f t="shared" si="22"/>
        <v>0</v>
      </c>
      <c r="Y42" s="113">
        <f t="shared" si="22"/>
        <v>0</v>
      </c>
      <c r="Z42" s="113">
        <f t="shared" ref="Z42:AH42" si="23">Z39*$B$42</f>
        <v>0</v>
      </c>
      <c r="AA42" s="113">
        <f t="shared" si="23"/>
        <v>0</v>
      </c>
      <c r="AB42" s="113">
        <f t="shared" si="23"/>
        <v>0</v>
      </c>
      <c r="AC42" s="113">
        <f t="shared" si="23"/>
        <v>0</v>
      </c>
      <c r="AD42" s="113">
        <f t="shared" si="23"/>
        <v>0</v>
      </c>
      <c r="AE42" s="113">
        <f t="shared" si="23"/>
        <v>0</v>
      </c>
      <c r="AF42" s="113">
        <f t="shared" si="23"/>
        <v>0</v>
      </c>
      <c r="AG42" s="113">
        <f t="shared" si="23"/>
        <v>0</v>
      </c>
      <c r="AH42" s="113">
        <f t="shared" si="23"/>
        <v>0</v>
      </c>
    </row>
    <row r="43" spans="1:35" s="12" customFormat="1">
      <c r="A43" s="18" t="s">
        <v>1046</v>
      </c>
      <c r="B43" s="111">
        <f ca="1">SUM(B41:B42)</f>
        <v>140281.46155350332</v>
      </c>
      <c r="C43" s="110"/>
      <c r="D43" s="111">
        <f t="shared" ref="D43:Y43" ca="1" si="24">SUM(D41:D42)</f>
        <v>2454.9255771863086</v>
      </c>
      <c r="E43" s="111">
        <f t="shared" ca="1" si="24"/>
        <v>4208.4438466050997</v>
      </c>
      <c r="F43" s="111">
        <f t="shared" ca="1" si="24"/>
        <v>4208.4438466050997</v>
      </c>
      <c r="G43" s="111">
        <f t="shared" ca="1" si="24"/>
        <v>4208.4438466050997</v>
      </c>
      <c r="H43" s="111">
        <f t="shared" ca="1" si="24"/>
        <v>4208.4438466050997</v>
      </c>
      <c r="I43" s="111">
        <f t="shared" ca="1" si="24"/>
        <v>4208.4438466050997</v>
      </c>
      <c r="J43" s="111">
        <f t="shared" ca="1" si="24"/>
        <v>4208.4438466050997</v>
      </c>
      <c r="K43" s="111">
        <f t="shared" ca="1" si="24"/>
        <v>4208.4438466050997</v>
      </c>
      <c r="L43" s="111">
        <f t="shared" ca="1" si="24"/>
        <v>4208.4438466050997</v>
      </c>
      <c r="M43" s="111">
        <f t="shared" ca="1" si="24"/>
        <v>4208.4438466050997</v>
      </c>
      <c r="N43" s="111">
        <f t="shared" ca="1" si="24"/>
        <v>4208.4438466050997</v>
      </c>
      <c r="O43" s="111">
        <f t="shared" ca="1" si="24"/>
        <v>4208.4438466050997</v>
      </c>
      <c r="P43" s="111">
        <f t="shared" ca="1" si="24"/>
        <v>4208.4438466050997</v>
      </c>
      <c r="Q43" s="111">
        <f t="shared" ca="1" si="24"/>
        <v>4208.4438466050997</v>
      </c>
      <c r="R43" s="111">
        <f t="shared" ca="1" si="24"/>
        <v>4208.4438466050997</v>
      </c>
      <c r="S43" s="111">
        <f t="shared" ca="1" si="24"/>
        <v>4208.4438466050997</v>
      </c>
      <c r="T43" s="111">
        <f t="shared" ca="1" si="24"/>
        <v>4208.4438466050997</v>
      </c>
      <c r="U43" s="111">
        <f t="shared" ca="1" si="24"/>
        <v>4208.4438466050997</v>
      </c>
      <c r="V43" s="111">
        <f t="shared" ca="1" si="24"/>
        <v>4208.4438466050997</v>
      </c>
      <c r="W43" s="111">
        <f t="shared" ca="1" si="24"/>
        <v>4208.4438466050997</v>
      </c>
      <c r="X43" s="111">
        <f t="shared" ca="1" si="24"/>
        <v>4208.4438466050997</v>
      </c>
      <c r="Y43" s="111">
        <f t="shared" ca="1" si="24"/>
        <v>4208.4438466050997</v>
      </c>
      <c r="Z43" s="111">
        <f t="shared" ref="Z43:AH43" ca="1" si="25">SUM(Z41:Z42)</f>
        <v>4208.4438466050997</v>
      </c>
      <c r="AA43" s="111">
        <f t="shared" ca="1" si="25"/>
        <v>4208.4438466050997</v>
      </c>
      <c r="AB43" s="111">
        <f t="shared" ca="1" si="25"/>
        <v>4208.4438466050997</v>
      </c>
      <c r="AC43" s="111">
        <f t="shared" ca="1" si="25"/>
        <v>4208.4438466050997</v>
      </c>
      <c r="AD43" s="111">
        <f t="shared" ca="1" si="25"/>
        <v>4208.4438466050997</v>
      </c>
      <c r="AE43" s="111">
        <f t="shared" ca="1" si="25"/>
        <v>4208.4438466050997</v>
      </c>
      <c r="AF43" s="111">
        <f t="shared" ca="1" si="25"/>
        <v>4208.4438466050997</v>
      </c>
      <c r="AG43" s="111">
        <f t="shared" ca="1" si="25"/>
        <v>4208.4438466050997</v>
      </c>
      <c r="AH43" s="111">
        <f t="shared" ca="1" si="25"/>
        <v>0</v>
      </c>
    </row>
    <row r="44" spans="1:35">
      <c r="A44" s="24"/>
    </row>
    <row r="45" spans="1:35" s="28" customFormat="1">
      <c r="A45" s="18" t="s">
        <v>1052</v>
      </c>
      <c r="B45" s="29">
        <f ca="1">B43</f>
        <v>140281.46155350332</v>
      </c>
      <c r="C45" s="27"/>
      <c r="D45" s="111">
        <f ca="1">B43-D43</f>
        <v>137826.53597631701</v>
      </c>
      <c r="E45" s="111">
        <f ca="1">D45-E43</f>
        <v>133618.09212971191</v>
      </c>
      <c r="F45" s="111">
        <f t="shared" ref="F45:Y45" ca="1" si="26">E45-F43</f>
        <v>129409.6482831068</v>
      </c>
      <c r="G45" s="111">
        <f t="shared" ca="1" si="26"/>
        <v>125201.20443650169</v>
      </c>
      <c r="H45" s="111">
        <f t="shared" ca="1" si="26"/>
        <v>120992.76058989658</v>
      </c>
      <c r="I45" s="111">
        <f t="shared" ca="1" si="26"/>
        <v>116784.31674329148</v>
      </c>
      <c r="J45" s="111">
        <f t="shared" ca="1" si="26"/>
        <v>112575.87289668637</v>
      </c>
      <c r="K45" s="111">
        <f t="shared" ca="1" si="26"/>
        <v>108367.42905008126</v>
      </c>
      <c r="L45" s="111">
        <f t="shared" ca="1" si="26"/>
        <v>104158.98520347616</v>
      </c>
      <c r="M45" s="111">
        <f t="shared" ca="1" si="26"/>
        <v>99950.54135687105</v>
      </c>
      <c r="N45" s="111">
        <f t="shared" ca="1" si="26"/>
        <v>95742.097510265943</v>
      </c>
      <c r="O45" s="111">
        <f t="shared" ca="1" si="26"/>
        <v>91533.653663660836</v>
      </c>
      <c r="P45" s="111">
        <f t="shared" ca="1" si="26"/>
        <v>87325.209817055729</v>
      </c>
      <c r="Q45" s="111">
        <f t="shared" ca="1" si="26"/>
        <v>83116.765970450622</v>
      </c>
      <c r="R45" s="111">
        <f t="shared" ca="1" si="26"/>
        <v>78908.322123845515</v>
      </c>
      <c r="S45" s="111">
        <f t="shared" ca="1" si="26"/>
        <v>74699.878277240408</v>
      </c>
      <c r="T45" s="111">
        <f t="shared" ca="1" si="26"/>
        <v>70491.434430635301</v>
      </c>
      <c r="U45" s="111">
        <f t="shared" ca="1" si="26"/>
        <v>66282.990584030194</v>
      </c>
      <c r="V45" s="111">
        <f t="shared" ca="1" si="26"/>
        <v>62074.546737425095</v>
      </c>
      <c r="W45" s="111">
        <f t="shared" ca="1" si="26"/>
        <v>57866.102890819995</v>
      </c>
      <c r="X45" s="111">
        <f t="shared" ca="1" si="26"/>
        <v>53657.659044214895</v>
      </c>
      <c r="Y45" s="111">
        <f t="shared" ca="1" si="26"/>
        <v>49449.215197609796</v>
      </c>
      <c r="Z45" s="111">
        <f t="shared" ref="Z45:AH45" ca="1" si="27">Y45-Z43</f>
        <v>45240.771351004696</v>
      </c>
      <c r="AA45" s="111">
        <f t="shared" ca="1" si="27"/>
        <v>41032.327504399596</v>
      </c>
      <c r="AB45" s="111">
        <f t="shared" ca="1" si="27"/>
        <v>36823.883657794497</v>
      </c>
      <c r="AC45" s="111">
        <f t="shared" ca="1" si="27"/>
        <v>32615.439811189397</v>
      </c>
      <c r="AD45" s="111">
        <f t="shared" ca="1" si="27"/>
        <v>28406.995964584297</v>
      </c>
      <c r="AE45" s="111">
        <f t="shared" ca="1" si="27"/>
        <v>24198.552117979198</v>
      </c>
      <c r="AF45" s="111">
        <f t="shared" ca="1" si="27"/>
        <v>19990.108271374098</v>
      </c>
      <c r="AG45" s="111">
        <f t="shared" ca="1" si="27"/>
        <v>15781.664424768998</v>
      </c>
      <c r="AH45" s="111">
        <f t="shared" ca="1" si="27"/>
        <v>15781.664424768998</v>
      </c>
    </row>
  </sheetData>
  <pageMargins left="0.45" right="0.45" top="0.5" bottom="0.5" header="0.25" footer="0.25"/>
  <pageSetup scale="52" fitToWidth="2" orientation="landscape" r:id="rId1"/>
  <headerFooter alignWithMargins="0">
    <oddFooter xml:space="preserve">&amp;L&amp;T, &amp;D&amp;C&amp;F&amp;R&amp;P </oddFooter>
  </headerFooter>
  <colBreaks count="1" manualBreakCount="1">
    <brk id="18" min="1" max="4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IV61"/>
  <sheetViews>
    <sheetView showGridLines="0" topLeftCell="A24" zoomScale="75" zoomScaleNormal="75" workbookViewId="0">
      <selection activeCell="A60" sqref="A60"/>
    </sheetView>
  </sheetViews>
  <sheetFormatPr defaultRowHeight="12.75"/>
  <cols>
    <col min="1" max="1" width="51.7109375" style="14" customWidth="1"/>
    <col min="2" max="2" width="11.7109375" style="14" customWidth="1"/>
    <col min="3" max="18" width="10.5703125" style="14" customWidth="1"/>
    <col min="19" max="16384" width="9.140625" style="5"/>
  </cols>
  <sheetData>
    <row r="2" spans="1:256" ht="18.75">
      <c r="A2" s="126" t="str">
        <f>Assum!A2</f>
        <v xml:space="preserve">PROJECT NAME: PLANO </v>
      </c>
    </row>
    <row r="4" spans="1:256" ht="18.75">
      <c r="A4" s="91" t="s">
        <v>1116</v>
      </c>
      <c r="B4" s="11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256">
      <c r="A5" s="96"/>
      <c r="B5" s="119"/>
      <c r="C5" s="16"/>
      <c r="D5" s="16"/>
      <c r="E5" s="16"/>
      <c r="F5" s="16"/>
      <c r="G5" s="16"/>
      <c r="H5" s="16"/>
      <c r="I5" s="116"/>
      <c r="J5" s="16"/>
      <c r="K5" s="16"/>
      <c r="L5" s="16"/>
      <c r="M5" s="16"/>
      <c r="N5" s="16"/>
      <c r="O5" s="116"/>
      <c r="P5" s="16"/>
      <c r="Q5" s="16"/>
      <c r="R5" s="16"/>
    </row>
    <row r="6" spans="1:256">
      <c r="A6" s="173"/>
      <c r="B6" s="326">
        <f>'Power Price'!C9</f>
        <v>0.58333333333333337</v>
      </c>
      <c r="C6" s="326">
        <f>'Power Price'!D9</f>
        <v>1.5833333333333335</v>
      </c>
      <c r="D6" s="326">
        <f>'Power Price'!E9</f>
        <v>2.5833333333333335</v>
      </c>
      <c r="E6" s="326">
        <f>'Power Price'!F9</f>
        <v>3.5833333333333335</v>
      </c>
      <c r="F6" s="326">
        <f>'Power Price'!G9</f>
        <v>4.5833333333333339</v>
      </c>
      <c r="G6" s="326">
        <f>'Power Price'!H9</f>
        <v>5.5833333333333339</v>
      </c>
      <c r="H6" s="326">
        <f>'Power Price'!I9</f>
        <v>6.5833333333333339</v>
      </c>
      <c r="I6" s="326">
        <f>'Power Price'!J9</f>
        <v>7.5833333333333339</v>
      </c>
      <c r="J6" s="326">
        <f>'Power Price'!K9</f>
        <v>8.5833333333333339</v>
      </c>
      <c r="K6" s="326">
        <f>'Power Price'!L9</f>
        <v>9.5833333333333339</v>
      </c>
      <c r="L6" s="326">
        <f>'Power Price'!M9</f>
        <v>10.583333333333334</v>
      </c>
      <c r="M6" s="326">
        <f>'Power Price'!N9</f>
        <v>11.583333333333334</v>
      </c>
      <c r="N6" s="326">
        <f>'Power Price'!O9</f>
        <v>12.583333333333334</v>
      </c>
      <c r="O6" s="326">
        <f>'Power Price'!P9</f>
        <v>13.583333333333334</v>
      </c>
      <c r="P6" s="326">
        <f>'Power Price'!Q9</f>
        <v>14.583333333333334</v>
      </c>
      <c r="Q6" s="326">
        <f>'Power Price'!R9</f>
        <v>15.583333333333334</v>
      </c>
      <c r="R6" s="326">
        <f>'Power Price'!S9</f>
        <v>16.583333333333336</v>
      </c>
      <c r="S6" s="326">
        <f>'Power Price'!T9</f>
        <v>17.583333333333336</v>
      </c>
      <c r="T6" s="326">
        <f>'Power Price'!U9</f>
        <v>18.583333333333336</v>
      </c>
      <c r="U6" s="326">
        <f>'Power Price'!V9</f>
        <v>19.583333333333336</v>
      </c>
      <c r="V6" s="326">
        <f>'Power Price'!W9</f>
        <v>20.583333333333336</v>
      </c>
      <c r="W6" s="326">
        <f>'Power Price'!X9</f>
        <v>21.583333333333336</v>
      </c>
      <c r="X6" s="326">
        <f>'Power Price'!Y9</f>
        <v>22.583333333333336</v>
      </c>
      <c r="Y6" s="326">
        <f>'Power Price'!Z9</f>
        <v>23.583333333333336</v>
      </c>
      <c r="Z6" s="326">
        <f>'Power Price'!AA9</f>
        <v>24.583333333333336</v>
      </c>
      <c r="AA6" s="326">
        <f>'Power Price'!AB9</f>
        <v>25.583333333333336</v>
      </c>
      <c r="AB6"/>
      <c r="AC6"/>
    </row>
    <row r="7" spans="1:256" ht="13.5" thickBot="1">
      <c r="A7" s="151" t="s">
        <v>1011</v>
      </c>
      <c r="B7" s="7">
        <f>'Power Price'!C10</f>
        <v>2001</v>
      </c>
      <c r="C7" s="7">
        <f>'Power Price'!D10</f>
        <v>2002</v>
      </c>
      <c r="D7" s="7">
        <f>'Power Price'!E10</f>
        <v>2003</v>
      </c>
      <c r="E7" s="7">
        <f>'Power Price'!F10</f>
        <v>2004</v>
      </c>
      <c r="F7" s="7">
        <f>'Power Price'!G10</f>
        <v>2005</v>
      </c>
      <c r="G7" s="7">
        <f>'Power Price'!H10</f>
        <v>2006</v>
      </c>
      <c r="H7" s="7">
        <f>'Power Price'!I10</f>
        <v>2007</v>
      </c>
      <c r="I7" s="7">
        <f>'Power Price'!J10</f>
        <v>2008</v>
      </c>
      <c r="J7" s="7">
        <f>'Power Price'!K10</f>
        <v>2009</v>
      </c>
      <c r="K7" s="7">
        <f>'Power Price'!L10</f>
        <v>2010</v>
      </c>
      <c r="L7" s="7">
        <f>'Power Price'!M10</f>
        <v>2011</v>
      </c>
      <c r="M7" s="7">
        <f>'Power Price'!N10</f>
        <v>2012</v>
      </c>
      <c r="N7" s="7">
        <f>'Power Price'!O10</f>
        <v>2013</v>
      </c>
      <c r="O7" s="7">
        <f>'Power Price'!P10</f>
        <v>2014</v>
      </c>
      <c r="P7" s="7">
        <f>'Power Price'!Q10</f>
        <v>2015</v>
      </c>
      <c r="Q7" s="7">
        <f>'Power Price'!R10</f>
        <v>2016</v>
      </c>
      <c r="R7" s="7">
        <f>'Power Price'!S10</f>
        <v>2017</v>
      </c>
      <c r="S7" s="7">
        <f>'Power Price'!T10</f>
        <v>2018</v>
      </c>
      <c r="T7" s="7">
        <f>'Power Price'!U10</f>
        <v>2019</v>
      </c>
      <c r="U7" s="7">
        <f>'Power Price'!V10</f>
        <v>2020</v>
      </c>
      <c r="V7" s="7">
        <f>'Power Price'!W10</f>
        <v>2021</v>
      </c>
      <c r="W7" s="7">
        <f>'Power Price'!X10</f>
        <v>2022</v>
      </c>
      <c r="X7" s="7">
        <f>'Power Price'!Y10</f>
        <v>2023</v>
      </c>
      <c r="Y7" s="7">
        <f>'Power Price'!Z10</f>
        <v>2024</v>
      </c>
      <c r="Z7" s="7">
        <f>'Power Price'!AA10</f>
        <v>2025</v>
      </c>
      <c r="AA7" s="7">
        <f>'Power Price'!AB10</f>
        <v>2026</v>
      </c>
      <c r="AB7"/>
      <c r="AC7"/>
    </row>
    <row r="8" spans="1:256">
      <c r="A8" s="173"/>
      <c r="B8" s="315">
        <f>Dep!D8</f>
        <v>37256</v>
      </c>
      <c r="C8" s="315">
        <f>Dep!E8</f>
        <v>37621</v>
      </c>
      <c r="D8" s="315">
        <f>Dep!F8</f>
        <v>37986</v>
      </c>
      <c r="E8" s="315">
        <f>Dep!G8</f>
        <v>38352</v>
      </c>
      <c r="F8" s="315">
        <f>Dep!H8</f>
        <v>38717</v>
      </c>
      <c r="G8" s="315">
        <f>Dep!I8</f>
        <v>39082</v>
      </c>
      <c r="H8" s="315">
        <f>Dep!J8</f>
        <v>39447</v>
      </c>
      <c r="I8" s="315">
        <f>Dep!K8</f>
        <v>39813</v>
      </c>
      <c r="J8" s="315">
        <f>Dep!L8</f>
        <v>40178</v>
      </c>
      <c r="K8" s="315">
        <f>Dep!M8</f>
        <v>40543</v>
      </c>
      <c r="L8" s="315">
        <f>Dep!N8</f>
        <v>40908</v>
      </c>
      <c r="M8" s="315">
        <f>Dep!O8</f>
        <v>41274</v>
      </c>
      <c r="N8" s="315">
        <f>Dep!P8</f>
        <v>41639</v>
      </c>
      <c r="O8" s="315">
        <f>Dep!Q8</f>
        <v>42004</v>
      </c>
      <c r="P8" s="315">
        <f>Dep!R8</f>
        <v>42369</v>
      </c>
      <c r="Q8" s="315">
        <f>Dep!S8</f>
        <v>42735</v>
      </c>
      <c r="R8" s="315">
        <f>Dep!T8</f>
        <v>43100</v>
      </c>
      <c r="S8" s="315">
        <f>Dep!U8</f>
        <v>43465</v>
      </c>
      <c r="T8" s="315">
        <f>Dep!V8</f>
        <v>43830</v>
      </c>
      <c r="U8" s="315">
        <f>Dep!W8</f>
        <v>44196</v>
      </c>
      <c r="V8" s="315">
        <f>Dep!X8</f>
        <v>44561</v>
      </c>
      <c r="W8" s="315">
        <f>Dep!Y8</f>
        <v>44926</v>
      </c>
      <c r="X8" s="315">
        <f>Dep!Z8</f>
        <v>45291</v>
      </c>
      <c r="Y8" s="315">
        <f>Dep!AA8</f>
        <v>45657</v>
      </c>
      <c r="Z8" s="315">
        <f>Dep!AB8</f>
        <v>46022</v>
      </c>
      <c r="AA8" s="315">
        <f>Dep!AC8</f>
        <v>46387</v>
      </c>
      <c r="AB8"/>
      <c r="AC8"/>
    </row>
    <row r="9" spans="1:256">
      <c r="A9" s="175" t="s">
        <v>1053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256">
      <c r="A10" s="17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256">
      <c r="A11" s="17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256" s="635" customFormat="1" ht="12" customHeight="1">
      <c r="A12" s="25" t="s">
        <v>1432</v>
      </c>
      <c r="B12" s="377"/>
      <c r="C12" s="377"/>
      <c r="D12" s="632"/>
      <c r="E12" s="632"/>
      <c r="F12" s="632"/>
      <c r="G12" s="632"/>
      <c r="H12" s="632"/>
      <c r="I12" s="632"/>
      <c r="J12" s="632"/>
      <c r="K12" s="632"/>
      <c r="L12" s="632"/>
      <c r="M12" s="632"/>
      <c r="N12" s="632"/>
      <c r="O12" s="632"/>
      <c r="P12" s="632"/>
      <c r="Q12" s="632"/>
      <c r="R12" s="632"/>
      <c r="S12" s="632"/>
      <c r="T12" s="632"/>
      <c r="U12" s="632"/>
      <c r="V12" s="632"/>
      <c r="W12" s="632"/>
      <c r="X12" s="632"/>
      <c r="Y12" s="632"/>
      <c r="Z12" s="632"/>
      <c r="AA12" s="632"/>
      <c r="AB12" s="633"/>
      <c r="AC12" s="377"/>
      <c r="AD12" s="377"/>
      <c r="AE12" s="634"/>
      <c r="AF12" s="634"/>
      <c r="AG12" s="634"/>
      <c r="AH12" s="634"/>
      <c r="AI12" s="634"/>
      <c r="AJ12" s="634"/>
      <c r="AK12" s="634"/>
      <c r="AL12" s="634"/>
      <c r="AM12" s="634"/>
      <c r="AN12" s="634"/>
      <c r="AO12" s="634"/>
      <c r="AP12" s="634"/>
      <c r="AQ12" s="634"/>
      <c r="AR12" s="634"/>
      <c r="AS12" s="634"/>
      <c r="AT12" s="634"/>
      <c r="AU12" s="634"/>
      <c r="AV12" s="634"/>
      <c r="AW12" s="634"/>
      <c r="AX12" s="634"/>
      <c r="AY12" s="634"/>
      <c r="AZ12" s="634"/>
      <c r="BA12" s="634"/>
      <c r="BB12" s="634"/>
      <c r="BC12" s="634"/>
      <c r="BD12" s="634"/>
      <c r="BE12" s="634"/>
      <c r="BF12" s="634"/>
      <c r="BG12" s="634"/>
      <c r="BH12" s="634"/>
      <c r="BI12" s="634"/>
      <c r="BJ12" s="634"/>
      <c r="BK12" s="634"/>
      <c r="BL12" s="634"/>
      <c r="BM12" s="634"/>
      <c r="BN12" s="634"/>
      <c r="BO12" s="634"/>
      <c r="BP12" s="634"/>
      <c r="BQ12" s="634"/>
      <c r="BR12" s="634"/>
      <c r="BS12" s="634"/>
      <c r="BT12" s="634"/>
      <c r="BU12" s="634"/>
      <c r="BV12" s="634"/>
      <c r="BW12" s="634"/>
      <c r="BX12" s="634"/>
      <c r="BY12" s="634"/>
      <c r="BZ12" s="634"/>
      <c r="CA12" s="634"/>
      <c r="CB12" s="634"/>
      <c r="CC12" s="634"/>
      <c r="CD12" s="634"/>
      <c r="CE12" s="634"/>
      <c r="CF12" s="634"/>
      <c r="CG12" s="634"/>
      <c r="CH12" s="634"/>
      <c r="CI12" s="634"/>
      <c r="CJ12" s="634"/>
      <c r="CK12" s="634"/>
      <c r="CL12" s="634"/>
      <c r="CM12" s="634"/>
      <c r="CN12" s="634"/>
      <c r="CO12" s="634"/>
      <c r="CP12" s="634"/>
      <c r="CQ12" s="634"/>
      <c r="CR12" s="634"/>
      <c r="CS12" s="634"/>
      <c r="CT12" s="634"/>
      <c r="CU12" s="634"/>
      <c r="CV12" s="634"/>
      <c r="CW12" s="634"/>
      <c r="CX12" s="634"/>
      <c r="CY12" s="634"/>
      <c r="CZ12" s="634"/>
      <c r="DA12" s="634"/>
      <c r="DB12" s="634"/>
      <c r="DC12" s="634"/>
      <c r="DD12" s="634"/>
      <c r="DE12" s="634"/>
      <c r="DF12" s="634"/>
      <c r="DG12" s="634"/>
      <c r="DH12" s="634"/>
      <c r="DI12" s="634"/>
      <c r="DJ12" s="634"/>
      <c r="DK12" s="634"/>
      <c r="DL12" s="634"/>
      <c r="DM12" s="634"/>
      <c r="DN12" s="634"/>
      <c r="DO12" s="634"/>
      <c r="DP12" s="634"/>
      <c r="DQ12" s="634"/>
      <c r="DR12" s="634"/>
      <c r="DS12" s="634"/>
      <c r="DT12" s="634"/>
      <c r="DU12" s="634"/>
      <c r="DV12" s="634"/>
      <c r="DW12" s="634"/>
      <c r="DX12" s="634"/>
      <c r="DY12" s="634"/>
      <c r="DZ12" s="634"/>
      <c r="EA12" s="634"/>
      <c r="EB12" s="634"/>
      <c r="EC12" s="634"/>
      <c r="ED12" s="634"/>
      <c r="EE12" s="634"/>
      <c r="EF12" s="634"/>
      <c r="EG12" s="634"/>
      <c r="EH12" s="634"/>
      <c r="EI12" s="634"/>
      <c r="EJ12" s="634"/>
      <c r="EK12" s="634"/>
      <c r="EL12" s="634"/>
      <c r="EM12" s="634"/>
      <c r="EN12" s="634"/>
      <c r="EO12" s="634"/>
      <c r="EP12" s="634"/>
      <c r="EQ12" s="634"/>
      <c r="ER12" s="634"/>
      <c r="ES12" s="634"/>
      <c r="ET12" s="634"/>
      <c r="EU12" s="634"/>
      <c r="EV12" s="634"/>
      <c r="EW12" s="634"/>
      <c r="EX12" s="634"/>
      <c r="EY12" s="634"/>
      <c r="EZ12" s="634"/>
      <c r="FA12" s="634"/>
      <c r="FB12" s="634"/>
      <c r="FC12" s="634"/>
      <c r="FD12" s="634"/>
      <c r="FE12" s="634"/>
      <c r="FF12" s="634"/>
      <c r="FG12" s="634"/>
      <c r="FH12" s="634"/>
      <c r="FI12" s="634"/>
      <c r="FJ12" s="634"/>
      <c r="FK12" s="634"/>
      <c r="FL12" s="634"/>
      <c r="FM12" s="634"/>
      <c r="FN12" s="634"/>
      <c r="FO12" s="634"/>
      <c r="FP12" s="634"/>
      <c r="FQ12" s="634"/>
      <c r="FR12" s="634"/>
      <c r="FS12" s="634"/>
      <c r="FT12" s="634"/>
      <c r="FU12" s="634"/>
      <c r="FV12" s="634"/>
      <c r="FW12" s="634"/>
      <c r="FX12" s="634"/>
      <c r="FY12" s="634"/>
      <c r="FZ12" s="634"/>
      <c r="GA12" s="634"/>
      <c r="GB12" s="634"/>
      <c r="GC12" s="634"/>
      <c r="GD12" s="634"/>
      <c r="GE12" s="634"/>
      <c r="GF12" s="634"/>
      <c r="GG12" s="634"/>
      <c r="GH12" s="634"/>
      <c r="GI12" s="634"/>
      <c r="GJ12" s="634"/>
      <c r="GK12" s="634"/>
      <c r="GL12" s="634"/>
      <c r="GM12" s="634"/>
      <c r="GN12" s="634"/>
      <c r="GO12" s="634"/>
      <c r="GP12" s="634"/>
      <c r="GQ12" s="634"/>
      <c r="GR12" s="634"/>
      <c r="GS12" s="634"/>
      <c r="GT12" s="634"/>
      <c r="GU12" s="634"/>
      <c r="GV12" s="634"/>
      <c r="GW12" s="634"/>
      <c r="GX12" s="634"/>
      <c r="GY12" s="634"/>
      <c r="GZ12" s="634"/>
      <c r="HA12" s="634"/>
      <c r="HB12" s="634"/>
      <c r="HC12" s="634"/>
      <c r="HD12" s="634"/>
      <c r="HE12" s="634"/>
      <c r="HF12" s="634"/>
      <c r="HG12" s="634"/>
      <c r="HH12" s="634"/>
      <c r="HI12" s="634"/>
      <c r="HJ12" s="634"/>
      <c r="HK12" s="634"/>
      <c r="HL12" s="634"/>
      <c r="HM12" s="634"/>
      <c r="HN12" s="634"/>
      <c r="HO12" s="634"/>
      <c r="HP12" s="634"/>
      <c r="HQ12" s="634"/>
      <c r="HR12" s="634"/>
      <c r="HS12" s="634"/>
      <c r="HT12" s="634"/>
      <c r="HU12" s="634"/>
      <c r="HV12" s="634"/>
      <c r="HW12" s="634"/>
      <c r="HX12" s="634"/>
      <c r="HY12" s="634"/>
      <c r="HZ12" s="634"/>
      <c r="IA12" s="634"/>
      <c r="IB12" s="634"/>
      <c r="IC12" s="634"/>
      <c r="ID12" s="634"/>
      <c r="IE12" s="634"/>
      <c r="IF12" s="634"/>
      <c r="IG12" s="634"/>
      <c r="IH12" s="634"/>
      <c r="II12" s="634"/>
      <c r="IJ12" s="634"/>
      <c r="IK12" s="634"/>
      <c r="IL12" s="634"/>
      <c r="IM12" s="634"/>
      <c r="IN12" s="634"/>
      <c r="IO12" s="634"/>
      <c r="IP12" s="634"/>
      <c r="IQ12" s="634"/>
      <c r="IR12" s="634"/>
      <c r="IS12" s="634"/>
      <c r="IT12" s="634"/>
      <c r="IU12" s="634"/>
      <c r="IV12" s="634"/>
    </row>
    <row r="13" spans="1:256">
      <c r="A13" s="23" t="s">
        <v>1455</v>
      </c>
      <c r="B13" s="21">
        <f ca="1">BS!C35</f>
        <v>135519.35305495848</v>
      </c>
      <c r="C13" s="21">
        <f ca="1">BS!D35</f>
        <v>127180.28807151089</v>
      </c>
      <c r="D13" s="21">
        <f ca="1">BS!E35</f>
        <v>119354.95849323861</v>
      </c>
      <c r="E13" s="21">
        <f ca="1">BS!F35</f>
        <v>111987.55116049676</v>
      </c>
      <c r="F13" s="21">
        <f ca="1">BS!G35</f>
        <v>105033.39220351182</v>
      </c>
      <c r="G13" s="21">
        <f ca="1">BS!H35</f>
        <v>98453.550684434522</v>
      </c>
      <c r="H13" s="21">
        <f ca="1">BS!I35</f>
        <v>92042.012014053456</v>
      </c>
      <c r="I13" s="21">
        <f ca="1">BS!J35</f>
        <v>85609.467125486262</v>
      </c>
      <c r="J13" s="21">
        <f ca="1">BS!K35</f>
        <v>79166.882463772592</v>
      </c>
      <c r="K13" s="21">
        <f ca="1">BS!L35</f>
        <v>72702.974517180497</v>
      </c>
      <c r="L13" s="21">
        <f ca="1">BS!M35</f>
        <v>69294.538166513215</v>
      </c>
      <c r="M13" s="21">
        <f ca="1">BS!N35</f>
        <v>65864.231937211996</v>
      </c>
      <c r="N13" s="21">
        <f ca="1">BS!O35</f>
        <v>62422.576729795925</v>
      </c>
      <c r="O13" s="21">
        <f ca="1">BS!P35</f>
        <v>58957.741369783238</v>
      </c>
      <c r="P13" s="21">
        <f ca="1">BS!Q35</f>
        <v>52414.182179384617</v>
      </c>
      <c r="Q13" s="21">
        <f ca="1">BS!R35</f>
        <v>47492.902376207014</v>
      </c>
      <c r="R13" s="21">
        <f ca="1">BS!S35</f>
        <v>44193.09141981088</v>
      </c>
      <c r="S13" s="21">
        <f ca="1">BS!T35</f>
        <v>40872.66466610333</v>
      </c>
      <c r="T13" s="21">
        <f ca="1">BS!U35</f>
        <v>37531.063426979526</v>
      </c>
      <c r="U13" s="21">
        <f ca="1">BS!V35</f>
        <v>34167.713873886765</v>
      </c>
      <c r="V13" s="21">
        <f ca="1">BS!W35</f>
        <v>30782.026627518397</v>
      </c>
      <c r="W13" s="21">
        <f ca="1">BS!X35</f>
        <v>27373.396336388352</v>
      </c>
      <c r="X13" s="21">
        <f ca="1">BS!Y35</f>
        <v>23941.20124398511</v>
      </c>
      <c r="Y13" s="21">
        <f ca="1">BS!Z35</f>
        <v>20484.802744195506</v>
      </c>
      <c r="Z13" s="21">
        <f ca="1">BS!AA35</f>
        <v>17003.544924680536</v>
      </c>
      <c r="AA13" s="21">
        <f ca="1">BS!AB35</f>
        <v>13496.754097876605</v>
      </c>
      <c r="AB13" s="21"/>
    </row>
    <row r="14" spans="1:256" ht="15">
      <c r="A14" s="23" t="s">
        <v>1433</v>
      </c>
      <c r="B14" s="636">
        <f>Assum!I107</f>
        <v>1.5E-3</v>
      </c>
      <c r="C14" s="636">
        <f>Assum!$I$108</f>
        <v>1E-3</v>
      </c>
      <c r="D14" s="636">
        <f>Assum!$I$108</f>
        <v>1E-3</v>
      </c>
      <c r="E14" s="636">
        <f>Assum!$I$108</f>
        <v>1E-3</v>
      </c>
      <c r="F14" s="636">
        <f>Assum!$I$108</f>
        <v>1E-3</v>
      </c>
      <c r="G14" s="636">
        <f>Assum!$I$108</f>
        <v>1E-3</v>
      </c>
      <c r="H14" s="636">
        <f>Assum!$I$108</f>
        <v>1E-3</v>
      </c>
      <c r="I14" s="636">
        <f>Assum!$I$108</f>
        <v>1E-3</v>
      </c>
      <c r="J14" s="636">
        <f>Assum!$I$108</f>
        <v>1E-3</v>
      </c>
      <c r="K14" s="636">
        <f>Assum!$I$108</f>
        <v>1E-3</v>
      </c>
      <c r="L14" s="636">
        <f>Assum!$I$108</f>
        <v>1E-3</v>
      </c>
      <c r="M14" s="636">
        <f>Assum!$I$108</f>
        <v>1E-3</v>
      </c>
      <c r="N14" s="636">
        <f>Assum!$I$108</f>
        <v>1E-3</v>
      </c>
      <c r="O14" s="636">
        <f>Assum!$I$108</f>
        <v>1E-3</v>
      </c>
      <c r="P14" s="636">
        <f>Assum!$I$108</f>
        <v>1E-3</v>
      </c>
      <c r="Q14" s="636">
        <f>Assum!$I$108</f>
        <v>1E-3</v>
      </c>
      <c r="R14" s="636">
        <f>Assum!$I$108</f>
        <v>1E-3</v>
      </c>
      <c r="S14" s="636">
        <f>Assum!$I$108</f>
        <v>1E-3</v>
      </c>
      <c r="T14" s="636">
        <f>Assum!$I$108</f>
        <v>1E-3</v>
      </c>
      <c r="U14" s="636">
        <f>Assum!$I$108</f>
        <v>1E-3</v>
      </c>
      <c r="V14" s="636">
        <f>Assum!$I$108</f>
        <v>1E-3</v>
      </c>
      <c r="W14" s="636">
        <f>Assum!$I$108</f>
        <v>1E-3</v>
      </c>
      <c r="X14" s="636">
        <f>Assum!$I$108</f>
        <v>1E-3</v>
      </c>
      <c r="Y14" s="636">
        <f>Assum!$I$108</f>
        <v>1E-3</v>
      </c>
      <c r="Z14" s="636">
        <f>Assum!$I$108</f>
        <v>1E-3</v>
      </c>
      <c r="AA14" s="636">
        <f>Assum!$I$108</f>
        <v>1E-3</v>
      </c>
    </row>
    <row r="15" spans="1:256">
      <c r="A15" s="176" t="s">
        <v>1434</v>
      </c>
      <c r="B15" s="26">
        <f t="shared" ref="B15:R15" ca="1" si="0">B13*B14</f>
        <v>203.27902958243772</v>
      </c>
      <c r="C15" s="26">
        <f t="shared" ca="1" si="0"/>
        <v>127.18028807151089</v>
      </c>
      <c r="D15" s="26">
        <f t="shared" ca="1" si="0"/>
        <v>119.35495849323861</v>
      </c>
      <c r="E15" s="26">
        <f t="shared" ca="1" si="0"/>
        <v>111.98755116049676</v>
      </c>
      <c r="F15" s="26">
        <f t="shared" ca="1" si="0"/>
        <v>105.03339220351182</v>
      </c>
      <c r="G15" s="26">
        <f t="shared" ca="1" si="0"/>
        <v>98.453550684434518</v>
      </c>
      <c r="H15" s="26">
        <f t="shared" ca="1" si="0"/>
        <v>92.042012014053455</v>
      </c>
      <c r="I15" s="26">
        <f t="shared" ca="1" si="0"/>
        <v>85.609467125486262</v>
      </c>
      <c r="J15" s="26">
        <f t="shared" ca="1" si="0"/>
        <v>79.166882463772595</v>
      </c>
      <c r="K15" s="26">
        <f t="shared" ca="1" si="0"/>
        <v>72.702974517180493</v>
      </c>
      <c r="L15" s="26">
        <f t="shared" ca="1" si="0"/>
        <v>69.29453816651322</v>
      </c>
      <c r="M15" s="26">
        <f t="shared" ca="1" si="0"/>
        <v>65.864231937211997</v>
      </c>
      <c r="N15" s="26">
        <f t="shared" ca="1" si="0"/>
        <v>62.422576729795928</v>
      </c>
      <c r="O15" s="26">
        <f t="shared" ca="1" si="0"/>
        <v>58.957741369783243</v>
      </c>
      <c r="P15" s="26">
        <f t="shared" ca="1" si="0"/>
        <v>52.414182179384618</v>
      </c>
      <c r="Q15" s="26">
        <f t="shared" ca="1" si="0"/>
        <v>47.492902376207013</v>
      </c>
      <c r="R15" s="26">
        <f t="shared" ca="1" si="0"/>
        <v>44.193091419810884</v>
      </c>
      <c r="S15" s="26">
        <f t="shared" ref="S15:AA15" ca="1" si="1">S13*S14</f>
        <v>40.872664666103333</v>
      </c>
      <c r="T15" s="26">
        <f t="shared" ca="1" si="1"/>
        <v>37.531063426979529</v>
      </c>
      <c r="U15" s="26">
        <f t="shared" ca="1" si="1"/>
        <v>34.167713873886768</v>
      </c>
      <c r="V15" s="26">
        <f t="shared" ca="1" si="1"/>
        <v>30.782026627518398</v>
      </c>
      <c r="W15" s="26">
        <f t="shared" ca="1" si="1"/>
        <v>27.373396336388353</v>
      </c>
      <c r="X15" s="26">
        <f t="shared" ca="1" si="1"/>
        <v>23.941201243985109</v>
      </c>
      <c r="Y15" s="26">
        <f t="shared" ca="1" si="1"/>
        <v>20.484802744195505</v>
      </c>
      <c r="Z15" s="26">
        <f t="shared" ca="1" si="1"/>
        <v>17.003544924680536</v>
      </c>
      <c r="AA15" s="26">
        <f t="shared" ca="1" si="1"/>
        <v>13.496754097876606</v>
      </c>
    </row>
    <row r="16" spans="1:256">
      <c r="A16" s="17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27" ht="13.5">
      <c r="A17" s="25" t="s">
        <v>1054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27">
      <c r="A18" s="23" t="s">
        <v>1055</v>
      </c>
      <c r="B18" s="21">
        <f ca="1">IS!C76</f>
        <v>6590.6821874589059</v>
      </c>
      <c r="C18" s="21">
        <f ca="1">IS!D76</f>
        <v>11266.8385778064</v>
      </c>
      <c r="D18" s="21">
        <f ca="1">IS!E76</f>
        <v>11236.817733173295</v>
      </c>
      <c r="E18" s="21">
        <f ca="1">IS!F76</f>
        <v>11205.143799507921</v>
      </c>
      <c r="F18" s="21">
        <f ca="1">IS!G76</f>
        <v>11171.824144219876</v>
      </c>
      <c r="G18" s="21">
        <f ca="1">IS!H76</f>
        <v>11137.061079754532</v>
      </c>
      <c r="H18" s="21">
        <f ca="1">IS!I76</f>
        <v>11100.827955830355</v>
      </c>
      <c r="I18" s="21">
        <f ca="1">IS!J76</f>
        <v>11063.270991123143</v>
      </c>
      <c r="J18" s="21">
        <f ca="1">IS!K76</f>
        <v>11024.260792417876</v>
      </c>
      <c r="K18" s="21">
        <f ca="1">IS!L76</f>
        <v>10983.755235619214</v>
      </c>
      <c r="L18" s="21">
        <f ca="1">IS!M76</f>
        <v>10999.786510574939</v>
      </c>
      <c r="M18" s="21">
        <f ca="1">IS!N76</f>
        <v>11075.361495381843</v>
      </c>
      <c r="N18" s="21">
        <f ca="1">IS!O76</f>
        <v>11148.673335050164</v>
      </c>
      <c r="O18" s="21">
        <f ca="1">IS!P76</f>
        <v>11219.543444314961</v>
      </c>
      <c r="P18" s="21">
        <f ca="1">IS!Q76</f>
        <v>10984.314163428618</v>
      </c>
      <c r="Q18" s="21">
        <f ca="1">IS!R76</f>
        <v>10683.25990574453</v>
      </c>
      <c r="R18" s="21">
        <f ca="1">IS!S76</f>
        <v>10623.008513840998</v>
      </c>
      <c r="S18" s="21">
        <f ca="1">IS!T76</f>
        <v>10560.155428527185</v>
      </c>
      <c r="T18" s="21">
        <f ca="1">IS!U76</f>
        <v>10494.585140331174</v>
      </c>
      <c r="U18" s="21">
        <f ca="1">IS!V76</f>
        <v>10426.176759295311</v>
      </c>
      <c r="V18" s="21">
        <f ca="1">IS!W76</f>
        <v>10354.803756656136</v>
      </c>
      <c r="W18" s="21">
        <f ca="1">IS!X76</f>
        <v>10280.333693898307</v>
      </c>
      <c r="X18" s="21">
        <f ca="1">IS!Y76</f>
        <v>10202.627938559217</v>
      </c>
      <c r="Y18" s="21">
        <f ca="1">IS!Z76</f>
        <v>10121.541366129879</v>
      </c>
      <c r="Z18" s="21">
        <f ca="1">IS!AA76</f>
        <v>10036.922047365082</v>
      </c>
      <c r="AA18" s="21">
        <f ca="1">IS!AB76</f>
        <v>9551.1786246240354</v>
      </c>
    </row>
    <row r="19" spans="1:27">
      <c r="A19" s="23" t="s">
        <v>1056</v>
      </c>
      <c r="B19" s="21">
        <f ca="1">IS!C68</f>
        <v>2454.9255771863086</v>
      </c>
      <c r="C19" s="21">
        <f ca="1">IS!D68</f>
        <v>4208.4438466050997</v>
      </c>
      <c r="D19" s="21">
        <f ca="1">IS!E68</f>
        <v>4208.4438466050997</v>
      </c>
      <c r="E19" s="21">
        <f ca="1">IS!F68</f>
        <v>4208.4438466050997</v>
      </c>
      <c r="F19" s="21">
        <f ca="1">IS!G68</f>
        <v>4208.4438466050997</v>
      </c>
      <c r="G19" s="21">
        <f ca="1">IS!H68</f>
        <v>4208.4438466050997</v>
      </c>
      <c r="H19" s="21">
        <f ca="1">IS!I68</f>
        <v>4208.4438466050997</v>
      </c>
      <c r="I19" s="21">
        <f ca="1">IS!J68</f>
        <v>4208.4438466050997</v>
      </c>
      <c r="J19" s="21">
        <f ca="1">IS!K68</f>
        <v>4208.4438466050997</v>
      </c>
      <c r="K19" s="21">
        <f ca="1">IS!L68</f>
        <v>4208.4438466050997</v>
      </c>
      <c r="L19" s="21">
        <f ca="1">IS!M68</f>
        <v>4208.4438466050997</v>
      </c>
      <c r="M19" s="21">
        <f ca="1">IS!N68</f>
        <v>4208.4438466050997</v>
      </c>
      <c r="N19" s="21">
        <f ca="1">IS!O68</f>
        <v>4208.4438466050997</v>
      </c>
      <c r="O19" s="21">
        <f ca="1">IS!P68</f>
        <v>4208.4438466050997</v>
      </c>
      <c r="P19" s="21">
        <f ca="1">IS!Q68</f>
        <v>4208.4438466050997</v>
      </c>
      <c r="Q19" s="21">
        <f ca="1">IS!R68</f>
        <v>4208.4438466050997</v>
      </c>
      <c r="R19" s="21">
        <f ca="1">IS!S68</f>
        <v>4208.4438466050997</v>
      </c>
      <c r="S19" s="21">
        <f ca="1">IS!T68</f>
        <v>4208.4438466050997</v>
      </c>
      <c r="T19" s="21">
        <f ca="1">IS!U68</f>
        <v>4208.4438466050997</v>
      </c>
      <c r="U19" s="21">
        <f ca="1">IS!V68</f>
        <v>4208.4438466050997</v>
      </c>
      <c r="V19" s="21">
        <f ca="1">IS!W68</f>
        <v>4208.4438466050997</v>
      </c>
      <c r="W19" s="21">
        <f ca="1">IS!X68</f>
        <v>4208.4438466050997</v>
      </c>
      <c r="X19" s="21">
        <f ca="1">IS!Y68</f>
        <v>4208.4438466050997</v>
      </c>
      <c r="Y19" s="21">
        <f ca="1">IS!Z68</f>
        <v>4208.4438466050997</v>
      </c>
      <c r="Z19" s="21">
        <f ca="1">IS!AA68</f>
        <v>4208.4438466050997</v>
      </c>
      <c r="AA19" s="21">
        <f ca="1">IS!AB68</f>
        <v>4208.4438466050997</v>
      </c>
    </row>
    <row r="20" spans="1:27" ht="15">
      <c r="A20" s="23" t="s">
        <v>1057</v>
      </c>
      <c r="B20" s="177">
        <f ca="1">-Dep!D31</f>
        <v>-7014.0730776751661</v>
      </c>
      <c r="C20" s="177">
        <f ca="1">-Dep!E31</f>
        <v>-13326.738847582816</v>
      </c>
      <c r="D20" s="177">
        <f ca="1">-Dep!F31</f>
        <v>-11994.064962824536</v>
      </c>
      <c r="E20" s="177">
        <f ca="1">-Dep!G31</f>
        <v>-10801.672539619756</v>
      </c>
      <c r="F20" s="177">
        <f ca="1">-Dep!H31</f>
        <v>-9721.5052856577804</v>
      </c>
      <c r="G20" s="177">
        <f ca="1">-Dep!I31</f>
        <v>-8739.5350547832568</v>
      </c>
      <c r="H20" s="177">
        <f ca="1">-Dep!J31</f>
        <v>-8276.6062316566949</v>
      </c>
      <c r="I20" s="177">
        <f ca="1">-Dep!K31</f>
        <v>-8290.6343778120463</v>
      </c>
      <c r="J20" s="177">
        <f ca="1">-Dep!L31</f>
        <v>-8276.6062316566949</v>
      </c>
      <c r="K20" s="177">
        <f ca="1">-Dep!M31</f>
        <v>-8290.6343778120463</v>
      </c>
      <c r="L20" s="177">
        <f ca="1">-Dep!N31</f>
        <v>-8276.6062316566949</v>
      </c>
      <c r="M20" s="177">
        <f ca="1">-Dep!O31</f>
        <v>-8290.6343778120463</v>
      </c>
      <c r="N20" s="177">
        <f ca="1">-Dep!P31</f>
        <v>-8276.6062316566949</v>
      </c>
      <c r="O20" s="177">
        <f ca="1">-Dep!Q31</f>
        <v>-8290.6343778120463</v>
      </c>
      <c r="P20" s="177">
        <f ca="1">-Dep!R31</f>
        <v>-8276.6062316566949</v>
      </c>
      <c r="Q20" s="177">
        <f ca="1">-Dep!S31</f>
        <v>-4138.3031158283475</v>
      </c>
      <c r="R20" s="177">
        <f ca="1">-Dep!T31</f>
        <v>0</v>
      </c>
      <c r="S20" s="177">
        <f ca="1">-Dep!U31</f>
        <v>0</v>
      </c>
      <c r="T20" s="177">
        <f ca="1">-Dep!V31</f>
        <v>0</v>
      </c>
      <c r="U20" s="177">
        <f ca="1">-Dep!W31</f>
        <v>0</v>
      </c>
      <c r="V20" s="177">
        <f ca="1">-Dep!X31</f>
        <v>0</v>
      </c>
      <c r="W20" s="177">
        <f ca="1">-Dep!Y31</f>
        <v>0</v>
      </c>
      <c r="X20" s="177">
        <f ca="1">-Dep!Z31</f>
        <v>0</v>
      </c>
      <c r="Y20" s="177">
        <f ca="1">-Dep!AA31</f>
        <v>0</v>
      </c>
      <c r="Z20" s="177">
        <f ca="1">-Dep!AB31</f>
        <v>0</v>
      </c>
      <c r="AA20" s="177">
        <f ca="1">-Dep!AC31</f>
        <v>0</v>
      </c>
    </row>
    <row r="21" spans="1:27">
      <c r="A21" s="176" t="s">
        <v>1058</v>
      </c>
      <c r="B21" s="26">
        <f ca="1">SUM(B18:B20)</f>
        <v>2031.5346869700479</v>
      </c>
      <c r="C21" s="26">
        <f t="shared" ref="C21:R21" ca="1" si="2">SUM(C18:C20)</f>
        <v>2148.5435768286843</v>
      </c>
      <c r="D21" s="26">
        <f t="shared" ca="1" si="2"/>
        <v>3451.1966169538591</v>
      </c>
      <c r="E21" s="26">
        <f t="shared" ca="1" si="2"/>
        <v>4611.9151064932648</v>
      </c>
      <c r="F21" s="26">
        <f t="shared" ca="1" si="2"/>
        <v>5658.7627051671952</v>
      </c>
      <c r="G21" s="26">
        <f t="shared" ca="1" si="2"/>
        <v>6605.9698715763752</v>
      </c>
      <c r="H21" s="26">
        <f t="shared" ca="1" si="2"/>
        <v>7032.6655707787595</v>
      </c>
      <c r="I21" s="26">
        <f t="shared" ca="1" si="2"/>
        <v>6981.0804599161966</v>
      </c>
      <c r="J21" s="26">
        <f t="shared" ca="1" si="2"/>
        <v>6956.0984073662803</v>
      </c>
      <c r="K21" s="26">
        <f t="shared" ca="1" si="2"/>
        <v>6901.564704412267</v>
      </c>
      <c r="L21" s="26">
        <f t="shared" ca="1" si="2"/>
        <v>6931.6241255233435</v>
      </c>
      <c r="M21" s="26">
        <f t="shared" ca="1" si="2"/>
        <v>6993.1709641748967</v>
      </c>
      <c r="N21" s="26">
        <f t="shared" ca="1" si="2"/>
        <v>7080.5109499985683</v>
      </c>
      <c r="O21" s="26">
        <f t="shared" ca="1" si="2"/>
        <v>7137.352913108014</v>
      </c>
      <c r="P21" s="26">
        <f t="shared" ca="1" si="2"/>
        <v>6916.1517783770232</v>
      </c>
      <c r="Q21" s="26">
        <f t="shared" ca="1" si="2"/>
        <v>10753.400636521281</v>
      </c>
      <c r="R21" s="26">
        <f t="shared" ca="1" si="2"/>
        <v>14831.452360446097</v>
      </c>
      <c r="S21" s="26">
        <f t="shared" ref="S21:AA21" ca="1" si="3">SUM(S18:S20)</f>
        <v>14768.599275132285</v>
      </c>
      <c r="T21" s="26">
        <f t="shared" ca="1" si="3"/>
        <v>14703.028986936273</v>
      </c>
      <c r="U21" s="26">
        <f t="shared" ca="1" si="3"/>
        <v>14634.620605900411</v>
      </c>
      <c r="V21" s="26">
        <f t="shared" ca="1" si="3"/>
        <v>14563.247603261236</v>
      </c>
      <c r="W21" s="26">
        <f t="shared" ca="1" si="3"/>
        <v>14488.777540503406</v>
      </c>
      <c r="X21" s="26">
        <f t="shared" ca="1" si="3"/>
        <v>14411.071785164317</v>
      </c>
      <c r="Y21" s="26">
        <f t="shared" ca="1" si="3"/>
        <v>14329.985212734979</v>
      </c>
      <c r="Z21" s="26">
        <f t="shared" ca="1" si="3"/>
        <v>14245.365893970182</v>
      </c>
      <c r="AA21" s="26">
        <f t="shared" ca="1" si="3"/>
        <v>13759.622471229135</v>
      </c>
    </row>
    <row r="22" spans="1:27">
      <c r="A22" s="23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3" t="s">
        <v>1058</v>
      </c>
      <c r="B23" s="21">
        <f ca="1">B21</f>
        <v>2031.5346869700479</v>
      </c>
      <c r="C23" s="21">
        <f t="shared" ref="C23:R23" ca="1" si="4">C21</f>
        <v>2148.5435768286843</v>
      </c>
      <c r="D23" s="21">
        <f t="shared" ca="1" si="4"/>
        <v>3451.1966169538591</v>
      </c>
      <c r="E23" s="21">
        <f t="shared" ca="1" si="4"/>
        <v>4611.9151064932648</v>
      </c>
      <c r="F23" s="21">
        <f t="shared" ca="1" si="4"/>
        <v>5658.7627051671952</v>
      </c>
      <c r="G23" s="21">
        <f t="shared" ca="1" si="4"/>
        <v>6605.9698715763752</v>
      </c>
      <c r="H23" s="21">
        <f t="shared" ca="1" si="4"/>
        <v>7032.6655707787595</v>
      </c>
      <c r="I23" s="21">
        <f t="shared" ca="1" si="4"/>
        <v>6981.0804599161966</v>
      </c>
      <c r="J23" s="21">
        <f t="shared" ca="1" si="4"/>
        <v>6956.0984073662803</v>
      </c>
      <c r="K23" s="21">
        <f t="shared" ca="1" si="4"/>
        <v>6901.564704412267</v>
      </c>
      <c r="L23" s="21">
        <f t="shared" ca="1" si="4"/>
        <v>6931.6241255233435</v>
      </c>
      <c r="M23" s="21">
        <f t="shared" ca="1" si="4"/>
        <v>6993.1709641748967</v>
      </c>
      <c r="N23" s="21">
        <f t="shared" ca="1" si="4"/>
        <v>7080.5109499985683</v>
      </c>
      <c r="O23" s="21">
        <f t="shared" ca="1" si="4"/>
        <v>7137.352913108014</v>
      </c>
      <c r="P23" s="21">
        <f t="shared" ca="1" si="4"/>
        <v>6916.1517783770232</v>
      </c>
      <c r="Q23" s="21">
        <f t="shared" ca="1" si="4"/>
        <v>10753.400636521281</v>
      </c>
      <c r="R23" s="21">
        <f t="shared" ca="1" si="4"/>
        <v>14831.452360446097</v>
      </c>
      <c r="S23" s="21">
        <f t="shared" ref="S23:AA23" ca="1" si="5">S21</f>
        <v>14768.599275132285</v>
      </c>
      <c r="T23" s="21">
        <f t="shared" ca="1" si="5"/>
        <v>14703.028986936273</v>
      </c>
      <c r="U23" s="21">
        <f t="shared" ca="1" si="5"/>
        <v>14634.620605900411</v>
      </c>
      <c r="V23" s="21">
        <f t="shared" ca="1" si="5"/>
        <v>14563.247603261236</v>
      </c>
      <c r="W23" s="21">
        <f t="shared" ca="1" si="5"/>
        <v>14488.777540503406</v>
      </c>
      <c r="X23" s="21">
        <f t="shared" ca="1" si="5"/>
        <v>14411.071785164317</v>
      </c>
      <c r="Y23" s="21">
        <f t="shared" ca="1" si="5"/>
        <v>14329.985212734979</v>
      </c>
      <c r="Z23" s="21">
        <f t="shared" ca="1" si="5"/>
        <v>14245.365893970182</v>
      </c>
      <c r="AA23" s="21">
        <f t="shared" ca="1" si="5"/>
        <v>13759.622471229135</v>
      </c>
    </row>
    <row r="24" spans="1:27">
      <c r="A24" s="23" t="s">
        <v>1117</v>
      </c>
      <c r="B24" s="178">
        <f>Assum!$I$106</f>
        <v>7.1800000000000003E-2</v>
      </c>
      <c r="C24" s="178">
        <f>Assum!$I$106</f>
        <v>7.1800000000000003E-2</v>
      </c>
      <c r="D24" s="178">
        <f>Assum!$I$106</f>
        <v>7.1800000000000003E-2</v>
      </c>
      <c r="E24" s="178">
        <f>Assum!$I$106</f>
        <v>7.1800000000000003E-2</v>
      </c>
      <c r="F24" s="178">
        <f>Assum!$I$106</f>
        <v>7.1800000000000003E-2</v>
      </c>
      <c r="G24" s="178">
        <f>Assum!$I$106</f>
        <v>7.1800000000000003E-2</v>
      </c>
      <c r="H24" s="178">
        <f>Assum!$I$106</f>
        <v>7.1800000000000003E-2</v>
      </c>
      <c r="I24" s="178">
        <f>Assum!$I$106</f>
        <v>7.1800000000000003E-2</v>
      </c>
      <c r="J24" s="178">
        <f>Assum!$I$106</f>
        <v>7.1800000000000003E-2</v>
      </c>
      <c r="K24" s="178">
        <f>Assum!$I$106</f>
        <v>7.1800000000000003E-2</v>
      </c>
      <c r="L24" s="178">
        <f>Assum!$I$106</f>
        <v>7.1800000000000003E-2</v>
      </c>
      <c r="M24" s="178">
        <f>Assum!$I$106</f>
        <v>7.1800000000000003E-2</v>
      </c>
      <c r="N24" s="178">
        <f>Assum!$I$106</f>
        <v>7.1800000000000003E-2</v>
      </c>
      <c r="O24" s="178">
        <f>Assum!$I$106</f>
        <v>7.1800000000000003E-2</v>
      </c>
      <c r="P24" s="178">
        <f>Assum!$I$106</f>
        <v>7.1800000000000003E-2</v>
      </c>
      <c r="Q24" s="178">
        <f>Assum!$I$106</f>
        <v>7.1800000000000003E-2</v>
      </c>
      <c r="R24" s="178">
        <f>Assum!$I$106</f>
        <v>7.1800000000000003E-2</v>
      </c>
      <c r="S24" s="178">
        <f>Assum!$I$106</f>
        <v>7.1800000000000003E-2</v>
      </c>
      <c r="T24" s="178">
        <f>Assum!$I$106</f>
        <v>7.1800000000000003E-2</v>
      </c>
      <c r="U24" s="178">
        <f>Assum!$I$106</f>
        <v>7.1800000000000003E-2</v>
      </c>
      <c r="V24" s="178">
        <f>Assum!$I$106</f>
        <v>7.1800000000000003E-2</v>
      </c>
      <c r="W24" s="178">
        <f>Assum!$I$106</f>
        <v>7.1800000000000003E-2</v>
      </c>
      <c r="X24" s="178">
        <f>Assum!$I$106</f>
        <v>7.1800000000000003E-2</v>
      </c>
      <c r="Y24" s="178">
        <f>Assum!$I$106</f>
        <v>7.1800000000000003E-2</v>
      </c>
      <c r="Z24" s="178">
        <f>Assum!$I$106</f>
        <v>7.1800000000000003E-2</v>
      </c>
      <c r="AA24" s="178">
        <f>Assum!$I$106</f>
        <v>7.1800000000000003E-2</v>
      </c>
    </row>
    <row r="25" spans="1:27">
      <c r="A25" s="23" t="s">
        <v>1059</v>
      </c>
      <c r="B25" s="21">
        <f ca="1">B23*B24</f>
        <v>145.86419052444944</v>
      </c>
      <c r="C25" s="21">
        <f t="shared" ref="C25:R25" ca="1" si="6">C23*C24</f>
        <v>154.26542881629953</v>
      </c>
      <c r="D25" s="21">
        <f t="shared" ca="1" si="6"/>
        <v>247.79591709728709</v>
      </c>
      <c r="E25" s="21">
        <f t="shared" ca="1" si="6"/>
        <v>331.13550464621642</v>
      </c>
      <c r="F25" s="21">
        <f t="shared" ca="1" si="6"/>
        <v>406.29916223100463</v>
      </c>
      <c r="G25" s="21">
        <f t="shared" ca="1" si="6"/>
        <v>474.30863677918376</v>
      </c>
      <c r="H25" s="21">
        <f t="shared" ca="1" si="6"/>
        <v>504.94538798191496</v>
      </c>
      <c r="I25" s="21">
        <f t="shared" ca="1" si="6"/>
        <v>501.24157702198295</v>
      </c>
      <c r="J25" s="21">
        <f t="shared" ca="1" si="6"/>
        <v>499.44786564889893</v>
      </c>
      <c r="K25" s="21">
        <f t="shared" ca="1" si="6"/>
        <v>495.53234577680081</v>
      </c>
      <c r="L25" s="21">
        <f t="shared" ca="1" si="6"/>
        <v>497.69061221257607</v>
      </c>
      <c r="M25" s="21">
        <f t="shared" ca="1" si="6"/>
        <v>502.10967522775758</v>
      </c>
      <c r="N25" s="21">
        <f t="shared" ca="1" si="6"/>
        <v>508.38068620989725</v>
      </c>
      <c r="O25" s="21">
        <f t="shared" ca="1" si="6"/>
        <v>512.46193916115544</v>
      </c>
      <c r="P25" s="21">
        <f t="shared" ca="1" si="6"/>
        <v>496.57969768747029</v>
      </c>
      <c r="Q25" s="21">
        <f t="shared" ca="1" si="6"/>
        <v>772.094165702228</v>
      </c>
      <c r="R25" s="21">
        <f t="shared" ca="1" si="6"/>
        <v>1064.8982794800299</v>
      </c>
      <c r="S25" s="21">
        <f t="shared" ref="S25:AA25" ca="1" si="7">S23*S24</f>
        <v>1060.385427954498</v>
      </c>
      <c r="T25" s="21">
        <f t="shared" ca="1" si="7"/>
        <v>1055.6774812620245</v>
      </c>
      <c r="U25" s="21">
        <f t="shared" ca="1" si="7"/>
        <v>1050.7657595036496</v>
      </c>
      <c r="V25" s="21">
        <f t="shared" ca="1" si="7"/>
        <v>1045.6411779141567</v>
      </c>
      <c r="W25" s="21">
        <f t="shared" ca="1" si="7"/>
        <v>1040.2942274081447</v>
      </c>
      <c r="X25" s="21">
        <f t="shared" ca="1" si="7"/>
        <v>1034.7149541747979</v>
      </c>
      <c r="Y25" s="21">
        <f t="shared" ca="1" si="7"/>
        <v>1028.8929382743715</v>
      </c>
      <c r="Z25" s="21">
        <f t="shared" ca="1" si="7"/>
        <v>1022.8172711870591</v>
      </c>
      <c r="AA25" s="21">
        <f t="shared" ca="1" si="7"/>
        <v>987.94089343425196</v>
      </c>
    </row>
    <row r="26" spans="1:27">
      <c r="A26" s="23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3" t="s">
        <v>1060</v>
      </c>
      <c r="B27" s="21">
        <v>0</v>
      </c>
      <c r="C27" s="21">
        <f ca="1">B31</f>
        <v>0</v>
      </c>
      <c r="D27" s="21">
        <f t="shared" ref="D27:R27" ca="1" si="8">C31</f>
        <v>0</v>
      </c>
      <c r="E27" s="21">
        <f t="shared" ca="1" si="8"/>
        <v>0</v>
      </c>
      <c r="F27" s="21">
        <f t="shared" ca="1" si="8"/>
        <v>0</v>
      </c>
      <c r="G27" s="21">
        <f t="shared" ca="1" si="8"/>
        <v>0</v>
      </c>
      <c r="H27" s="21">
        <f t="shared" ca="1" si="8"/>
        <v>0</v>
      </c>
      <c r="I27" s="21">
        <f t="shared" ca="1" si="8"/>
        <v>0</v>
      </c>
      <c r="J27" s="21">
        <f t="shared" ca="1" si="8"/>
        <v>0</v>
      </c>
      <c r="K27" s="21">
        <f t="shared" ca="1" si="8"/>
        <v>0</v>
      </c>
      <c r="L27" s="21">
        <f t="shared" ca="1" si="8"/>
        <v>0</v>
      </c>
      <c r="M27" s="21">
        <f t="shared" ca="1" si="8"/>
        <v>0</v>
      </c>
      <c r="N27" s="21">
        <f t="shared" ca="1" si="8"/>
        <v>0</v>
      </c>
      <c r="O27" s="21">
        <f t="shared" ca="1" si="8"/>
        <v>0</v>
      </c>
      <c r="P27" s="21">
        <f ca="1">O31</f>
        <v>0</v>
      </c>
      <c r="Q27" s="21">
        <f t="shared" ca="1" si="8"/>
        <v>0</v>
      </c>
      <c r="R27" s="21">
        <f t="shared" ca="1" si="8"/>
        <v>0</v>
      </c>
      <c r="S27" s="21">
        <f t="shared" ref="S27:AA27" ca="1" si="9">R31</f>
        <v>0</v>
      </c>
      <c r="T27" s="21">
        <f t="shared" ca="1" si="9"/>
        <v>0</v>
      </c>
      <c r="U27" s="21">
        <f t="shared" ca="1" si="9"/>
        <v>0</v>
      </c>
      <c r="V27" s="21">
        <f t="shared" ca="1" si="9"/>
        <v>0</v>
      </c>
      <c r="W27" s="21">
        <f t="shared" ca="1" si="9"/>
        <v>0</v>
      </c>
      <c r="X27" s="21">
        <f t="shared" ca="1" si="9"/>
        <v>0</v>
      </c>
      <c r="Y27" s="21">
        <f t="shared" ca="1" si="9"/>
        <v>0</v>
      </c>
      <c r="Z27" s="21">
        <f t="shared" ca="1" si="9"/>
        <v>0</v>
      </c>
      <c r="AA27" s="21">
        <f t="shared" ca="1" si="9"/>
        <v>0</v>
      </c>
    </row>
    <row r="28" spans="1:27">
      <c r="A28" s="23" t="s">
        <v>1061</v>
      </c>
      <c r="B28" s="190">
        <f ca="1">IF(B25&lt;0,-B25,0)</f>
        <v>0</v>
      </c>
      <c r="C28" s="190">
        <f t="shared" ref="C28:R28" ca="1" si="10">IF(C25&lt;0,-C25,0)</f>
        <v>0</v>
      </c>
      <c r="D28" s="190">
        <f t="shared" ca="1" si="10"/>
        <v>0</v>
      </c>
      <c r="E28" s="190">
        <f t="shared" ca="1" si="10"/>
        <v>0</v>
      </c>
      <c r="F28" s="190">
        <f t="shared" ca="1" si="10"/>
        <v>0</v>
      </c>
      <c r="G28" s="190">
        <f t="shared" ca="1" si="10"/>
        <v>0</v>
      </c>
      <c r="H28" s="190">
        <f t="shared" ca="1" si="10"/>
        <v>0</v>
      </c>
      <c r="I28" s="190">
        <f t="shared" ca="1" si="10"/>
        <v>0</v>
      </c>
      <c r="J28" s="190">
        <f t="shared" ca="1" si="10"/>
        <v>0</v>
      </c>
      <c r="K28" s="190">
        <f t="shared" ca="1" si="10"/>
        <v>0</v>
      </c>
      <c r="L28" s="190">
        <f t="shared" ca="1" si="10"/>
        <v>0</v>
      </c>
      <c r="M28" s="190">
        <f t="shared" ca="1" si="10"/>
        <v>0</v>
      </c>
      <c r="N28" s="190">
        <f t="shared" ca="1" si="10"/>
        <v>0</v>
      </c>
      <c r="O28" s="190">
        <f t="shared" ca="1" si="10"/>
        <v>0</v>
      </c>
      <c r="P28" s="190">
        <f t="shared" ca="1" si="10"/>
        <v>0</v>
      </c>
      <c r="Q28" s="190">
        <f t="shared" ca="1" si="10"/>
        <v>0</v>
      </c>
      <c r="R28" s="190">
        <f t="shared" ca="1" si="10"/>
        <v>0</v>
      </c>
      <c r="S28" s="190">
        <f t="shared" ref="S28:AA28" ca="1" si="11">IF(S25&lt;0,-S25,0)</f>
        <v>0</v>
      </c>
      <c r="T28" s="190">
        <f t="shared" ca="1" si="11"/>
        <v>0</v>
      </c>
      <c r="U28" s="190">
        <f t="shared" ca="1" si="11"/>
        <v>0</v>
      </c>
      <c r="V28" s="190">
        <f t="shared" ca="1" si="11"/>
        <v>0</v>
      </c>
      <c r="W28" s="190">
        <f t="shared" ca="1" si="11"/>
        <v>0</v>
      </c>
      <c r="X28" s="190">
        <f t="shared" ca="1" si="11"/>
        <v>0</v>
      </c>
      <c r="Y28" s="190">
        <f t="shared" ca="1" si="11"/>
        <v>0</v>
      </c>
      <c r="Z28" s="190">
        <f t="shared" ca="1" si="11"/>
        <v>0</v>
      </c>
      <c r="AA28" s="190">
        <f t="shared" ca="1" si="11"/>
        <v>0</v>
      </c>
    </row>
    <row r="29" spans="1:27">
      <c r="A29" s="23" t="s">
        <v>1062</v>
      </c>
      <c r="B29" s="179">
        <v>0</v>
      </c>
      <c r="C29" s="179">
        <v>0</v>
      </c>
      <c r="D29" s="179">
        <v>0</v>
      </c>
      <c r="E29" s="179">
        <v>0</v>
      </c>
      <c r="F29" s="179">
        <v>0</v>
      </c>
      <c r="G29" s="179">
        <v>0</v>
      </c>
      <c r="H29" s="179">
        <v>0</v>
      </c>
      <c r="I29" s="179">
        <v>0</v>
      </c>
      <c r="J29" s="179">
        <v>0</v>
      </c>
      <c r="K29" s="179">
        <v>0</v>
      </c>
      <c r="L29" s="179">
        <v>0</v>
      </c>
      <c r="M29" s="179">
        <v>0</v>
      </c>
      <c r="N29" s="179">
        <v>0</v>
      </c>
      <c r="O29" s="179">
        <v>0</v>
      </c>
      <c r="P29" s="179">
        <v>0</v>
      </c>
      <c r="Q29" s="179">
        <v>0</v>
      </c>
      <c r="R29" s="179">
        <v>0</v>
      </c>
      <c r="S29" s="179">
        <v>0</v>
      </c>
      <c r="T29" s="179">
        <v>0</v>
      </c>
      <c r="U29" s="179">
        <v>0</v>
      </c>
      <c r="V29" s="179">
        <v>0</v>
      </c>
      <c r="W29" s="179">
        <v>0</v>
      </c>
      <c r="X29" s="179">
        <v>0</v>
      </c>
      <c r="Y29" s="179">
        <v>0</v>
      </c>
      <c r="Z29" s="179">
        <v>0</v>
      </c>
      <c r="AA29" s="179">
        <v>0</v>
      </c>
    </row>
    <row r="30" spans="1:27">
      <c r="A30" s="15" t="s">
        <v>1063</v>
      </c>
      <c r="B30" s="180">
        <f ca="1">IF(B25&lt;0,0,IF(B27&gt;B25,-B25,-B27))</f>
        <v>0</v>
      </c>
      <c r="C30" s="180">
        <f t="shared" ref="C30:R30" ca="1" si="12">IF(C25&lt;0,0,IF(C27&gt;C25,-C25,-C27))</f>
        <v>0</v>
      </c>
      <c r="D30" s="180">
        <f t="shared" ca="1" si="12"/>
        <v>0</v>
      </c>
      <c r="E30" s="180">
        <f t="shared" ca="1" si="12"/>
        <v>0</v>
      </c>
      <c r="F30" s="180">
        <f t="shared" ca="1" si="12"/>
        <v>0</v>
      </c>
      <c r="G30" s="180">
        <f t="shared" ca="1" si="12"/>
        <v>0</v>
      </c>
      <c r="H30" s="180">
        <f t="shared" ca="1" si="12"/>
        <v>0</v>
      </c>
      <c r="I30" s="180">
        <f t="shared" ca="1" si="12"/>
        <v>0</v>
      </c>
      <c r="J30" s="180">
        <f t="shared" ca="1" si="12"/>
        <v>0</v>
      </c>
      <c r="K30" s="180">
        <f t="shared" ca="1" si="12"/>
        <v>0</v>
      </c>
      <c r="L30" s="180">
        <f t="shared" ca="1" si="12"/>
        <v>0</v>
      </c>
      <c r="M30" s="180">
        <f t="shared" ca="1" si="12"/>
        <v>0</v>
      </c>
      <c r="N30" s="180">
        <f t="shared" ca="1" si="12"/>
        <v>0</v>
      </c>
      <c r="O30" s="180">
        <f t="shared" ca="1" si="12"/>
        <v>0</v>
      </c>
      <c r="P30" s="180">
        <f t="shared" ca="1" si="12"/>
        <v>0</v>
      </c>
      <c r="Q30" s="180">
        <f t="shared" ca="1" si="12"/>
        <v>0</v>
      </c>
      <c r="R30" s="180">
        <f t="shared" ca="1" si="12"/>
        <v>0</v>
      </c>
      <c r="S30" s="180">
        <f t="shared" ref="S30:AA30" ca="1" si="13">IF(S25&lt;0,0,IF(S27&gt;S25,-S25,-S27))</f>
        <v>0</v>
      </c>
      <c r="T30" s="180">
        <f t="shared" ca="1" si="13"/>
        <v>0</v>
      </c>
      <c r="U30" s="180">
        <f t="shared" ca="1" si="13"/>
        <v>0</v>
      </c>
      <c r="V30" s="180">
        <f t="shared" ca="1" si="13"/>
        <v>0</v>
      </c>
      <c r="W30" s="180">
        <f t="shared" ca="1" si="13"/>
        <v>0</v>
      </c>
      <c r="X30" s="180">
        <f t="shared" ca="1" si="13"/>
        <v>0</v>
      </c>
      <c r="Y30" s="180">
        <f t="shared" ca="1" si="13"/>
        <v>0</v>
      </c>
      <c r="Z30" s="180">
        <f t="shared" ca="1" si="13"/>
        <v>0</v>
      </c>
      <c r="AA30" s="180">
        <f t="shared" ca="1" si="13"/>
        <v>0</v>
      </c>
    </row>
    <row r="31" spans="1:27">
      <c r="A31" s="15" t="s">
        <v>1064</v>
      </c>
      <c r="B31" s="180">
        <f t="shared" ref="B31:R31" ca="1" si="14">SUM(B27:B30)</f>
        <v>0</v>
      </c>
      <c r="C31" s="180">
        <f t="shared" ca="1" si="14"/>
        <v>0</v>
      </c>
      <c r="D31" s="180">
        <f t="shared" ca="1" si="14"/>
        <v>0</v>
      </c>
      <c r="E31" s="180">
        <f t="shared" ca="1" si="14"/>
        <v>0</v>
      </c>
      <c r="F31" s="180">
        <f t="shared" ca="1" si="14"/>
        <v>0</v>
      </c>
      <c r="G31" s="180">
        <f t="shared" ca="1" si="14"/>
        <v>0</v>
      </c>
      <c r="H31" s="180">
        <f t="shared" ca="1" si="14"/>
        <v>0</v>
      </c>
      <c r="I31" s="180">
        <f t="shared" ca="1" si="14"/>
        <v>0</v>
      </c>
      <c r="J31" s="180">
        <f t="shared" ca="1" si="14"/>
        <v>0</v>
      </c>
      <c r="K31" s="180">
        <f t="shared" ca="1" si="14"/>
        <v>0</v>
      </c>
      <c r="L31" s="180">
        <f t="shared" ca="1" si="14"/>
        <v>0</v>
      </c>
      <c r="M31" s="180">
        <f t="shared" ca="1" si="14"/>
        <v>0</v>
      </c>
      <c r="N31" s="180">
        <f t="shared" ca="1" si="14"/>
        <v>0</v>
      </c>
      <c r="O31" s="180">
        <f t="shared" ca="1" si="14"/>
        <v>0</v>
      </c>
      <c r="P31" s="180">
        <f t="shared" ca="1" si="14"/>
        <v>0</v>
      </c>
      <c r="Q31" s="180">
        <f t="shared" ca="1" si="14"/>
        <v>0</v>
      </c>
      <c r="R31" s="180">
        <f t="shared" ca="1" si="14"/>
        <v>0</v>
      </c>
      <c r="S31" s="180">
        <f t="shared" ref="S31:AA31" ca="1" si="15">SUM(S27:S30)</f>
        <v>0</v>
      </c>
      <c r="T31" s="180">
        <f t="shared" ca="1" si="15"/>
        <v>0</v>
      </c>
      <c r="U31" s="180">
        <f t="shared" ca="1" si="15"/>
        <v>0</v>
      </c>
      <c r="V31" s="180">
        <f t="shared" ca="1" si="15"/>
        <v>0</v>
      </c>
      <c r="W31" s="180">
        <f t="shared" ca="1" si="15"/>
        <v>0</v>
      </c>
      <c r="X31" s="180">
        <f t="shared" ca="1" si="15"/>
        <v>0</v>
      </c>
      <c r="Y31" s="180">
        <f t="shared" ca="1" si="15"/>
        <v>0</v>
      </c>
      <c r="Z31" s="180">
        <f t="shared" ca="1" si="15"/>
        <v>0</v>
      </c>
      <c r="AA31" s="180">
        <f t="shared" ca="1" si="15"/>
        <v>0</v>
      </c>
    </row>
    <row r="32" spans="1:27">
      <c r="A32" s="1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49" t="s">
        <v>1065</v>
      </c>
      <c r="B33" s="26">
        <f ca="1">IF(B25&lt;0,0,B25+B30)</f>
        <v>145.86419052444944</v>
      </c>
      <c r="C33" s="26">
        <f t="shared" ref="C33:R33" ca="1" si="16">IF(C25&lt;0,0,C25+C30)</f>
        <v>154.26542881629953</v>
      </c>
      <c r="D33" s="26">
        <f t="shared" ca="1" si="16"/>
        <v>247.79591709728709</v>
      </c>
      <c r="E33" s="26">
        <f t="shared" ca="1" si="16"/>
        <v>331.13550464621642</v>
      </c>
      <c r="F33" s="26">
        <f t="shared" ca="1" si="16"/>
        <v>406.29916223100463</v>
      </c>
      <c r="G33" s="26">
        <f t="shared" ca="1" si="16"/>
        <v>474.30863677918376</v>
      </c>
      <c r="H33" s="26">
        <f t="shared" ca="1" si="16"/>
        <v>504.94538798191496</v>
      </c>
      <c r="I33" s="26">
        <f t="shared" ca="1" si="16"/>
        <v>501.24157702198295</v>
      </c>
      <c r="J33" s="26">
        <f t="shared" ca="1" si="16"/>
        <v>499.44786564889893</v>
      </c>
      <c r="K33" s="26">
        <f t="shared" ca="1" si="16"/>
        <v>495.53234577680081</v>
      </c>
      <c r="L33" s="26">
        <f t="shared" ca="1" si="16"/>
        <v>497.69061221257607</v>
      </c>
      <c r="M33" s="26">
        <f t="shared" ca="1" si="16"/>
        <v>502.10967522775758</v>
      </c>
      <c r="N33" s="26">
        <f t="shared" ca="1" si="16"/>
        <v>508.38068620989725</v>
      </c>
      <c r="O33" s="26">
        <f t="shared" ca="1" si="16"/>
        <v>512.46193916115544</v>
      </c>
      <c r="P33" s="26">
        <f t="shared" ca="1" si="16"/>
        <v>496.57969768747029</v>
      </c>
      <c r="Q33" s="26">
        <f t="shared" ca="1" si="16"/>
        <v>772.094165702228</v>
      </c>
      <c r="R33" s="26">
        <f t="shared" ca="1" si="16"/>
        <v>1064.8982794800299</v>
      </c>
      <c r="S33" s="26">
        <f t="shared" ref="S33:AA33" ca="1" si="17">IF(S25&lt;0,0,S25+S30)</f>
        <v>1060.385427954498</v>
      </c>
      <c r="T33" s="26">
        <f t="shared" ca="1" si="17"/>
        <v>1055.6774812620245</v>
      </c>
      <c r="U33" s="26">
        <f t="shared" ca="1" si="17"/>
        <v>1050.7657595036496</v>
      </c>
      <c r="V33" s="26">
        <f t="shared" ca="1" si="17"/>
        <v>1045.6411779141567</v>
      </c>
      <c r="W33" s="26">
        <f t="shared" ca="1" si="17"/>
        <v>1040.2942274081447</v>
      </c>
      <c r="X33" s="26">
        <f t="shared" ca="1" si="17"/>
        <v>1034.7149541747979</v>
      </c>
      <c r="Y33" s="26">
        <f t="shared" ca="1" si="17"/>
        <v>1028.8929382743715</v>
      </c>
      <c r="Z33" s="26">
        <f t="shared" ca="1" si="17"/>
        <v>1022.8172711870591</v>
      </c>
      <c r="AA33" s="26">
        <f t="shared" ca="1" si="17"/>
        <v>987.94089343425196</v>
      </c>
    </row>
    <row r="34" spans="1:27">
      <c r="A34" s="15" t="s">
        <v>1118</v>
      </c>
      <c r="B34" s="287">
        <v>0</v>
      </c>
      <c r="C34" s="287">
        <v>0</v>
      </c>
      <c r="D34" s="287">
        <v>0</v>
      </c>
      <c r="E34" s="287">
        <v>0</v>
      </c>
      <c r="F34" s="287">
        <v>0</v>
      </c>
      <c r="G34" s="287">
        <v>0</v>
      </c>
      <c r="H34" s="287">
        <v>0</v>
      </c>
      <c r="I34" s="287">
        <v>0</v>
      </c>
      <c r="J34" s="287">
        <v>0</v>
      </c>
      <c r="K34" s="287">
        <v>0</v>
      </c>
      <c r="L34" s="287">
        <v>0</v>
      </c>
      <c r="M34" s="287">
        <v>0</v>
      </c>
      <c r="N34" s="287">
        <v>0</v>
      </c>
      <c r="O34" s="287">
        <v>0</v>
      </c>
      <c r="P34" s="287">
        <v>0</v>
      </c>
      <c r="Q34" s="287">
        <v>0</v>
      </c>
      <c r="R34" s="287">
        <v>0</v>
      </c>
      <c r="S34" s="287">
        <v>0</v>
      </c>
      <c r="T34" s="287">
        <v>0</v>
      </c>
      <c r="U34" s="287">
        <v>0</v>
      </c>
      <c r="V34" s="287">
        <v>0</v>
      </c>
      <c r="W34" s="287">
        <v>0</v>
      </c>
      <c r="X34" s="287">
        <v>0</v>
      </c>
      <c r="Y34" s="287">
        <v>0</v>
      </c>
      <c r="Z34" s="287">
        <v>0</v>
      </c>
      <c r="AA34" s="287">
        <v>0</v>
      </c>
    </row>
    <row r="35" spans="1:27">
      <c r="A35" s="49" t="s">
        <v>1066</v>
      </c>
      <c r="B35" s="191">
        <f t="shared" ref="B35:R35" ca="1" si="18">SUM(B33:B34)</f>
        <v>145.86419052444944</v>
      </c>
      <c r="C35" s="192">
        <f t="shared" ca="1" si="18"/>
        <v>154.26542881629953</v>
      </c>
      <c r="D35" s="192">
        <f t="shared" ca="1" si="18"/>
        <v>247.79591709728709</v>
      </c>
      <c r="E35" s="192">
        <f t="shared" ca="1" si="18"/>
        <v>331.13550464621642</v>
      </c>
      <c r="F35" s="192">
        <f t="shared" ca="1" si="18"/>
        <v>406.29916223100463</v>
      </c>
      <c r="G35" s="192">
        <f t="shared" ca="1" si="18"/>
        <v>474.30863677918376</v>
      </c>
      <c r="H35" s="192">
        <f t="shared" ca="1" si="18"/>
        <v>504.94538798191496</v>
      </c>
      <c r="I35" s="192">
        <f t="shared" ca="1" si="18"/>
        <v>501.24157702198295</v>
      </c>
      <c r="J35" s="192">
        <f t="shared" ca="1" si="18"/>
        <v>499.44786564889893</v>
      </c>
      <c r="K35" s="192">
        <f t="shared" ca="1" si="18"/>
        <v>495.53234577680081</v>
      </c>
      <c r="L35" s="193">
        <f t="shared" ca="1" si="18"/>
        <v>497.69061221257607</v>
      </c>
      <c r="M35" s="191">
        <f t="shared" ca="1" si="18"/>
        <v>502.10967522775758</v>
      </c>
      <c r="N35" s="192">
        <f t="shared" ca="1" si="18"/>
        <v>508.38068620989725</v>
      </c>
      <c r="O35" s="192">
        <f t="shared" ca="1" si="18"/>
        <v>512.46193916115544</v>
      </c>
      <c r="P35" s="192">
        <f t="shared" ca="1" si="18"/>
        <v>496.57969768747029</v>
      </c>
      <c r="Q35" s="192">
        <f t="shared" ca="1" si="18"/>
        <v>772.094165702228</v>
      </c>
      <c r="R35" s="192">
        <f t="shared" ca="1" si="18"/>
        <v>1064.8982794800299</v>
      </c>
      <c r="S35" s="192">
        <f t="shared" ref="S35:AA35" ca="1" si="19">SUM(S33:S34)</f>
        <v>1060.385427954498</v>
      </c>
      <c r="T35" s="192">
        <f t="shared" ca="1" si="19"/>
        <v>1055.6774812620245</v>
      </c>
      <c r="U35" s="192">
        <f t="shared" ca="1" si="19"/>
        <v>1050.7657595036496</v>
      </c>
      <c r="V35" s="192">
        <f t="shared" ca="1" si="19"/>
        <v>1045.6411779141567</v>
      </c>
      <c r="W35" s="192">
        <f t="shared" ca="1" si="19"/>
        <v>1040.2942274081447</v>
      </c>
      <c r="X35" s="192">
        <f t="shared" ca="1" si="19"/>
        <v>1034.7149541747979</v>
      </c>
      <c r="Y35" s="192">
        <f t="shared" ca="1" si="19"/>
        <v>1028.8929382743715</v>
      </c>
      <c r="Z35" s="192">
        <f t="shared" ca="1" si="19"/>
        <v>1022.8172711870591</v>
      </c>
      <c r="AA35" s="192">
        <f t="shared" ca="1" si="19"/>
        <v>987.94089343425196</v>
      </c>
    </row>
    <row r="36" spans="1:27">
      <c r="A36" s="49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</row>
    <row r="37" spans="1:27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>
      <c r="A38" s="175" t="s">
        <v>1067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3" t="s">
        <v>1055</v>
      </c>
      <c r="B39" s="21">
        <f ca="1">B18</f>
        <v>6590.6821874589059</v>
      </c>
      <c r="C39" s="21">
        <f t="shared" ref="C39:R39" ca="1" si="20">C18</f>
        <v>11266.8385778064</v>
      </c>
      <c r="D39" s="21">
        <f t="shared" ca="1" si="20"/>
        <v>11236.817733173295</v>
      </c>
      <c r="E39" s="21">
        <f t="shared" ca="1" si="20"/>
        <v>11205.143799507921</v>
      </c>
      <c r="F39" s="21">
        <f t="shared" ca="1" si="20"/>
        <v>11171.824144219876</v>
      </c>
      <c r="G39" s="21">
        <f t="shared" ca="1" si="20"/>
        <v>11137.061079754532</v>
      </c>
      <c r="H39" s="21">
        <f t="shared" ca="1" si="20"/>
        <v>11100.827955830355</v>
      </c>
      <c r="I39" s="21">
        <f t="shared" ca="1" si="20"/>
        <v>11063.270991123143</v>
      </c>
      <c r="J39" s="21">
        <f t="shared" ca="1" si="20"/>
        <v>11024.260792417876</v>
      </c>
      <c r="K39" s="21">
        <f t="shared" ca="1" si="20"/>
        <v>10983.755235619214</v>
      </c>
      <c r="L39" s="21">
        <f t="shared" ca="1" si="20"/>
        <v>10999.786510574939</v>
      </c>
      <c r="M39" s="21">
        <f t="shared" ca="1" si="20"/>
        <v>11075.361495381843</v>
      </c>
      <c r="N39" s="21">
        <f t="shared" ca="1" si="20"/>
        <v>11148.673335050164</v>
      </c>
      <c r="O39" s="21">
        <f t="shared" ca="1" si="20"/>
        <v>11219.543444314961</v>
      </c>
      <c r="P39" s="21">
        <f t="shared" ca="1" si="20"/>
        <v>10984.314163428618</v>
      </c>
      <c r="Q39" s="21">
        <f t="shared" ca="1" si="20"/>
        <v>10683.25990574453</v>
      </c>
      <c r="R39" s="21">
        <f t="shared" ca="1" si="20"/>
        <v>10623.008513840998</v>
      </c>
      <c r="S39" s="21">
        <f t="shared" ref="S39:AA39" ca="1" si="21">S18</f>
        <v>10560.155428527185</v>
      </c>
      <c r="T39" s="21">
        <f t="shared" ca="1" si="21"/>
        <v>10494.585140331174</v>
      </c>
      <c r="U39" s="21">
        <f t="shared" ca="1" si="21"/>
        <v>10426.176759295311</v>
      </c>
      <c r="V39" s="21">
        <f t="shared" ca="1" si="21"/>
        <v>10354.803756656136</v>
      </c>
      <c r="W39" s="21">
        <f t="shared" ca="1" si="21"/>
        <v>10280.333693898307</v>
      </c>
      <c r="X39" s="21">
        <f t="shared" ca="1" si="21"/>
        <v>10202.627938559217</v>
      </c>
      <c r="Y39" s="21">
        <f t="shared" ca="1" si="21"/>
        <v>10121.541366129879</v>
      </c>
      <c r="Z39" s="21">
        <f t="shared" ca="1" si="21"/>
        <v>10036.922047365082</v>
      </c>
      <c r="AA39" s="21">
        <f t="shared" ca="1" si="21"/>
        <v>9551.1786246240354</v>
      </c>
    </row>
    <row r="40" spans="1:27">
      <c r="A40" s="23" t="s">
        <v>1056</v>
      </c>
      <c r="B40" s="21">
        <f ca="1">B19</f>
        <v>2454.9255771863086</v>
      </c>
      <c r="C40" s="21">
        <f t="shared" ref="C40:R40" ca="1" si="22">C19</f>
        <v>4208.4438466050997</v>
      </c>
      <c r="D40" s="21">
        <f t="shared" ca="1" si="22"/>
        <v>4208.4438466050997</v>
      </c>
      <c r="E40" s="21">
        <f t="shared" ca="1" si="22"/>
        <v>4208.4438466050997</v>
      </c>
      <c r="F40" s="21">
        <f t="shared" ca="1" si="22"/>
        <v>4208.4438466050997</v>
      </c>
      <c r="G40" s="21">
        <f t="shared" ca="1" si="22"/>
        <v>4208.4438466050997</v>
      </c>
      <c r="H40" s="21">
        <f t="shared" ca="1" si="22"/>
        <v>4208.4438466050997</v>
      </c>
      <c r="I40" s="21">
        <f t="shared" ca="1" si="22"/>
        <v>4208.4438466050997</v>
      </c>
      <c r="J40" s="21">
        <f t="shared" ca="1" si="22"/>
        <v>4208.4438466050997</v>
      </c>
      <c r="K40" s="21">
        <f t="shared" ca="1" si="22"/>
        <v>4208.4438466050997</v>
      </c>
      <c r="L40" s="21">
        <f t="shared" ca="1" si="22"/>
        <v>4208.4438466050997</v>
      </c>
      <c r="M40" s="21">
        <f t="shared" ca="1" si="22"/>
        <v>4208.4438466050997</v>
      </c>
      <c r="N40" s="21">
        <f t="shared" ca="1" si="22"/>
        <v>4208.4438466050997</v>
      </c>
      <c r="O40" s="21">
        <f t="shared" ca="1" si="22"/>
        <v>4208.4438466050997</v>
      </c>
      <c r="P40" s="21">
        <f t="shared" ca="1" si="22"/>
        <v>4208.4438466050997</v>
      </c>
      <c r="Q40" s="21">
        <f t="shared" ca="1" si="22"/>
        <v>4208.4438466050997</v>
      </c>
      <c r="R40" s="21">
        <f t="shared" ca="1" si="22"/>
        <v>4208.4438466050997</v>
      </c>
      <c r="S40" s="21">
        <f t="shared" ref="S40:AA40" ca="1" si="23">S19</f>
        <v>4208.4438466050997</v>
      </c>
      <c r="T40" s="21">
        <f t="shared" ca="1" si="23"/>
        <v>4208.4438466050997</v>
      </c>
      <c r="U40" s="21">
        <f t="shared" ca="1" si="23"/>
        <v>4208.4438466050997</v>
      </c>
      <c r="V40" s="21">
        <f t="shared" ca="1" si="23"/>
        <v>4208.4438466050997</v>
      </c>
      <c r="W40" s="21">
        <f t="shared" ca="1" si="23"/>
        <v>4208.4438466050997</v>
      </c>
      <c r="X40" s="21">
        <f t="shared" ca="1" si="23"/>
        <v>4208.4438466050997</v>
      </c>
      <c r="Y40" s="21">
        <f t="shared" ca="1" si="23"/>
        <v>4208.4438466050997</v>
      </c>
      <c r="Z40" s="21">
        <f t="shared" ca="1" si="23"/>
        <v>4208.4438466050997</v>
      </c>
      <c r="AA40" s="21">
        <f t="shared" ca="1" si="23"/>
        <v>4208.4438466050997</v>
      </c>
    </row>
    <row r="41" spans="1:27">
      <c r="A41" s="23" t="s">
        <v>1068</v>
      </c>
      <c r="B41" s="21">
        <f ca="1">-Dep!D19</f>
        <v>-7014.0730776751661</v>
      </c>
      <c r="C41" s="21">
        <f ca="1">-Dep!E19</f>
        <v>-13326.738847582816</v>
      </c>
      <c r="D41" s="21">
        <f ca="1">-Dep!F19</f>
        <v>-11994.064962824536</v>
      </c>
      <c r="E41" s="21">
        <f ca="1">-Dep!G19</f>
        <v>-10801.672539619756</v>
      </c>
      <c r="F41" s="21">
        <f ca="1">-Dep!H19</f>
        <v>-9721.5052856577804</v>
      </c>
      <c r="G41" s="21">
        <f ca="1">-Dep!I19</f>
        <v>-8739.5350547832568</v>
      </c>
      <c r="H41" s="21">
        <f ca="1">-Dep!J19</f>
        <v>-8276.6062316566949</v>
      </c>
      <c r="I41" s="21">
        <f ca="1">-Dep!K19</f>
        <v>-8290.6343778120463</v>
      </c>
      <c r="J41" s="21">
        <f ca="1">-Dep!L19</f>
        <v>-8276.6062316566949</v>
      </c>
      <c r="K41" s="21">
        <f ca="1">-Dep!M19</f>
        <v>-8290.6343778120463</v>
      </c>
      <c r="L41" s="21">
        <f ca="1">-Dep!N19</f>
        <v>-8276.6062316566949</v>
      </c>
      <c r="M41" s="21">
        <f ca="1">-Dep!O19</f>
        <v>-8290.6343778120463</v>
      </c>
      <c r="N41" s="21">
        <f ca="1">-Dep!P19</f>
        <v>-8276.6062316566949</v>
      </c>
      <c r="O41" s="21">
        <f ca="1">-Dep!Q19</f>
        <v>-8290.6343778120463</v>
      </c>
      <c r="P41" s="21">
        <f ca="1">-Dep!R19</f>
        <v>-8276.6062316566949</v>
      </c>
      <c r="Q41" s="21">
        <f ca="1">-Dep!S19</f>
        <v>-4138.3031158283475</v>
      </c>
      <c r="R41" s="21">
        <f ca="1">-Dep!T19</f>
        <v>0</v>
      </c>
      <c r="S41" s="21">
        <f ca="1">-Dep!U19</f>
        <v>0</v>
      </c>
      <c r="T41" s="21">
        <f ca="1">-Dep!V19</f>
        <v>0</v>
      </c>
      <c r="U41" s="21">
        <f ca="1">-Dep!W19</f>
        <v>0</v>
      </c>
      <c r="V41" s="21">
        <f ca="1">-Dep!X19</f>
        <v>0</v>
      </c>
      <c r="W41" s="21">
        <f ca="1">-Dep!Y19</f>
        <v>0</v>
      </c>
      <c r="X41" s="21">
        <f ca="1">-Dep!Z19</f>
        <v>0</v>
      </c>
      <c r="Y41" s="21">
        <f ca="1">-Dep!AA19</f>
        <v>0</v>
      </c>
      <c r="Z41" s="21">
        <f ca="1">-Dep!AB19</f>
        <v>0</v>
      </c>
      <c r="AA41" s="21">
        <f ca="1">-Dep!AC19</f>
        <v>0</v>
      </c>
    </row>
    <row r="42" spans="1:27" ht="15">
      <c r="A42" s="23" t="s">
        <v>1069</v>
      </c>
      <c r="B42" s="182">
        <f ca="1">-B35</f>
        <v>-145.86419052444944</v>
      </c>
      <c r="C42" s="182">
        <f t="shared" ref="C42:R42" ca="1" si="24">-C35</f>
        <v>-154.26542881629953</v>
      </c>
      <c r="D42" s="182">
        <f t="shared" ca="1" si="24"/>
        <v>-247.79591709728709</v>
      </c>
      <c r="E42" s="182">
        <f t="shared" ca="1" si="24"/>
        <v>-331.13550464621642</v>
      </c>
      <c r="F42" s="182">
        <f t="shared" ca="1" si="24"/>
        <v>-406.29916223100463</v>
      </c>
      <c r="G42" s="182">
        <f t="shared" ca="1" si="24"/>
        <v>-474.30863677918376</v>
      </c>
      <c r="H42" s="182">
        <f t="shared" ca="1" si="24"/>
        <v>-504.94538798191496</v>
      </c>
      <c r="I42" s="182">
        <f t="shared" ca="1" si="24"/>
        <v>-501.24157702198295</v>
      </c>
      <c r="J42" s="182">
        <f t="shared" ca="1" si="24"/>
        <v>-499.44786564889893</v>
      </c>
      <c r="K42" s="182">
        <f t="shared" ca="1" si="24"/>
        <v>-495.53234577680081</v>
      </c>
      <c r="L42" s="182">
        <f t="shared" ca="1" si="24"/>
        <v>-497.69061221257607</v>
      </c>
      <c r="M42" s="182">
        <f t="shared" ca="1" si="24"/>
        <v>-502.10967522775758</v>
      </c>
      <c r="N42" s="182">
        <f t="shared" ca="1" si="24"/>
        <v>-508.38068620989725</v>
      </c>
      <c r="O42" s="182">
        <f t="shared" ca="1" si="24"/>
        <v>-512.46193916115544</v>
      </c>
      <c r="P42" s="182">
        <f t="shared" ca="1" si="24"/>
        <v>-496.57969768747029</v>
      </c>
      <c r="Q42" s="182">
        <f t="shared" ca="1" si="24"/>
        <v>-772.094165702228</v>
      </c>
      <c r="R42" s="182">
        <f t="shared" ca="1" si="24"/>
        <v>-1064.8982794800299</v>
      </c>
      <c r="S42" s="182">
        <f t="shared" ref="S42:AA42" ca="1" si="25">-S35</f>
        <v>-1060.385427954498</v>
      </c>
      <c r="T42" s="182">
        <f t="shared" ca="1" si="25"/>
        <v>-1055.6774812620245</v>
      </c>
      <c r="U42" s="182">
        <f t="shared" ca="1" si="25"/>
        <v>-1050.7657595036496</v>
      </c>
      <c r="V42" s="182">
        <f t="shared" ca="1" si="25"/>
        <v>-1045.6411779141567</v>
      </c>
      <c r="W42" s="182">
        <f t="shared" ca="1" si="25"/>
        <v>-1040.2942274081447</v>
      </c>
      <c r="X42" s="182">
        <f t="shared" ca="1" si="25"/>
        <v>-1034.7149541747979</v>
      </c>
      <c r="Y42" s="182">
        <f t="shared" ca="1" si="25"/>
        <v>-1028.8929382743715</v>
      </c>
      <c r="Z42" s="182">
        <f t="shared" ca="1" si="25"/>
        <v>-1022.8172711870591</v>
      </c>
      <c r="AA42" s="182">
        <f t="shared" ca="1" si="25"/>
        <v>-987.94089343425196</v>
      </c>
    </row>
    <row r="43" spans="1:27">
      <c r="A43" s="176" t="s">
        <v>1070</v>
      </c>
      <c r="B43" s="50">
        <f ca="1">SUM(B39:B42)</f>
        <v>1885.6704964455985</v>
      </c>
      <c r="C43" s="50">
        <f t="shared" ref="C43:R43" ca="1" si="26">SUM(C39:C42)</f>
        <v>1994.2781480123847</v>
      </c>
      <c r="D43" s="50">
        <f t="shared" ca="1" si="26"/>
        <v>3203.4006998565719</v>
      </c>
      <c r="E43" s="50">
        <f t="shared" ca="1" si="26"/>
        <v>4280.7796018470481</v>
      </c>
      <c r="F43" s="50">
        <f t="shared" ca="1" si="26"/>
        <v>5252.4635429361906</v>
      </c>
      <c r="G43" s="50">
        <f t="shared" ca="1" si="26"/>
        <v>6131.6612347971914</v>
      </c>
      <c r="H43" s="50">
        <f t="shared" ca="1" si="26"/>
        <v>6527.7201827968447</v>
      </c>
      <c r="I43" s="50">
        <f t="shared" ca="1" si="26"/>
        <v>6479.8388828942134</v>
      </c>
      <c r="J43" s="50">
        <f t="shared" ca="1" si="26"/>
        <v>6456.6505417173812</v>
      </c>
      <c r="K43" s="50">
        <f t="shared" ca="1" si="26"/>
        <v>6406.0323586354662</v>
      </c>
      <c r="L43" s="50">
        <f t="shared" ca="1" si="26"/>
        <v>6433.933513310767</v>
      </c>
      <c r="M43" s="50">
        <f t="shared" ca="1" si="26"/>
        <v>6491.0612889471395</v>
      </c>
      <c r="N43" s="50">
        <f t="shared" ca="1" si="26"/>
        <v>6572.1302637886711</v>
      </c>
      <c r="O43" s="50">
        <f t="shared" ca="1" si="26"/>
        <v>6624.8909739468581</v>
      </c>
      <c r="P43" s="50">
        <f t="shared" ca="1" si="26"/>
        <v>6419.5720806895533</v>
      </c>
      <c r="Q43" s="50">
        <f t="shared" ca="1" si="26"/>
        <v>9981.3064708190523</v>
      </c>
      <c r="R43" s="50">
        <f t="shared" ca="1" si="26"/>
        <v>13766.554080966067</v>
      </c>
      <c r="S43" s="50">
        <f t="shared" ref="S43:AA43" ca="1" si="27">SUM(S39:S42)</f>
        <v>13708.213847177787</v>
      </c>
      <c r="T43" s="50">
        <f t="shared" ca="1" si="27"/>
        <v>13647.351505674249</v>
      </c>
      <c r="U43" s="50">
        <f t="shared" ca="1" si="27"/>
        <v>13583.854846396762</v>
      </c>
      <c r="V43" s="50">
        <f t="shared" ca="1" si="27"/>
        <v>13517.606425347079</v>
      </c>
      <c r="W43" s="50">
        <f t="shared" ca="1" si="27"/>
        <v>13448.483313095261</v>
      </c>
      <c r="X43" s="50">
        <f t="shared" ca="1" si="27"/>
        <v>13376.356830989518</v>
      </c>
      <c r="Y43" s="50">
        <f t="shared" ca="1" si="27"/>
        <v>13301.092274460607</v>
      </c>
      <c r="Z43" s="50">
        <f t="shared" ca="1" si="27"/>
        <v>13222.548622783122</v>
      </c>
      <c r="AA43" s="50">
        <f t="shared" ca="1" si="27"/>
        <v>12771.681577794883</v>
      </c>
    </row>
    <row r="44" spans="1:27">
      <c r="A44" s="176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>
      <c r="A45" s="23" t="s">
        <v>1071</v>
      </c>
      <c r="B45" s="183">
        <f>Assum!$I$105</f>
        <v>0.35</v>
      </c>
      <c r="C45" s="183">
        <f>Assum!$I$105</f>
        <v>0.35</v>
      </c>
      <c r="D45" s="183">
        <f>Assum!$I$105</f>
        <v>0.35</v>
      </c>
      <c r="E45" s="183">
        <f>Assum!$I$105</f>
        <v>0.35</v>
      </c>
      <c r="F45" s="183">
        <f>Assum!$I$105</f>
        <v>0.35</v>
      </c>
      <c r="G45" s="183">
        <f>Assum!$I$105</f>
        <v>0.35</v>
      </c>
      <c r="H45" s="183">
        <f>Assum!$I$105</f>
        <v>0.35</v>
      </c>
      <c r="I45" s="183">
        <f>Assum!$I$105</f>
        <v>0.35</v>
      </c>
      <c r="J45" s="183">
        <f>Assum!$I$105</f>
        <v>0.35</v>
      </c>
      <c r="K45" s="183">
        <f>Assum!$I$105</f>
        <v>0.35</v>
      </c>
      <c r="L45" s="183">
        <f>Assum!$I$105</f>
        <v>0.35</v>
      </c>
      <c r="M45" s="183">
        <f>Assum!$I$105</f>
        <v>0.35</v>
      </c>
      <c r="N45" s="183">
        <f>Assum!$I$105</f>
        <v>0.35</v>
      </c>
      <c r="O45" s="183">
        <f>Assum!$I$105</f>
        <v>0.35</v>
      </c>
      <c r="P45" s="183">
        <f>Assum!$I$105</f>
        <v>0.35</v>
      </c>
      <c r="Q45" s="183">
        <f>Assum!$I$105</f>
        <v>0.35</v>
      </c>
      <c r="R45" s="183">
        <f>Assum!$I$105</f>
        <v>0.35</v>
      </c>
      <c r="S45" s="183">
        <f>Assum!$I$105</f>
        <v>0.35</v>
      </c>
      <c r="T45" s="183">
        <f>Assum!$I$105</f>
        <v>0.35</v>
      </c>
      <c r="U45" s="183">
        <f>Assum!$I$105</f>
        <v>0.35</v>
      </c>
      <c r="V45" s="183">
        <f>Assum!$I$105</f>
        <v>0.35</v>
      </c>
      <c r="W45" s="183">
        <f>Assum!$I$105</f>
        <v>0.35</v>
      </c>
      <c r="X45" s="183">
        <f>Assum!$I$105</f>
        <v>0.35</v>
      </c>
      <c r="Y45" s="183">
        <f>Assum!$I$105</f>
        <v>0.35</v>
      </c>
      <c r="Z45" s="183">
        <f>Assum!$I$105</f>
        <v>0.35</v>
      </c>
      <c r="AA45" s="183">
        <f>Assum!$I$105</f>
        <v>0.35</v>
      </c>
    </row>
    <row r="46" spans="1:27">
      <c r="A46" s="23" t="s">
        <v>1072</v>
      </c>
      <c r="B46" s="196">
        <f ca="1">B43*B45</f>
        <v>659.98467375595942</v>
      </c>
      <c r="C46" s="194">
        <f t="shared" ref="C46:R46" ca="1" si="28">C43*C45</f>
        <v>697.99735180433458</v>
      </c>
      <c r="D46" s="194">
        <f t="shared" ca="1" si="28"/>
        <v>1121.1902449498</v>
      </c>
      <c r="E46" s="194">
        <f t="shared" ca="1" si="28"/>
        <v>1498.2728606464668</v>
      </c>
      <c r="F46" s="194">
        <f t="shared" ca="1" si="28"/>
        <v>1838.3622400276665</v>
      </c>
      <c r="G46" s="194">
        <f t="shared" ca="1" si="28"/>
        <v>2146.0814321790167</v>
      </c>
      <c r="H46" s="194">
        <f t="shared" ca="1" si="28"/>
        <v>2284.7020639788957</v>
      </c>
      <c r="I46" s="194">
        <f t="shared" ca="1" si="28"/>
        <v>2267.9436090129743</v>
      </c>
      <c r="J46" s="194">
        <f t="shared" ca="1" si="28"/>
        <v>2259.8276896010834</v>
      </c>
      <c r="K46" s="194">
        <f t="shared" ca="1" si="28"/>
        <v>2242.1113255224132</v>
      </c>
      <c r="L46" s="195">
        <f t="shared" ca="1" si="28"/>
        <v>2251.8767296587685</v>
      </c>
      <c r="M46" s="196">
        <f t="shared" ca="1" si="28"/>
        <v>2271.8714511314988</v>
      </c>
      <c r="N46" s="194">
        <f t="shared" ca="1" si="28"/>
        <v>2300.2455923260345</v>
      </c>
      <c r="O46" s="194">
        <f t="shared" ca="1" si="28"/>
        <v>2318.7118408814003</v>
      </c>
      <c r="P46" s="194">
        <f t="shared" ca="1" si="28"/>
        <v>2246.8502282413433</v>
      </c>
      <c r="Q46" s="194">
        <f t="shared" ca="1" si="28"/>
        <v>3493.457264786668</v>
      </c>
      <c r="R46" s="194">
        <f t="shared" ca="1" si="28"/>
        <v>4818.2939283381229</v>
      </c>
      <c r="S46" s="194">
        <f t="shared" ref="S46:AA46" ca="1" si="29">S43*S45</f>
        <v>4797.8748465122253</v>
      </c>
      <c r="T46" s="194">
        <f t="shared" ca="1" si="29"/>
        <v>4776.5730269859869</v>
      </c>
      <c r="U46" s="194">
        <f t="shared" ca="1" si="29"/>
        <v>4754.3491962388662</v>
      </c>
      <c r="V46" s="194">
        <f t="shared" ca="1" si="29"/>
        <v>4731.1622488714775</v>
      </c>
      <c r="W46" s="194">
        <f t="shared" ca="1" si="29"/>
        <v>4706.969159583341</v>
      </c>
      <c r="X46" s="194">
        <f t="shared" ca="1" si="29"/>
        <v>4681.7248908463307</v>
      </c>
      <c r="Y46" s="194">
        <f t="shared" ca="1" si="29"/>
        <v>4655.3822960612124</v>
      </c>
      <c r="Z46" s="194">
        <f t="shared" ca="1" si="29"/>
        <v>4627.8920179740926</v>
      </c>
      <c r="AA46" s="194">
        <f t="shared" ca="1" si="29"/>
        <v>4470.0885522282088</v>
      </c>
    </row>
    <row r="47" spans="1:27">
      <c r="A47" s="1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15" t="s">
        <v>1073</v>
      </c>
      <c r="B48" s="190">
        <f ca="1">IF(B46&lt;0,-B46,0)</f>
        <v>0</v>
      </c>
      <c r="C48" s="190">
        <f ca="1">IF(C46&lt;0,-C46+B48-B49,B48-B49)</f>
        <v>0</v>
      </c>
      <c r="D48" s="190">
        <f ca="1">IF(D46&lt;0,-D46+C48-C49,C48-C49)</f>
        <v>0</v>
      </c>
      <c r="E48" s="190">
        <f ca="1">IF(E46&lt;0,-E46+D48-D49,D48-D49)</f>
        <v>0</v>
      </c>
      <c r="F48" s="190">
        <f t="shared" ref="F48:R48" ca="1" si="30">IF(F46&lt;0,-F46+E48-E49,E48-E49)</f>
        <v>0</v>
      </c>
      <c r="G48" s="190">
        <f t="shared" ca="1" si="30"/>
        <v>0</v>
      </c>
      <c r="H48" s="190">
        <f t="shared" ca="1" si="30"/>
        <v>0</v>
      </c>
      <c r="I48" s="190">
        <f t="shared" ca="1" si="30"/>
        <v>0</v>
      </c>
      <c r="J48" s="190">
        <f t="shared" ca="1" si="30"/>
        <v>0</v>
      </c>
      <c r="K48" s="190">
        <f t="shared" ca="1" si="30"/>
        <v>0</v>
      </c>
      <c r="L48" s="190">
        <f t="shared" ca="1" si="30"/>
        <v>0</v>
      </c>
      <c r="M48" s="190">
        <f t="shared" ca="1" si="30"/>
        <v>0</v>
      </c>
      <c r="N48" s="190">
        <f t="shared" ca="1" si="30"/>
        <v>0</v>
      </c>
      <c r="O48" s="190">
        <f t="shared" ca="1" si="30"/>
        <v>0</v>
      </c>
      <c r="P48" s="190">
        <f t="shared" ca="1" si="30"/>
        <v>0</v>
      </c>
      <c r="Q48" s="190">
        <f t="shared" ca="1" si="30"/>
        <v>0</v>
      </c>
      <c r="R48" s="190">
        <f t="shared" ca="1" si="30"/>
        <v>0</v>
      </c>
      <c r="S48" s="190">
        <f t="shared" ref="S48:AA48" ca="1" si="31">IF(S46&lt;0,-S46+R48-R49,R48-R49)</f>
        <v>0</v>
      </c>
      <c r="T48" s="190">
        <f t="shared" ca="1" si="31"/>
        <v>0</v>
      </c>
      <c r="U48" s="190">
        <f t="shared" ca="1" si="31"/>
        <v>0</v>
      </c>
      <c r="V48" s="190">
        <f t="shared" ca="1" si="31"/>
        <v>0</v>
      </c>
      <c r="W48" s="190">
        <f t="shared" ca="1" si="31"/>
        <v>0</v>
      </c>
      <c r="X48" s="190">
        <f t="shared" ca="1" si="31"/>
        <v>0</v>
      </c>
      <c r="Y48" s="190">
        <f t="shared" ca="1" si="31"/>
        <v>0</v>
      </c>
      <c r="Z48" s="190">
        <f t="shared" ca="1" si="31"/>
        <v>0</v>
      </c>
      <c r="AA48" s="190">
        <f t="shared" ca="1" si="31"/>
        <v>0</v>
      </c>
    </row>
    <row r="49" spans="1:57">
      <c r="A49" s="15" t="s">
        <v>1063</v>
      </c>
      <c r="B49" s="21">
        <v>0</v>
      </c>
      <c r="C49" s="21">
        <f ca="1">IF(C46&lt;0,0,IF(C48&gt;C46,C46,C48))</f>
        <v>0</v>
      </c>
      <c r="D49" s="21">
        <f t="shared" ref="D49:R49" ca="1" si="32">IF(D46&lt;0,0,IF(D48&gt;D46,D46,D48))</f>
        <v>0</v>
      </c>
      <c r="E49" s="21">
        <f t="shared" ca="1" si="32"/>
        <v>0</v>
      </c>
      <c r="F49" s="21">
        <f t="shared" ca="1" si="32"/>
        <v>0</v>
      </c>
      <c r="G49" s="21">
        <f t="shared" ca="1" si="32"/>
        <v>0</v>
      </c>
      <c r="H49" s="21">
        <f t="shared" ca="1" si="32"/>
        <v>0</v>
      </c>
      <c r="I49" s="21">
        <f t="shared" ca="1" si="32"/>
        <v>0</v>
      </c>
      <c r="J49" s="190">
        <f t="shared" ca="1" si="32"/>
        <v>0</v>
      </c>
      <c r="K49" s="190">
        <f t="shared" ca="1" si="32"/>
        <v>0</v>
      </c>
      <c r="L49" s="190">
        <f t="shared" ca="1" si="32"/>
        <v>0</v>
      </c>
      <c r="M49" s="190">
        <f t="shared" ca="1" si="32"/>
        <v>0</v>
      </c>
      <c r="N49" s="190">
        <f t="shared" ca="1" si="32"/>
        <v>0</v>
      </c>
      <c r="O49" s="190">
        <f t="shared" ca="1" si="32"/>
        <v>0</v>
      </c>
      <c r="P49" s="190">
        <f t="shared" ca="1" si="32"/>
        <v>0</v>
      </c>
      <c r="Q49" s="190">
        <f t="shared" ca="1" si="32"/>
        <v>0</v>
      </c>
      <c r="R49" s="190">
        <f t="shared" ca="1" si="32"/>
        <v>0</v>
      </c>
      <c r="S49" s="190">
        <f t="shared" ref="S49:AA49" ca="1" si="33">IF(S46&lt;0,0,IF(S48&gt;S46,S46,S48))</f>
        <v>0</v>
      </c>
      <c r="T49" s="190">
        <f t="shared" ca="1" si="33"/>
        <v>0</v>
      </c>
      <c r="U49" s="190">
        <f t="shared" ca="1" si="33"/>
        <v>0</v>
      </c>
      <c r="V49" s="190">
        <f t="shared" ca="1" si="33"/>
        <v>0</v>
      </c>
      <c r="W49" s="190">
        <f t="shared" ca="1" si="33"/>
        <v>0</v>
      </c>
      <c r="X49" s="190">
        <f t="shared" ca="1" si="33"/>
        <v>0</v>
      </c>
      <c r="Y49" s="190">
        <f t="shared" ca="1" si="33"/>
        <v>0</v>
      </c>
      <c r="Z49" s="190">
        <f t="shared" ca="1" si="33"/>
        <v>0</v>
      </c>
      <c r="AA49" s="190">
        <f t="shared" ca="1" si="33"/>
        <v>0</v>
      </c>
    </row>
    <row r="50" spans="1:57">
      <c r="A50" s="15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57">
      <c r="A51" s="49" t="s">
        <v>1074</v>
      </c>
      <c r="B51" s="184">
        <f ca="1">IF(B46&lt;0,0,(B46-B49))</f>
        <v>659.98467375595942</v>
      </c>
      <c r="C51" s="184">
        <f t="shared" ref="C51:R51" ca="1" si="34">IF(C46&lt;0,0,(C46-C49))</f>
        <v>697.99735180433458</v>
      </c>
      <c r="D51" s="184">
        <f t="shared" ca="1" si="34"/>
        <v>1121.1902449498</v>
      </c>
      <c r="E51" s="184">
        <f t="shared" ca="1" si="34"/>
        <v>1498.2728606464668</v>
      </c>
      <c r="F51" s="184">
        <f t="shared" ca="1" si="34"/>
        <v>1838.3622400276665</v>
      </c>
      <c r="G51" s="184">
        <f t="shared" ca="1" si="34"/>
        <v>2146.0814321790167</v>
      </c>
      <c r="H51" s="184">
        <f t="shared" ca="1" si="34"/>
        <v>2284.7020639788957</v>
      </c>
      <c r="I51" s="184">
        <f t="shared" ca="1" si="34"/>
        <v>2267.9436090129743</v>
      </c>
      <c r="J51" s="184">
        <f t="shared" ca="1" si="34"/>
        <v>2259.8276896010834</v>
      </c>
      <c r="K51" s="184">
        <f t="shared" ca="1" si="34"/>
        <v>2242.1113255224132</v>
      </c>
      <c r="L51" s="184">
        <f t="shared" ca="1" si="34"/>
        <v>2251.8767296587685</v>
      </c>
      <c r="M51" s="184">
        <f t="shared" ca="1" si="34"/>
        <v>2271.8714511314988</v>
      </c>
      <c r="N51" s="184">
        <f t="shared" ca="1" si="34"/>
        <v>2300.2455923260345</v>
      </c>
      <c r="O51" s="184">
        <f t="shared" ca="1" si="34"/>
        <v>2318.7118408814003</v>
      </c>
      <c r="P51" s="184">
        <f t="shared" ca="1" si="34"/>
        <v>2246.8502282413433</v>
      </c>
      <c r="Q51" s="184">
        <f t="shared" ca="1" si="34"/>
        <v>3493.457264786668</v>
      </c>
      <c r="R51" s="184">
        <f t="shared" ca="1" si="34"/>
        <v>4818.2939283381229</v>
      </c>
      <c r="S51" s="184">
        <f t="shared" ref="S51:AA51" ca="1" si="35">IF(S46&lt;0,0,(S46-S49))</f>
        <v>4797.8748465122253</v>
      </c>
      <c r="T51" s="184">
        <f t="shared" ca="1" si="35"/>
        <v>4776.5730269859869</v>
      </c>
      <c r="U51" s="184">
        <f t="shared" ca="1" si="35"/>
        <v>4754.3491962388662</v>
      </c>
      <c r="V51" s="184">
        <f t="shared" ca="1" si="35"/>
        <v>4731.1622488714775</v>
      </c>
      <c r="W51" s="184">
        <f t="shared" ca="1" si="35"/>
        <v>4706.969159583341</v>
      </c>
      <c r="X51" s="184">
        <f t="shared" ca="1" si="35"/>
        <v>4681.7248908463307</v>
      </c>
      <c r="Y51" s="184">
        <f t="shared" ca="1" si="35"/>
        <v>4655.3822960612124</v>
      </c>
      <c r="Z51" s="184">
        <f t="shared" ca="1" si="35"/>
        <v>4627.8920179740926</v>
      </c>
      <c r="AA51" s="184">
        <f t="shared" ca="1" si="35"/>
        <v>4470.0885522282088</v>
      </c>
    </row>
    <row r="52" spans="1:57">
      <c r="A52" s="49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</row>
    <row r="53" spans="1:57">
      <c r="A53"/>
      <c r="B53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</row>
    <row r="54" spans="1:57">
      <c r="A54"/>
      <c r="B54"/>
    </row>
    <row r="55" spans="1:57" s="476" customFormat="1">
      <c r="A55" s="473" t="s">
        <v>1272</v>
      </c>
      <c r="B55" s="474"/>
      <c r="C55" s="474"/>
      <c r="D55" s="474"/>
      <c r="E55" s="474"/>
      <c r="F55" s="474"/>
      <c r="G55" s="474"/>
      <c r="H55" s="474"/>
      <c r="I55" s="474"/>
      <c r="J55" s="474"/>
      <c r="K55" s="474"/>
      <c r="L55" s="474"/>
      <c r="M55" s="474"/>
      <c r="N55" s="474"/>
      <c r="O55" s="474"/>
      <c r="P55" s="474"/>
      <c r="Q55" s="474"/>
      <c r="R55" s="474"/>
      <c r="S55" s="474"/>
      <c r="T55" s="474"/>
      <c r="U55" s="474"/>
      <c r="V55" s="474"/>
      <c r="W55" s="474"/>
      <c r="X55" s="474"/>
      <c r="Y55" s="474"/>
      <c r="Z55" s="474"/>
      <c r="AA55" s="474"/>
      <c r="AB55" s="475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s="476" customFormat="1" ht="11.25">
      <c r="A56" s="449"/>
      <c r="B56" s="377"/>
      <c r="C56" s="377"/>
      <c r="D56" s="377"/>
      <c r="E56" s="377"/>
      <c r="F56" s="377"/>
      <c r="G56" s="377"/>
      <c r="H56" s="377"/>
      <c r="I56" s="377"/>
      <c r="J56" s="377"/>
      <c r="K56" s="377"/>
      <c r="L56" s="377"/>
      <c r="M56" s="377"/>
      <c r="N56" s="377"/>
      <c r="O56" s="377"/>
      <c r="P56" s="377"/>
      <c r="Q56" s="377"/>
      <c r="R56" s="377"/>
      <c r="S56" s="377"/>
      <c r="T56" s="377"/>
      <c r="U56" s="377"/>
      <c r="V56" s="377"/>
      <c r="W56" s="377"/>
      <c r="X56" s="377"/>
      <c r="Y56" s="377"/>
      <c r="Z56" s="377"/>
      <c r="AA56" s="377"/>
      <c r="AB56" s="477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s="476" customFormat="1" ht="11.25">
      <c r="A57" s="449" t="s">
        <v>1312</v>
      </c>
      <c r="B57" s="478">
        <f ca="1">B35+B51</f>
        <v>805.84886428040886</v>
      </c>
      <c r="C57" s="478">
        <f t="shared" ref="C57:AB57" ca="1" si="36">C35+C51</f>
        <v>852.26278062063409</v>
      </c>
      <c r="D57" s="478">
        <f t="shared" ca="1" si="36"/>
        <v>1368.986162047087</v>
      </c>
      <c r="E57" s="478">
        <f t="shared" ca="1" si="36"/>
        <v>1829.4083652926834</v>
      </c>
      <c r="F57" s="478">
        <f t="shared" ca="1" si="36"/>
        <v>2244.6614022586709</v>
      </c>
      <c r="G57" s="478">
        <f t="shared" ca="1" si="36"/>
        <v>2620.3900689582006</v>
      </c>
      <c r="H57" s="478">
        <f t="shared" ca="1" si="36"/>
        <v>2789.6474519608105</v>
      </c>
      <c r="I57" s="478">
        <f t="shared" ca="1" si="36"/>
        <v>2769.185186034957</v>
      </c>
      <c r="J57" s="478">
        <f t="shared" ca="1" si="36"/>
        <v>2759.2755552499825</v>
      </c>
      <c r="K57" s="478">
        <f t="shared" ca="1" si="36"/>
        <v>2737.643671299214</v>
      </c>
      <c r="L57" s="478">
        <f t="shared" ca="1" si="36"/>
        <v>2749.5673418713445</v>
      </c>
      <c r="M57" s="478">
        <f t="shared" ca="1" si="36"/>
        <v>2773.9811263592565</v>
      </c>
      <c r="N57" s="478">
        <f t="shared" ca="1" si="36"/>
        <v>2808.6262785359318</v>
      </c>
      <c r="O57" s="478">
        <f t="shared" ca="1" si="36"/>
        <v>2831.1737800425558</v>
      </c>
      <c r="P57" s="478">
        <f t="shared" ca="1" si="36"/>
        <v>2743.4299259288136</v>
      </c>
      <c r="Q57" s="478">
        <f t="shared" ca="1" si="36"/>
        <v>4265.5514304888957</v>
      </c>
      <c r="R57" s="478">
        <f t="shared" ca="1" si="36"/>
        <v>5883.1922078181524</v>
      </c>
      <c r="S57" s="478">
        <f t="shared" ca="1" si="36"/>
        <v>5858.2602744667238</v>
      </c>
      <c r="T57" s="478">
        <f t="shared" ca="1" si="36"/>
        <v>5832.2505082480111</v>
      </c>
      <c r="U57" s="478">
        <f t="shared" ca="1" si="36"/>
        <v>5805.114955742516</v>
      </c>
      <c r="V57" s="478">
        <f t="shared" ca="1" si="36"/>
        <v>5776.8034267856347</v>
      </c>
      <c r="W57" s="478">
        <f t="shared" ca="1" si="36"/>
        <v>5747.2633869914862</v>
      </c>
      <c r="X57" s="478">
        <f t="shared" ca="1" si="36"/>
        <v>5716.4398450211283</v>
      </c>
      <c r="Y57" s="478">
        <f t="shared" ca="1" si="36"/>
        <v>5684.2752343355842</v>
      </c>
      <c r="Z57" s="478">
        <f t="shared" ca="1" si="36"/>
        <v>5650.7092891611519</v>
      </c>
      <c r="AA57" s="478">
        <f t="shared" ca="1" si="36"/>
        <v>5458.0294456624606</v>
      </c>
      <c r="AB57" s="478">
        <f t="shared" si="36"/>
        <v>0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s="476" customFormat="1" ht="11.25">
      <c r="A58" s="449" t="s">
        <v>1313</v>
      </c>
      <c r="B58" s="479">
        <f ca="1">-(IS!C78+IS!C79)</f>
        <v>2614.3259032993242</v>
      </c>
      <c r="C58" s="479">
        <f ca="1">-(IS!D78+IS!D79)</f>
        <v>4469.2168586584648</v>
      </c>
      <c r="D58" s="479">
        <f ca="1">-(IS!E78+IS!E79)</f>
        <v>4457.3084902178507</v>
      </c>
      <c r="E58" s="479">
        <f ca="1">-(IS!F78+IS!F79)</f>
        <v>4444.7443909508065</v>
      </c>
      <c r="F58" s="479">
        <f ca="1">-(IS!G78+IS!G79)</f>
        <v>4431.5274832876985</v>
      </c>
      <c r="G58" s="479">
        <f ca="1">-(IS!H78+IS!H79)</f>
        <v>4417.7380185062302</v>
      </c>
      <c r="H58" s="479">
        <f ca="1">-(IS!I78+IS!I79)</f>
        <v>4403.3654252392271</v>
      </c>
      <c r="I58" s="479">
        <f ca="1">-(IS!J78+IS!J79)</f>
        <v>4388.4677040488168</v>
      </c>
      <c r="J58" s="479">
        <f ca="1">-(IS!K78+IS!K79)</f>
        <v>4372.9935285283982</v>
      </c>
      <c r="K58" s="479">
        <f ca="1">-(IS!L78+IS!L79)</f>
        <v>4356.9261893130733</v>
      </c>
      <c r="L58" s="479">
        <f ca="1">-(IS!M78+IS!M79)</f>
        <v>4363.2853151497611</v>
      </c>
      <c r="M58" s="479">
        <f ca="1">-(IS!N78+IS!N79)</f>
        <v>4393.2636443731153</v>
      </c>
      <c r="N58" s="479">
        <f ca="1">-(IS!O78+IS!O79)</f>
        <v>4422.3442518143474</v>
      </c>
      <c r="O58" s="479">
        <f ca="1">-(IS!P78+IS!P79)</f>
        <v>4450.4562980564151</v>
      </c>
      <c r="P58" s="479">
        <f ca="1">-(IS!Q78+IS!Q79)</f>
        <v>4357.1478992072298</v>
      </c>
      <c r="Q58" s="479">
        <f ca="1">-(IS!R78+IS!R79)</f>
        <v>4237.7287068116821</v>
      </c>
      <c r="R58" s="479">
        <f ca="1">-(IS!S78+IS!S79)</f>
        <v>4213.8287871853081</v>
      </c>
      <c r="S58" s="479">
        <f ca="1">-(IS!T78+IS!T79)</f>
        <v>4188.8968538338786</v>
      </c>
      <c r="T58" s="479">
        <f ca="1">-(IS!U78+IS!U79)</f>
        <v>4162.8870876151659</v>
      </c>
      <c r="U58" s="479">
        <f ca="1">-(IS!V78+IS!V79)</f>
        <v>4135.7515351096708</v>
      </c>
      <c r="V58" s="479">
        <f ca="1">-(IS!W78+IS!W79)</f>
        <v>4107.4400061527895</v>
      </c>
      <c r="W58" s="479">
        <f ca="1">-(IS!X78+IS!X79)</f>
        <v>4077.8999663586414</v>
      </c>
      <c r="X58" s="479">
        <f ca="1">-(IS!Y78+IS!Y79)</f>
        <v>4047.0764243882845</v>
      </c>
      <c r="Y58" s="479">
        <f ca="1">-(IS!Z78+IS!Z79)</f>
        <v>4014.9118137027394</v>
      </c>
      <c r="Z58" s="479">
        <f ca="1">-(IS!AA78+IS!AA79)</f>
        <v>3981.3458685283072</v>
      </c>
      <c r="AA58" s="479">
        <f ca="1">-(IS!AB78+IS!AB79)</f>
        <v>3788.6660250296154</v>
      </c>
      <c r="AB58" s="479">
        <f>-(IS!AC78+IS!AC79)</f>
        <v>0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s="476" customFormat="1" ht="11.25">
      <c r="A59" s="449" t="s">
        <v>1314</v>
      </c>
      <c r="B59" s="478">
        <f ca="1">B58-B57</f>
        <v>1808.4770390189153</v>
      </c>
      <c r="C59" s="478">
        <f t="shared" ref="C59:AB59" ca="1" si="37">C58-C57</f>
        <v>3616.9540780378306</v>
      </c>
      <c r="D59" s="478">
        <f t="shared" ca="1" si="37"/>
        <v>3088.3223281707637</v>
      </c>
      <c r="E59" s="478">
        <f t="shared" ca="1" si="37"/>
        <v>2615.3360256581232</v>
      </c>
      <c r="F59" s="478">
        <f t="shared" ca="1" si="37"/>
        <v>2186.8660810290276</v>
      </c>
      <c r="G59" s="478">
        <f t="shared" ca="1" si="37"/>
        <v>1797.3479495480296</v>
      </c>
      <c r="H59" s="478">
        <f t="shared" ca="1" si="37"/>
        <v>1613.7179732784166</v>
      </c>
      <c r="I59" s="478">
        <f t="shared" ca="1" si="37"/>
        <v>1619.2825180138598</v>
      </c>
      <c r="J59" s="478">
        <f t="shared" ca="1" si="37"/>
        <v>1613.7179732784157</v>
      </c>
      <c r="K59" s="478">
        <f t="shared" ca="1" si="37"/>
        <v>1619.2825180138593</v>
      </c>
      <c r="L59" s="478">
        <f t="shared" ca="1" si="37"/>
        <v>1613.7179732784166</v>
      </c>
      <c r="M59" s="478">
        <f t="shared" ca="1" si="37"/>
        <v>1619.2825180138589</v>
      </c>
      <c r="N59" s="478">
        <f t="shared" ca="1" si="37"/>
        <v>1613.7179732784157</v>
      </c>
      <c r="O59" s="478">
        <f t="shared" ca="1" si="37"/>
        <v>1619.2825180138593</v>
      </c>
      <c r="P59" s="478">
        <f t="shared" ca="1" si="37"/>
        <v>1613.7179732784161</v>
      </c>
      <c r="Q59" s="478">
        <f t="shared" ca="1" si="37"/>
        <v>-27.822723677213617</v>
      </c>
      <c r="R59" s="478">
        <f t="shared" ca="1" si="37"/>
        <v>-1669.3634206328443</v>
      </c>
      <c r="S59" s="478">
        <f t="shared" ca="1" si="37"/>
        <v>-1669.3634206328452</v>
      </c>
      <c r="T59" s="478">
        <f t="shared" ca="1" si="37"/>
        <v>-1669.3634206328452</v>
      </c>
      <c r="U59" s="478">
        <f t="shared" ca="1" si="37"/>
        <v>-1669.3634206328452</v>
      </c>
      <c r="V59" s="478">
        <f t="shared" ca="1" si="37"/>
        <v>-1669.3634206328452</v>
      </c>
      <c r="W59" s="478">
        <f t="shared" ca="1" si="37"/>
        <v>-1669.3634206328447</v>
      </c>
      <c r="X59" s="478">
        <f t="shared" ca="1" si="37"/>
        <v>-1669.3634206328438</v>
      </c>
      <c r="Y59" s="478">
        <f t="shared" ca="1" si="37"/>
        <v>-1669.3634206328447</v>
      </c>
      <c r="Z59" s="478">
        <f t="shared" ca="1" si="37"/>
        <v>-1669.3634206328447</v>
      </c>
      <c r="AA59" s="478">
        <f t="shared" ca="1" si="37"/>
        <v>-1669.3634206328452</v>
      </c>
      <c r="AB59" s="478">
        <f t="shared" si="37"/>
        <v>0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s="476" customFormat="1" ht="11.25">
      <c r="A60" s="449"/>
      <c r="B60" s="377"/>
      <c r="C60" s="377"/>
      <c r="D60" s="478"/>
      <c r="E60" s="478"/>
      <c r="F60" s="478"/>
      <c r="G60" s="478"/>
      <c r="H60" s="478"/>
      <c r="I60" s="478"/>
      <c r="J60" s="478"/>
      <c r="K60" s="478"/>
      <c r="L60" s="478"/>
      <c r="M60" s="478"/>
      <c r="N60" s="478"/>
      <c r="O60" s="478"/>
      <c r="P60" s="478"/>
      <c r="Q60" s="478"/>
      <c r="R60" s="478"/>
      <c r="S60" s="478"/>
      <c r="T60" s="478"/>
      <c r="U60" s="478"/>
      <c r="V60" s="478"/>
      <c r="W60" s="478"/>
      <c r="X60" s="478"/>
      <c r="Y60" s="478"/>
      <c r="Z60" s="478"/>
      <c r="AA60" s="478"/>
      <c r="AB60" s="480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s="476" customFormat="1" ht="11.25">
      <c r="A61" s="455" t="s">
        <v>1315</v>
      </c>
      <c r="B61" s="481">
        <f ca="1">B59</f>
        <v>1808.4770390189153</v>
      </c>
      <c r="C61" s="481">
        <f ca="1">C59+B61</f>
        <v>5425.4311170567462</v>
      </c>
      <c r="D61" s="481">
        <f t="shared" ref="D61:AB61" ca="1" si="38">D59+C61</f>
        <v>8513.7534452275104</v>
      </c>
      <c r="E61" s="481">
        <f t="shared" ca="1" si="38"/>
        <v>11129.089470885634</v>
      </c>
      <c r="F61" s="481">
        <f t="shared" ca="1" si="38"/>
        <v>13315.955551914662</v>
      </c>
      <c r="G61" s="481">
        <f t="shared" ca="1" si="38"/>
        <v>15113.303501462691</v>
      </c>
      <c r="H61" s="481">
        <f t="shared" ca="1" si="38"/>
        <v>16727.021474741108</v>
      </c>
      <c r="I61" s="481">
        <f t="shared" ca="1" si="38"/>
        <v>18346.303992754969</v>
      </c>
      <c r="J61" s="481">
        <f t="shared" ca="1" si="38"/>
        <v>19960.021966033386</v>
      </c>
      <c r="K61" s="481">
        <f t="shared" ca="1" si="38"/>
        <v>21579.304484047247</v>
      </c>
      <c r="L61" s="481">
        <f t="shared" ca="1" si="38"/>
        <v>23193.022457325664</v>
      </c>
      <c r="M61" s="481">
        <f t="shared" ca="1" si="38"/>
        <v>24812.304975339524</v>
      </c>
      <c r="N61" s="481">
        <f t="shared" ca="1" si="38"/>
        <v>26426.022948617941</v>
      </c>
      <c r="O61" s="481">
        <f t="shared" ca="1" si="38"/>
        <v>28045.305466631802</v>
      </c>
      <c r="P61" s="481">
        <f t="shared" ca="1" si="38"/>
        <v>29659.023439910219</v>
      </c>
      <c r="Q61" s="481">
        <f t="shared" ca="1" si="38"/>
        <v>29631.200716233005</v>
      </c>
      <c r="R61" s="481">
        <f t="shared" ca="1" si="38"/>
        <v>27961.837295600162</v>
      </c>
      <c r="S61" s="481">
        <f t="shared" ca="1" si="38"/>
        <v>26292.473874967316</v>
      </c>
      <c r="T61" s="481">
        <f t="shared" ca="1" si="38"/>
        <v>24623.11045433447</v>
      </c>
      <c r="U61" s="481">
        <f t="shared" ca="1" si="38"/>
        <v>22953.747033701624</v>
      </c>
      <c r="V61" s="481">
        <f t="shared" ca="1" si="38"/>
        <v>21284.383613068778</v>
      </c>
      <c r="W61" s="481">
        <f t="shared" ca="1" si="38"/>
        <v>19615.020192435932</v>
      </c>
      <c r="X61" s="481">
        <f t="shared" ca="1" si="38"/>
        <v>17945.656771803089</v>
      </c>
      <c r="Y61" s="481">
        <f t="shared" ca="1" si="38"/>
        <v>16276.293351170245</v>
      </c>
      <c r="Z61" s="481">
        <f t="shared" ca="1" si="38"/>
        <v>14606.929930537401</v>
      </c>
      <c r="AA61" s="481">
        <f t="shared" ca="1" si="38"/>
        <v>12937.566509904555</v>
      </c>
      <c r="AB61" s="481">
        <f t="shared" ca="1" si="38"/>
        <v>12937.566509904555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</sheetData>
  <pageMargins left="0.45" right="0.45" top="0.5" bottom="0.5" header="0.25" footer="0.25"/>
  <pageSetup scale="56" fitToWidth="2" orientation="landscape" r:id="rId1"/>
  <headerFooter alignWithMargins="0">
    <oddFooter xml:space="preserve">&amp;L&amp;T, &amp;D&amp;C&amp;F&amp;R&amp;P </oddFooter>
  </headerFooter>
  <colBreaks count="1" manualBreakCount="1">
    <brk id="16" min="1" max="4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F265"/>
  <sheetViews>
    <sheetView showGridLines="0" zoomScaleNormal="75" workbookViewId="0">
      <selection activeCell="C15" sqref="C15"/>
    </sheetView>
  </sheetViews>
  <sheetFormatPr defaultColWidth="10.5703125" defaultRowHeight="11.25"/>
  <cols>
    <col min="1" max="1" width="13.42578125" style="389" bestFit="1" customWidth="1"/>
    <col min="2" max="2" width="10.5703125" style="389"/>
    <col min="3" max="3" width="18.28515625" style="389" bestFit="1" customWidth="1"/>
    <col min="4" max="4" width="17" style="389" customWidth="1"/>
    <col min="5" max="5" width="19.140625" style="389" bestFit="1" customWidth="1"/>
    <col min="6" max="6" width="18.140625" style="389" customWidth="1"/>
    <col min="7" max="8" width="17" style="389" bestFit="1" customWidth="1"/>
    <col min="9" max="9" width="16.140625" style="389" bestFit="1" customWidth="1"/>
    <col min="10" max="16" width="10.5703125" style="389"/>
    <col min="17" max="16384" width="10.5703125" style="391"/>
  </cols>
  <sheetData>
    <row r="1" spans="1:18" ht="20.25">
      <c r="A1" s="382" t="str">
        <f>Assum!A2</f>
        <v xml:space="preserve">PROJECT NAME: PLANO </v>
      </c>
      <c r="B1" s="383"/>
      <c r="C1" s="384"/>
      <c r="D1" s="385"/>
      <c r="E1" s="386"/>
      <c r="F1" s="387"/>
      <c r="G1" s="388"/>
      <c r="Q1" s="390"/>
      <c r="R1" s="390"/>
    </row>
    <row r="2" spans="1:18" ht="12.75">
      <c r="A2" s="392" t="s">
        <v>1283</v>
      </c>
      <c r="B2" s="393"/>
      <c r="C2" s="394"/>
      <c r="D2" s="395"/>
      <c r="E2" s="386"/>
      <c r="F2" s="387"/>
      <c r="G2" s="388"/>
      <c r="Q2" s="390"/>
      <c r="R2" s="390"/>
    </row>
    <row r="3" spans="1:18" ht="12.75">
      <c r="A3" s="13"/>
      <c r="B3" s="13"/>
      <c r="C3" s="49"/>
      <c r="D3" s="387"/>
      <c r="E3" s="387"/>
      <c r="F3" s="387"/>
      <c r="G3" s="388"/>
      <c r="Q3" s="390"/>
      <c r="R3" s="390"/>
    </row>
    <row r="4" spans="1:18" ht="11.45" customHeight="1">
      <c r="A4"/>
      <c r="B4"/>
      <c r="C4"/>
      <c r="D4"/>
      <c r="E4"/>
      <c r="F4"/>
      <c r="G4" s="14"/>
      <c r="H4" s="14"/>
      <c r="Q4" s="390"/>
    </row>
    <row r="5" spans="1:18" ht="11.45" customHeight="1">
      <c r="A5" s="58" t="s">
        <v>1284</v>
      </c>
      <c r="C5" s="14"/>
      <c r="D5" s="14"/>
      <c r="E5" s="14"/>
      <c r="F5" s="14"/>
      <c r="G5" s="14"/>
      <c r="H5" s="14"/>
      <c r="Q5" s="390"/>
    </row>
    <row r="6" spans="1:18" ht="11.45" customHeight="1">
      <c r="A6" s="14" t="s">
        <v>1285</v>
      </c>
      <c r="B6" s="14"/>
      <c r="C6" s="631">
        <f>Assum!B120</f>
        <v>5.5E-2</v>
      </c>
      <c r="D6" s="631">
        <f>Assum!B121</f>
        <v>6.2500000000000003E-3</v>
      </c>
      <c r="E6" s="121">
        <f>C6+D6</f>
        <v>6.1249999999999999E-2</v>
      </c>
      <c r="F6" s="396">
        <f>E6/365.25</f>
        <v>1.6769336071184121E-4</v>
      </c>
      <c r="G6" s="14"/>
      <c r="H6" s="14"/>
      <c r="Q6" s="390"/>
    </row>
    <row r="7" spans="1:18" ht="11.45" customHeight="1">
      <c r="A7" s="397"/>
      <c r="B7" s="14"/>
      <c r="C7" s="14"/>
      <c r="D7" s="14"/>
      <c r="E7" s="398" t="s">
        <v>1286</v>
      </c>
      <c r="F7" s="398" t="s">
        <v>1287</v>
      </c>
      <c r="G7" s="14"/>
      <c r="H7" s="14"/>
      <c r="Q7" s="390"/>
    </row>
    <row r="8" spans="1:18" ht="11.45" customHeight="1">
      <c r="A8" s="14"/>
      <c r="B8" s="14"/>
      <c r="C8" s="14"/>
      <c r="D8" s="14"/>
      <c r="E8" s="14"/>
      <c r="F8" s="14"/>
      <c r="G8" s="14"/>
      <c r="H8" s="14"/>
      <c r="Q8" s="390"/>
    </row>
    <row r="9" spans="1:18" ht="11.45" customHeight="1">
      <c r="A9" s="14"/>
      <c r="B9" s="14"/>
      <c r="C9" s="14"/>
      <c r="D9" s="14"/>
      <c r="E9" s="14"/>
      <c r="F9" s="14"/>
      <c r="G9" s="14"/>
      <c r="H9" s="14"/>
      <c r="Q9" s="390"/>
    </row>
    <row r="10" spans="1:18" ht="11.45" customHeight="1">
      <c r="D10" s="398" t="s">
        <v>1288</v>
      </c>
      <c r="E10" s="399">
        <v>36770</v>
      </c>
      <c r="F10" s="14"/>
      <c r="G10" s="14"/>
      <c r="P10" s="390"/>
    </row>
    <row r="11" spans="1:18" ht="11.45" customHeight="1">
      <c r="A11" s="14"/>
      <c r="B11" s="14"/>
      <c r="C11" s="14"/>
      <c r="D11" s="14"/>
      <c r="E11" s="14"/>
      <c r="F11" s="14"/>
      <c r="G11" s="14"/>
      <c r="P11" s="390"/>
    </row>
    <row r="12" spans="1:18" ht="11.45" customHeight="1">
      <c r="A12" s="51" t="s">
        <v>1176</v>
      </c>
      <c r="B12" s="51" t="s">
        <v>967</v>
      </c>
      <c r="C12" s="398" t="s">
        <v>1289</v>
      </c>
      <c r="D12" s="14"/>
      <c r="E12" s="400" t="s">
        <v>1290</v>
      </c>
      <c r="F12" s="14"/>
      <c r="G12" s="14"/>
      <c r="P12" s="390"/>
    </row>
    <row r="13" spans="1:18" ht="11.45" customHeight="1">
      <c r="A13" s="401">
        <v>36586</v>
      </c>
      <c r="B13" s="402">
        <f t="shared" ref="B13:B19" si="0">C13/$C$20</f>
        <v>0.83480837599538937</v>
      </c>
      <c r="C13" s="403">
        <f>Assum!C19*Assum!I10</f>
        <v>93651</v>
      </c>
      <c r="D13" s="14"/>
      <c r="E13" s="404">
        <f>+C13*(1+$F$6)^($E$10-A13)</f>
        <v>96585.449000926426</v>
      </c>
      <c r="F13" s="14"/>
      <c r="G13" s="14"/>
      <c r="P13" s="390"/>
    </row>
    <row r="14" spans="1:18" ht="11.45" customHeight="1">
      <c r="A14" s="401">
        <v>36617</v>
      </c>
      <c r="B14" s="402">
        <f>C14/$C$20</f>
        <v>2.7531937334101808E-2</v>
      </c>
      <c r="C14" s="403">
        <f>MAX((Assum!C26-Assum!C19*Assum!$I$10)/6,0)</f>
        <v>3088.6051666666658</v>
      </c>
      <c r="D14" s="14"/>
      <c r="E14" s="404">
        <f t="shared" ref="E14:E19" si="1">+C14*(1+$F$6)^($E$10-A14)</f>
        <v>3168.8682961907152</v>
      </c>
      <c r="F14" s="14"/>
      <c r="G14" s="14"/>
      <c r="P14" s="390"/>
    </row>
    <row r="15" spans="1:18" ht="12.75">
      <c r="A15" s="401">
        <v>36647</v>
      </c>
      <c r="B15" s="402">
        <f t="shared" si="0"/>
        <v>2.7531937334101808E-2</v>
      </c>
      <c r="C15" s="403">
        <f>C14</f>
        <v>3088.6051666666658</v>
      </c>
      <c r="D15" s="14"/>
      <c r="E15" s="404">
        <f t="shared" si="1"/>
        <v>3152.9677140009921</v>
      </c>
      <c r="F15" s="14"/>
      <c r="P15" s="390"/>
      <c r="Q15" s="390"/>
    </row>
    <row r="16" spans="1:18" ht="12.75">
      <c r="A16" s="401">
        <v>36678</v>
      </c>
      <c r="B16" s="402">
        <f t="shared" si="0"/>
        <v>2.7531937334101808E-2</v>
      </c>
      <c r="C16" s="403">
        <f>C15</f>
        <v>3088.6051666666658</v>
      </c>
      <c r="D16" s="14"/>
      <c r="E16" s="404">
        <f t="shared" si="1"/>
        <v>3136.6209264194858</v>
      </c>
      <c r="F16" s="14"/>
      <c r="P16" s="390"/>
      <c r="Q16" s="390"/>
    </row>
    <row r="17" spans="1:31" ht="12.75">
      <c r="A17" s="401">
        <v>36708</v>
      </c>
      <c r="B17" s="402">
        <f t="shared" si="0"/>
        <v>2.7531937334101808E-2</v>
      </c>
      <c r="C17" s="403">
        <f>C16</f>
        <v>3088.6051666666658</v>
      </c>
      <c r="D17" s="14"/>
      <c r="E17" s="404">
        <f t="shared" si="1"/>
        <v>3120.882153401215</v>
      </c>
      <c r="F17" s="14"/>
      <c r="P17" s="390"/>
      <c r="Q17" s="390"/>
    </row>
    <row r="18" spans="1:31" ht="12.75">
      <c r="A18" s="401">
        <v>36739</v>
      </c>
      <c r="B18" s="402">
        <f t="shared" si="0"/>
        <v>2.7531937334101808E-2</v>
      </c>
      <c r="C18" s="403">
        <f>C17</f>
        <v>3088.6051666666658</v>
      </c>
      <c r="D18" s="14"/>
      <c r="E18" s="404">
        <f t="shared" si="1"/>
        <v>3104.7017157132464</v>
      </c>
      <c r="F18" s="14"/>
      <c r="P18" s="390"/>
      <c r="Q18" s="390"/>
    </row>
    <row r="19" spans="1:31" ht="12.75">
      <c r="A19" s="401">
        <v>36770</v>
      </c>
      <c r="B19" s="402">
        <f t="shared" si="0"/>
        <v>2.7531937334101808E-2</v>
      </c>
      <c r="C19" s="403">
        <f>C18</f>
        <v>3088.6051666666658</v>
      </c>
      <c r="D19" s="14"/>
      <c r="E19" s="404">
        <f t="shared" si="1"/>
        <v>3088.6051666666658</v>
      </c>
      <c r="F19" s="14"/>
      <c r="P19" s="390"/>
      <c r="Q19" s="390"/>
    </row>
    <row r="20" spans="1:31">
      <c r="A20" s="406"/>
      <c r="B20" s="407">
        <f>SUM(B13:B19)</f>
        <v>1.0000000000000004</v>
      </c>
      <c r="C20" s="408">
        <f>SUM(C13:C19)</f>
        <v>112182.63099999996</v>
      </c>
      <c r="D20" s="409"/>
      <c r="E20" s="408">
        <f>SUM(E13:E19)</f>
        <v>115358.09497331874</v>
      </c>
      <c r="F20" s="405"/>
      <c r="G20" s="405"/>
      <c r="H20" s="405"/>
      <c r="I20" s="405"/>
      <c r="J20" s="405"/>
      <c r="K20" s="405"/>
      <c r="L20" s="405"/>
      <c r="M20" s="405"/>
      <c r="N20" s="405"/>
      <c r="O20" s="405"/>
      <c r="P20" s="410"/>
      <c r="Q20" s="410"/>
      <c r="R20" s="410"/>
      <c r="S20" s="410"/>
      <c r="T20" s="410"/>
      <c r="U20" s="410"/>
      <c r="V20" s="410"/>
      <c r="W20" s="410"/>
      <c r="X20" s="410"/>
      <c r="Y20" s="410"/>
      <c r="Z20" s="410"/>
      <c r="AA20" s="410"/>
      <c r="AB20" s="410"/>
      <c r="AC20" s="410"/>
      <c r="AD20" s="410"/>
    </row>
    <row r="21" spans="1:31">
      <c r="G21" s="409"/>
      <c r="H21" s="409"/>
      <c r="I21" s="409"/>
      <c r="J21" s="409"/>
      <c r="K21" s="409"/>
      <c r="L21" s="409"/>
      <c r="M21" s="409"/>
      <c r="N21" s="409"/>
      <c r="O21" s="409"/>
      <c r="P21" s="409"/>
      <c r="Q21" s="411"/>
      <c r="R21" s="411"/>
      <c r="S21" s="411"/>
      <c r="T21" s="411"/>
      <c r="U21" s="411"/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</row>
    <row r="22" spans="1:31">
      <c r="G22" s="408"/>
      <c r="Q22" s="390"/>
      <c r="R22" s="390"/>
    </row>
    <row r="23" spans="1:31">
      <c r="C23" s="490"/>
      <c r="Q23" s="390"/>
      <c r="R23" s="390"/>
    </row>
    <row r="24" spans="1:31">
      <c r="C24" s="417"/>
      <c r="Q24" s="390"/>
      <c r="R24" s="390"/>
    </row>
    <row r="25" spans="1:31">
      <c r="Q25" s="390"/>
      <c r="R25" s="390"/>
    </row>
    <row r="26" spans="1:31" customFormat="1" ht="12.75">
      <c r="A26" s="389"/>
      <c r="B26" s="389"/>
    </row>
    <row r="27" spans="1:31" customFormat="1" ht="12.75">
      <c r="A27" s="389"/>
      <c r="B27" s="389"/>
    </row>
    <row r="28" spans="1:31" customFormat="1" ht="12.75">
      <c r="A28" s="389"/>
      <c r="B28" s="389"/>
    </row>
    <row r="29" spans="1:31" customFormat="1" ht="12.75">
      <c r="A29" s="389"/>
      <c r="B29" s="389"/>
    </row>
    <row r="30" spans="1:31" customFormat="1" ht="12.75">
      <c r="A30" s="389"/>
      <c r="B30" s="389"/>
    </row>
    <row r="31" spans="1:31" customFormat="1" ht="12.75">
      <c r="A31" s="389"/>
      <c r="B31" s="389"/>
    </row>
    <row r="32" spans="1:31" customFormat="1" ht="12.75">
      <c r="A32" s="389"/>
      <c r="B32" s="389"/>
    </row>
    <row r="33" spans="1:32" customFormat="1" ht="12.75">
      <c r="A33" s="406"/>
      <c r="B33" s="406"/>
    </row>
    <row r="34" spans="1:32" customFormat="1" ht="12.75">
      <c r="A34" s="14"/>
      <c r="B34" s="14"/>
    </row>
    <row r="35" spans="1:32" customFormat="1" ht="12.75">
      <c r="A35" s="14"/>
      <c r="B35" s="14"/>
    </row>
    <row r="36" spans="1:32" ht="12.75">
      <c r="A36" s="14"/>
      <c r="B36" s="14"/>
      <c r="C36" s="14"/>
      <c r="D36" s="14"/>
      <c r="E36" s="14"/>
      <c r="F36" s="14"/>
      <c r="G36" s="14"/>
      <c r="Q36" s="390"/>
      <c r="R36" s="390"/>
    </row>
    <row r="37" spans="1:32" ht="12.75">
      <c r="A37" s="14"/>
      <c r="B37" s="14"/>
      <c r="C37" s="14"/>
      <c r="D37" s="14"/>
      <c r="E37" s="14"/>
      <c r="F37" s="14"/>
      <c r="G37" s="14"/>
      <c r="Q37" s="390"/>
      <c r="R37" s="390"/>
    </row>
    <row r="38" spans="1:32" ht="12.75">
      <c r="A38" s="14"/>
      <c r="B38" s="14"/>
      <c r="C38" s="14"/>
      <c r="D38" s="14"/>
      <c r="E38" s="14"/>
      <c r="F38" s="14"/>
      <c r="G38" s="14"/>
      <c r="Q38" s="390"/>
      <c r="R38" s="390"/>
    </row>
    <row r="39" spans="1:32" ht="12.75">
      <c r="A39" s="14"/>
      <c r="B39" s="14"/>
      <c r="C39" s="14"/>
      <c r="D39" s="14"/>
      <c r="E39" s="14"/>
      <c r="F39" s="14"/>
      <c r="G39" s="14"/>
      <c r="Q39" s="390"/>
      <c r="R39" s="390"/>
    </row>
    <row r="40" spans="1:32" ht="12.75">
      <c r="A40" s="14"/>
      <c r="B40" s="14"/>
      <c r="C40" s="14"/>
      <c r="D40" s="14"/>
      <c r="E40" s="14"/>
      <c r="F40" s="14"/>
      <c r="G40" s="14"/>
      <c r="Q40" s="390"/>
      <c r="R40" s="390"/>
    </row>
    <row r="41" spans="1:32" ht="12.75">
      <c r="A41" s="406"/>
      <c r="B41" s="406"/>
      <c r="C41" s="412"/>
      <c r="D41" s="413"/>
      <c r="E41" s="413"/>
      <c r="G41" s="14"/>
      <c r="Q41" s="390"/>
      <c r="R41" s="390"/>
    </row>
    <row r="42" spans="1:32" ht="11.45" customHeight="1">
      <c r="A42" s="406"/>
      <c r="B42" s="406"/>
      <c r="C42" s="412"/>
      <c r="D42" s="412"/>
      <c r="E42" s="412"/>
      <c r="F42" s="413"/>
      <c r="Q42" s="390"/>
      <c r="R42" s="390"/>
    </row>
    <row r="43" spans="1:32" ht="11.45" customHeight="1">
      <c r="A43" s="412"/>
      <c r="B43" s="412"/>
      <c r="C43" s="406"/>
      <c r="D43" s="406"/>
      <c r="E43" s="406"/>
      <c r="F43" s="405"/>
      <c r="Q43" s="390"/>
      <c r="R43" s="390"/>
      <c r="S43" s="390"/>
    </row>
    <row r="44" spans="1:32" ht="11.45" customHeight="1">
      <c r="A44" s="412"/>
      <c r="B44" s="412"/>
      <c r="C44" s="406"/>
      <c r="D44" s="406"/>
      <c r="E44" s="406"/>
      <c r="F44" s="409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10"/>
      <c r="R44" s="410"/>
      <c r="S44" s="410"/>
      <c r="T44" s="410"/>
      <c r="U44" s="410"/>
      <c r="V44" s="410"/>
      <c r="W44" s="410"/>
      <c r="X44" s="410"/>
      <c r="Y44" s="410"/>
      <c r="Z44" s="410"/>
      <c r="AA44" s="410"/>
      <c r="AB44" s="410"/>
      <c r="AC44" s="410"/>
      <c r="AD44" s="410"/>
      <c r="AE44" s="410"/>
      <c r="AF44" s="410"/>
    </row>
    <row r="45" spans="1:32" ht="11.45" customHeight="1">
      <c r="A45" s="406"/>
      <c r="B45" s="406"/>
      <c r="C45" s="412"/>
      <c r="D45" s="412"/>
      <c r="E45" s="412"/>
      <c r="F45" s="413"/>
      <c r="G45" s="409"/>
      <c r="H45" s="409"/>
      <c r="I45" s="409"/>
      <c r="J45" s="409"/>
      <c r="K45" s="409"/>
      <c r="L45" s="409"/>
      <c r="M45" s="409"/>
      <c r="N45" s="409"/>
      <c r="O45" s="409"/>
      <c r="P45" s="409"/>
      <c r="Q45" s="411"/>
      <c r="R45" s="411"/>
      <c r="S45" s="411"/>
      <c r="T45" s="411"/>
      <c r="U45" s="411"/>
      <c r="V45" s="411"/>
      <c r="W45" s="411"/>
      <c r="X45" s="411"/>
      <c r="Y45" s="411"/>
      <c r="Z45" s="411"/>
      <c r="AA45" s="411"/>
      <c r="AB45" s="411"/>
      <c r="AC45" s="411"/>
      <c r="AD45" s="411"/>
      <c r="AE45" s="411"/>
      <c r="AF45" s="411"/>
    </row>
    <row r="46" spans="1:32" ht="11.45" customHeight="1">
      <c r="A46" s="406"/>
      <c r="B46" s="406"/>
      <c r="C46" s="412"/>
      <c r="D46" s="412"/>
      <c r="E46" s="412"/>
      <c r="F46" s="412"/>
      <c r="Q46" s="390"/>
      <c r="R46" s="390"/>
      <c r="S46" s="390"/>
    </row>
    <row r="47" spans="1:32" ht="11.45" customHeight="1">
      <c r="A47" s="406"/>
      <c r="B47" s="406"/>
      <c r="C47" s="406"/>
      <c r="D47" s="406"/>
      <c r="E47" s="406"/>
      <c r="F47" s="405"/>
      <c r="G47" s="412"/>
      <c r="H47" s="412"/>
      <c r="I47" s="412"/>
      <c r="J47" s="412"/>
      <c r="K47" s="412"/>
      <c r="L47" s="412"/>
      <c r="M47" s="412"/>
      <c r="N47" s="412"/>
      <c r="O47" s="412"/>
      <c r="P47" s="412"/>
      <c r="Q47" s="414"/>
      <c r="R47" s="414"/>
      <c r="S47" s="414"/>
      <c r="T47" s="414"/>
      <c r="U47" s="414"/>
      <c r="V47" s="414"/>
      <c r="W47" s="414"/>
      <c r="X47" s="414"/>
      <c r="Y47" s="414"/>
      <c r="Z47" s="414"/>
      <c r="AA47" s="414"/>
      <c r="AB47" s="414"/>
      <c r="AC47" s="414"/>
      <c r="AD47" s="414"/>
      <c r="AE47" s="414"/>
      <c r="AF47" s="414"/>
    </row>
    <row r="48" spans="1:32" ht="11.45" customHeight="1">
      <c r="A48" s="406"/>
      <c r="B48" s="406"/>
      <c r="C48" s="412"/>
      <c r="D48" s="412"/>
      <c r="E48" s="412"/>
      <c r="F48" s="412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10"/>
      <c r="R48" s="410"/>
      <c r="S48" s="410"/>
      <c r="T48" s="410"/>
      <c r="U48" s="410"/>
      <c r="V48" s="410"/>
      <c r="W48" s="410"/>
      <c r="X48" s="410"/>
      <c r="Y48" s="410"/>
      <c r="Z48" s="410"/>
      <c r="AA48" s="410"/>
      <c r="AB48" s="410"/>
      <c r="AC48" s="410"/>
      <c r="AD48" s="410"/>
      <c r="AE48" s="410"/>
      <c r="AF48" s="410"/>
    </row>
    <row r="49" spans="1:32" ht="11.45" customHeight="1">
      <c r="A49" s="406"/>
      <c r="B49" s="406"/>
      <c r="C49" s="406"/>
      <c r="D49" s="406"/>
      <c r="E49" s="406"/>
      <c r="F49" s="412"/>
      <c r="G49" s="415"/>
      <c r="H49" s="415"/>
      <c r="I49" s="415"/>
      <c r="J49" s="415"/>
      <c r="K49" s="415"/>
      <c r="L49" s="415"/>
      <c r="M49" s="415"/>
      <c r="N49" s="415"/>
      <c r="O49" s="415"/>
      <c r="P49" s="415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6"/>
      <c r="AE49" s="416"/>
      <c r="AF49" s="416"/>
    </row>
    <row r="50" spans="1:32" ht="11.45" customHeight="1">
      <c r="A50" s="406"/>
      <c r="B50" s="406"/>
      <c r="C50" s="406"/>
      <c r="D50" s="406"/>
      <c r="E50" s="406"/>
      <c r="F50" s="412"/>
      <c r="G50" s="415"/>
      <c r="H50" s="415"/>
      <c r="I50" s="415"/>
      <c r="J50" s="415"/>
      <c r="K50" s="415"/>
      <c r="L50" s="415"/>
      <c r="M50" s="415"/>
      <c r="N50" s="415"/>
      <c r="O50" s="415"/>
      <c r="P50" s="415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6"/>
      <c r="AE50" s="416"/>
      <c r="AF50" s="416"/>
    </row>
    <row r="51" spans="1:32" ht="11.45" customHeight="1">
      <c r="A51" s="14"/>
      <c r="B51" s="14"/>
      <c r="C51" s="14"/>
      <c r="D51" s="14"/>
      <c r="E51" s="14"/>
      <c r="F51" s="14"/>
      <c r="G51" s="415"/>
      <c r="H51" s="415"/>
      <c r="I51" s="415"/>
      <c r="J51" s="415"/>
      <c r="K51" s="415"/>
      <c r="L51" s="415"/>
      <c r="M51" s="415"/>
      <c r="N51" s="415"/>
      <c r="O51" s="415"/>
      <c r="P51" s="415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6"/>
      <c r="AE51" s="416"/>
      <c r="AF51" s="416"/>
    </row>
    <row r="52" spans="1:32" ht="12.75">
      <c r="A52" s="14"/>
      <c r="B52" s="14"/>
      <c r="C52" s="14"/>
      <c r="D52" s="14"/>
      <c r="E52" s="14"/>
      <c r="F52" s="14"/>
      <c r="G52" s="14"/>
      <c r="Q52" s="390"/>
      <c r="R52" s="390"/>
    </row>
    <row r="53" spans="1:32" ht="12.75">
      <c r="A53" s="14"/>
      <c r="B53" s="14"/>
      <c r="C53" s="14"/>
      <c r="D53" s="14"/>
      <c r="E53" s="14"/>
      <c r="F53" s="14"/>
      <c r="G53" s="14"/>
      <c r="Q53" s="390"/>
      <c r="R53" s="390"/>
    </row>
    <row r="54" spans="1:32" ht="12.75">
      <c r="A54" s="14"/>
      <c r="B54" s="14"/>
      <c r="C54" s="14"/>
      <c r="D54" s="14"/>
      <c r="E54" s="14"/>
      <c r="F54" s="14"/>
      <c r="G54" s="14"/>
      <c r="Q54" s="390"/>
      <c r="R54" s="390"/>
    </row>
    <row r="55" spans="1:32" ht="12.75">
      <c r="A55" s="14"/>
      <c r="B55" s="14"/>
      <c r="C55" s="14"/>
      <c r="D55" s="14"/>
      <c r="E55" s="14"/>
      <c r="F55" s="14"/>
      <c r="G55" s="14"/>
      <c r="Q55" s="390"/>
      <c r="R55" s="390"/>
    </row>
    <row r="56" spans="1:32" ht="12.75">
      <c r="A56" s="14"/>
      <c r="B56" s="14"/>
      <c r="C56" s="14"/>
      <c r="D56" s="14"/>
      <c r="E56" s="14"/>
      <c r="F56" s="14"/>
      <c r="G56" s="14"/>
      <c r="Q56" s="390"/>
      <c r="R56" s="390"/>
    </row>
    <row r="57" spans="1:32" ht="12.75">
      <c r="A57" s="14"/>
      <c r="B57" s="14"/>
      <c r="C57" s="14"/>
      <c r="D57" s="14"/>
      <c r="E57" s="14"/>
      <c r="F57" s="14"/>
      <c r="G57" s="14"/>
      <c r="Q57" s="390"/>
      <c r="R57" s="390"/>
    </row>
    <row r="58" spans="1:32" ht="12.75">
      <c r="A58" s="14"/>
      <c r="B58" s="14"/>
      <c r="C58" s="14"/>
      <c r="D58" s="14"/>
      <c r="E58" s="14"/>
      <c r="F58" s="14"/>
      <c r="G58" s="14"/>
      <c r="Q58" s="390"/>
      <c r="R58" s="390"/>
    </row>
    <row r="59" spans="1:32" ht="12.75">
      <c r="A59" s="14"/>
      <c r="B59" s="14"/>
      <c r="C59" s="14"/>
      <c r="D59" s="14"/>
      <c r="E59" s="14"/>
      <c r="F59" s="14"/>
      <c r="G59" s="14"/>
      <c r="Q59" s="390"/>
      <c r="R59" s="390"/>
    </row>
    <row r="60" spans="1:32" ht="12.75">
      <c r="A60" s="14"/>
      <c r="B60" s="14"/>
      <c r="C60" s="14"/>
      <c r="D60" s="14"/>
      <c r="E60" s="14"/>
      <c r="F60" s="14"/>
      <c r="G60" s="14"/>
      <c r="Q60" s="390"/>
      <c r="R60" s="390"/>
    </row>
    <row r="61" spans="1:32" ht="12.75">
      <c r="A61" s="14"/>
      <c r="B61" s="14"/>
      <c r="C61" s="14"/>
      <c r="D61" s="14"/>
      <c r="E61" s="14"/>
      <c r="F61" s="14"/>
      <c r="G61" s="14"/>
      <c r="Q61" s="390"/>
      <c r="R61" s="390"/>
    </row>
    <row r="62" spans="1:32" ht="12.75">
      <c r="A62" s="14"/>
      <c r="B62" s="14"/>
      <c r="C62" s="14"/>
      <c r="D62" s="14"/>
      <c r="E62" s="14"/>
      <c r="F62" s="14"/>
      <c r="G62" s="14"/>
      <c r="Q62" s="390"/>
      <c r="R62" s="390"/>
    </row>
    <row r="63" spans="1:32" ht="12.75">
      <c r="A63" s="14"/>
      <c r="B63" s="14"/>
      <c r="C63" s="14"/>
      <c r="D63" s="14"/>
      <c r="E63" s="14"/>
      <c r="F63" s="14"/>
      <c r="G63" s="14"/>
      <c r="Q63" s="390"/>
      <c r="R63" s="390"/>
    </row>
    <row r="64" spans="1:32" ht="12.75">
      <c r="A64" s="14"/>
      <c r="B64" s="14"/>
      <c r="C64" s="14"/>
      <c r="D64" s="14"/>
      <c r="E64" s="14"/>
      <c r="F64" s="14"/>
      <c r="G64" s="14"/>
      <c r="Q64" s="390"/>
      <c r="R64" s="390"/>
    </row>
    <row r="65" spans="1:18" ht="12.75">
      <c r="A65" s="14"/>
      <c r="B65" s="14"/>
      <c r="C65" s="14"/>
      <c r="D65" s="14"/>
      <c r="E65" s="14"/>
      <c r="F65" s="14"/>
      <c r="G65" s="14"/>
      <c r="Q65" s="390"/>
      <c r="R65" s="390"/>
    </row>
    <row r="66" spans="1:18" ht="12.75">
      <c r="A66" s="14"/>
      <c r="B66" s="14"/>
      <c r="C66" s="14"/>
      <c r="D66" s="14"/>
      <c r="E66" s="14"/>
      <c r="F66" s="14"/>
      <c r="G66" s="14"/>
      <c r="Q66" s="390"/>
      <c r="R66" s="390"/>
    </row>
    <row r="67" spans="1:18" ht="12.75">
      <c r="A67" s="14"/>
      <c r="B67" s="14"/>
      <c r="C67" s="14"/>
      <c r="D67" s="14"/>
      <c r="E67" s="14"/>
      <c r="F67" s="14"/>
      <c r="G67" s="14"/>
      <c r="Q67" s="390"/>
      <c r="R67" s="390"/>
    </row>
    <row r="68" spans="1:18" ht="12.75">
      <c r="A68" s="14"/>
      <c r="B68" s="14"/>
      <c r="C68" s="14"/>
      <c r="D68" s="14"/>
      <c r="E68" s="14"/>
      <c r="F68" s="14"/>
      <c r="G68" s="14"/>
      <c r="Q68" s="390"/>
      <c r="R68" s="390"/>
    </row>
    <row r="69" spans="1:18" ht="12.75">
      <c r="A69" s="14"/>
      <c r="B69" s="14"/>
      <c r="C69" s="14"/>
      <c r="D69" s="14"/>
      <c r="E69" s="14"/>
      <c r="F69" s="14"/>
      <c r="G69" s="14"/>
      <c r="Q69" s="390"/>
      <c r="R69" s="390"/>
    </row>
    <row r="70" spans="1:18" ht="12.75">
      <c r="A70" s="14"/>
      <c r="B70" s="14"/>
      <c r="C70" s="14"/>
      <c r="D70" s="14"/>
      <c r="E70" s="14"/>
      <c r="F70" s="14"/>
      <c r="G70" s="14"/>
      <c r="Q70" s="390"/>
      <c r="R70" s="390"/>
    </row>
    <row r="71" spans="1:18" ht="12.75">
      <c r="A71" s="14"/>
      <c r="B71" s="14"/>
      <c r="C71" s="14"/>
      <c r="D71" s="14"/>
      <c r="E71" s="14"/>
      <c r="F71" s="14"/>
      <c r="G71" s="14"/>
      <c r="Q71" s="390"/>
      <c r="R71" s="390"/>
    </row>
    <row r="72" spans="1:18" ht="12.75">
      <c r="A72" s="14"/>
      <c r="B72" s="14"/>
      <c r="C72" s="14"/>
      <c r="D72" s="14"/>
      <c r="E72" s="14"/>
      <c r="F72" s="14"/>
      <c r="G72" s="14"/>
      <c r="Q72" s="390"/>
      <c r="R72" s="390"/>
    </row>
    <row r="73" spans="1:18" ht="12.75">
      <c r="A73" s="14"/>
      <c r="B73" s="14"/>
      <c r="C73" s="14"/>
      <c r="D73" s="14"/>
      <c r="E73" s="14"/>
      <c r="F73" s="14"/>
      <c r="G73" s="14"/>
      <c r="Q73" s="390"/>
      <c r="R73" s="390"/>
    </row>
    <row r="74" spans="1:18" ht="12.75">
      <c r="A74" s="14"/>
      <c r="B74" s="14"/>
      <c r="C74" s="14"/>
      <c r="D74" s="14"/>
      <c r="E74" s="14"/>
      <c r="F74" s="14"/>
      <c r="G74" s="14"/>
      <c r="Q74" s="390"/>
      <c r="R74" s="390"/>
    </row>
    <row r="75" spans="1:18" ht="12.75">
      <c r="A75" s="14"/>
      <c r="B75" s="14"/>
      <c r="C75" s="14"/>
      <c r="D75" s="14"/>
      <c r="E75" s="14"/>
      <c r="F75" s="14"/>
      <c r="G75" s="14"/>
      <c r="Q75" s="390"/>
      <c r="R75" s="390"/>
    </row>
    <row r="76" spans="1:18" ht="12.75">
      <c r="A76" s="14"/>
      <c r="B76" s="14"/>
      <c r="C76" s="14"/>
      <c r="D76" s="14"/>
      <c r="E76" s="14"/>
      <c r="F76" s="14"/>
      <c r="G76" s="14"/>
      <c r="Q76" s="390"/>
      <c r="R76" s="390"/>
    </row>
    <row r="77" spans="1:18" ht="12.75">
      <c r="A77" s="14"/>
      <c r="B77" s="14"/>
      <c r="C77" s="14"/>
      <c r="D77" s="14"/>
      <c r="E77" s="14"/>
      <c r="F77" s="14"/>
      <c r="G77" s="14"/>
      <c r="Q77" s="390"/>
      <c r="R77" s="390"/>
    </row>
    <row r="78" spans="1:18" ht="12.75">
      <c r="A78" s="14"/>
      <c r="B78" s="14"/>
      <c r="C78" s="14"/>
      <c r="D78" s="14"/>
      <c r="E78" s="14"/>
      <c r="F78" s="14"/>
      <c r="G78" s="14"/>
      <c r="Q78" s="390"/>
      <c r="R78" s="390"/>
    </row>
    <row r="79" spans="1:18" ht="12.75">
      <c r="A79" s="14"/>
      <c r="B79" s="14"/>
      <c r="C79" s="14"/>
      <c r="D79" s="14"/>
      <c r="E79" s="14"/>
      <c r="F79" s="14"/>
      <c r="G79" s="14"/>
      <c r="Q79" s="390"/>
      <c r="R79" s="390"/>
    </row>
    <row r="80" spans="1:18" ht="12.75">
      <c r="A80" s="14"/>
      <c r="B80" s="14"/>
      <c r="C80" s="14"/>
      <c r="D80" s="14"/>
      <c r="E80" s="14"/>
      <c r="F80" s="14"/>
      <c r="G80" s="14"/>
      <c r="Q80" s="390"/>
      <c r="R80" s="390"/>
    </row>
    <row r="81" spans="1:18" ht="12.75">
      <c r="A81" s="14"/>
      <c r="B81" s="14"/>
      <c r="C81" s="14"/>
      <c r="D81" s="14"/>
      <c r="E81" s="14"/>
      <c r="F81" s="14"/>
      <c r="G81" s="14"/>
      <c r="Q81" s="390"/>
      <c r="R81" s="390"/>
    </row>
    <row r="82" spans="1:18" ht="12.75">
      <c r="A82" s="14"/>
      <c r="B82" s="14"/>
      <c r="C82" s="14"/>
      <c r="D82" s="14"/>
      <c r="E82" s="14"/>
      <c r="F82" s="14"/>
      <c r="G82" s="14"/>
      <c r="Q82" s="390"/>
      <c r="R82" s="390"/>
    </row>
    <row r="83" spans="1:18" ht="12.75">
      <c r="A83" s="14"/>
      <c r="B83" s="14"/>
      <c r="C83" s="14"/>
      <c r="D83" s="14"/>
      <c r="E83" s="14"/>
      <c r="F83" s="14"/>
      <c r="G83" s="14"/>
      <c r="Q83" s="390"/>
      <c r="R83" s="390"/>
    </row>
    <row r="84" spans="1:18" ht="12.75">
      <c r="A84" s="14"/>
      <c r="B84" s="14"/>
      <c r="C84" s="14"/>
      <c r="D84" s="14"/>
      <c r="E84" s="14"/>
      <c r="F84" s="14"/>
      <c r="G84" s="14"/>
      <c r="Q84" s="390"/>
      <c r="R84" s="390"/>
    </row>
    <row r="85" spans="1:18" ht="12.75">
      <c r="G85" s="14"/>
      <c r="Q85" s="390"/>
      <c r="R85" s="390"/>
    </row>
    <row r="86" spans="1:18">
      <c r="Q86" s="390"/>
      <c r="R86" s="390"/>
    </row>
    <row r="87" spans="1:18">
      <c r="Q87" s="390"/>
      <c r="R87" s="390"/>
    </row>
    <row r="88" spans="1:18">
      <c r="Q88" s="390"/>
      <c r="R88" s="390"/>
    </row>
    <row r="89" spans="1:18">
      <c r="Q89" s="390"/>
      <c r="R89" s="390"/>
    </row>
    <row r="90" spans="1:18">
      <c r="Q90" s="390"/>
      <c r="R90" s="390"/>
    </row>
    <row r="91" spans="1:18">
      <c r="Q91" s="390"/>
      <c r="R91" s="390"/>
    </row>
    <row r="92" spans="1:18">
      <c r="Q92" s="390"/>
      <c r="R92" s="390"/>
    </row>
    <row r="93" spans="1:18">
      <c r="Q93" s="390"/>
      <c r="R93" s="390"/>
    </row>
    <row r="94" spans="1:18">
      <c r="Q94" s="390"/>
      <c r="R94" s="390"/>
    </row>
    <row r="95" spans="1:18">
      <c r="Q95" s="390"/>
      <c r="R95" s="390"/>
    </row>
    <row r="96" spans="1:18">
      <c r="Q96" s="390"/>
      <c r="R96" s="390"/>
    </row>
    <row r="97" spans="17:18">
      <c r="Q97" s="390"/>
      <c r="R97" s="390"/>
    </row>
    <row r="98" spans="17:18">
      <c r="Q98" s="390"/>
      <c r="R98" s="390"/>
    </row>
    <row r="99" spans="17:18">
      <c r="Q99" s="390"/>
      <c r="R99" s="390"/>
    </row>
    <row r="100" spans="17:18">
      <c r="Q100" s="390"/>
      <c r="R100" s="390"/>
    </row>
    <row r="101" spans="17:18">
      <c r="Q101" s="390"/>
      <c r="R101" s="390"/>
    </row>
    <row r="102" spans="17:18">
      <c r="Q102" s="390"/>
      <c r="R102" s="390"/>
    </row>
    <row r="103" spans="17:18">
      <c r="Q103" s="390"/>
      <c r="R103" s="390"/>
    </row>
    <row r="104" spans="17:18">
      <c r="Q104" s="390"/>
      <c r="R104" s="390"/>
    </row>
    <row r="105" spans="17:18">
      <c r="Q105" s="390"/>
      <c r="R105" s="390"/>
    </row>
    <row r="106" spans="17:18">
      <c r="Q106" s="390"/>
      <c r="R106" s="390"/>
    </row>
    <row r="107" spans="17:18">
      <c r="Q107" s="390"/>
      <c r="R107" s="390"/>
    </row>
    <row r="108" spans="17:18">
      <c r="Q108" s="390"/>
      <c r="R108" s="390"/>
    </row>
    <row r="109" spans="17:18">
      <c r="Q109" s="390"/>
      <c r="R109" s="390"/>
    </row>
    <row r="110" spans="17:18">
      <c r="Q110" s="390"/>
      <c r="R110" s="390"/>
    </row>
    <row r="111" spans="17:18">
      <c r="Q111" s="390"/>
      <c r="R111" s="390"/>
    </row>
    <row r="112" spans="17:18">
      <c r="Q112" s="390"/>
      <c r="R112" s="390"/>
    </row>
    <row r="113" spans="6:18">
      <c r="Q113" s="390"/>
      <c r="R113" s="390"/>
    </row>
    <row r="114" spans="6:18">
      <c r="Q114" s="390"/>
      <c r="R114" s="390"/>
    </row>
    <row r="115" spans="6:18">
      <c r="Q115" s="390"/>
      <c r="R115" s="390"/>
    </row>
    <row r="116" spans="6:18">
      <c r="Q116" s="390"/>
      <c r="R116" s="390"/>
    </row>
    <row r="117" spans="6:18">
      <c r="F117" s="417"/>
      <c r="Q117" s="390"/>
      <c r="R117" s="390"/>
    </row>
    <row r="118" spans="6:18">
      <c r="Q118" s="390"/>
      <c r="R118" s="390"/>
    </row>
    <row r="119" spans="6:18">
      <c r="Q119" s="390"/>
      <c r="R119" s="390"/>
    </row>
    <row r="120" spans="6:18">
      <c r="Q120" s="390"/>
      <c r="R120" s="390"/>
    </row>
    <row r="121" spans="6:18">
      <c r="Q121" s="390"/>
      <c r="R121" s="390"/>
    </row>
    <row r="122" spans="6:18">
      <c r="Q122" s="390"/>
      <c r="R122" s="390"/>
    </row>
    <row r="123" spans="6:18">
      <c r="Q123" s="390"/>
      <c r="R123" s="390"/>
    </row>
    <row r="124" spans="6:18">
      <c r="Q124" s="390"/>
      <c r="R124" s="390"/>
    </row>
    <row r="125" spans="6:18">
      <c r="Q125" s="390"/>
      <c r="R125" s="390"/>
    </row>
    <row r="126" spans="6:18">
      <c r="Q126" s="390"/>
      <c r="R126" s="390"/>
    </row>
    <row r="127" spans="6:18">
      <c r="Q127" s="390"/>
      <c r="R127" s="390"/>
    </row>
    <row r="128" spans="6:18">
      <c r="Q128" s="390"/>
      <c r="R128" s="390"/>
    </row>
    <row r="129" spans="17:18">
      <c r="Q129" s="390"/>
      <c r="R129" s="390"/>
    </row>
    <row r="130" spans="17:18">
      <c r="Q130" s="390"/>
      <c r="R130" s="390"/>
    </row>
    <row r="131" spans="17:18">
      <c r="Q131" s="390"/>
      <c r="R131" s="390"/>
    </row>
    <row r="132" spans="17:18">
      <c r="Q132" s="390"/>
      <c r="R132" s="390"/>
    </row>
    <row r="133" spans="17:18">
      <c r="Q133" s="390"/>
      <c r="R133" s="390"/>
    </row>
    <row r="134" spans="17:18">
      <c r="Q134" s="390"/>
      <c r="R134" s="390"/>
    </row>
    <row r="135" spans="17:18">
      <c r="Q135" s="390"/>
      <c r="R135" s="390"/>
    </row>
    <row r="136" spans="17:18">
      <c r="Q136" s="390"/>
      <c r="R136" s="390"/>
    </row>
    <row r="137" spans="17:18">
      <c r="Q137" s="390"/>
      <c r="R137" s="390"/>
    </row>
    <row r="138" spans="17:18">
      <c r="Q138" s="390"/>
      <c r="R138" s="390"/>
    </row>
    <row r="139" spans="17:18">
      <c r="Q139" s="390"/>
      <c r="R139" s="390"/>
    </row>
    <row r="140" spans="17:18">
      <c r="Q140" s="390"/>
      <c r="R140" s="390"/>
    </row>
    <row r="141" spans="17:18">
      <c r="Q141" s="390"/>
      <c r="R141" s="390"/>
    </row>
    <row r="142" spans="17:18">
      <c r="Q142" s="390"/>
      <c r="R142" s="390"/>
    </row>
    <row r="143" spans="17:18">
      <c r="Q143" s="390"/>
      <c r="R143" s="390"/>
    </row>
    <row r="144" spans="17:18">
      <c r="Q144" s="390"/>
      <c r="R144" s="390"/>
    </row>
    <row r="145" spans="17:18">
      <c r="Q145" s="390"/>
      <c r="R145" s="390"/>
    </row>
    <row r="146" spans="17:18">
      <c r="Q146" s="390"/>
      <c r="R146" s="390"/>
    </row>
    <row r="147" spans="17:18">
      <c r="Q147" s="390"/>
      <c r="R147" s="390"/>
    </row>
    <row r="148" spans="17:18">
      <c r="Q148" s="390"/>
      <c r="R148" s="390"/>
    </row>
    <row r="149" spans="17:18">
      <c r="Q149" s="390"/>
      <c r="R149" s="390"/>
    </row>
    <row r="150" spans="17:18">
      <c r="Q150" s="390"/>
      <c r="R150" s="390"/>
    </row>
    <row r="151" spans="17:18">
      <c r="Q151" s="390"/>
      <c r="R151" s="390"/>
    </row>
    <row r="152" spans="17:18">
      <c r="Q152" s="390"/>
      <c r="R152" s="390"/>
    </row>
    <row r="153" spans="17:18">
      <c r="Q153" s="390"/>
      <c r="R153" s="390"/>
    </row>
    <row r="154" spans="17:18">
      <c r="Q154" s="390"/>
      <c r="R154" s="390"/>
    </row>
    <row r="155" spans="17:18">
      <c r="Q155" s="390"/>
      <c r="R155" s="390"/>
    </row>
    <row r="156" spans="17:18">
      <c r="Q156" s="390"/>
      <c r="R156" s="390"/>
    </row>
    <row r="157" spans="17:18">
      <c r="Q157" s="390"/>
      <c r="R157" s="390"/>
    </row>
    <row r="158" spans="17:18">
      <c r="Q158" s="390"/>
      <c r="R158" s="390"/>
    </row>
    <row r="159" spans="17:18">
      <c r="Q159" s="390"/>
      <c r="R159" s="390"/>
    </row>
    <row r="160" spans="17:18">
      <c r="Q160" s="390"/>
      <c r="R160" s="390"/>
    </row>
    <row r="161" spans="17:18">
      <c r="Q161" s="390"/>
      <c r="R161" s="390"/>
    </row>
    <row r="162" spans="17:18">
      <c r="Q162" s="390"/>
      <c r="R162" s="390"/>
    </row>
    <row r="163" spans="17:18">
      <c r="Q163" s="390"/>
      <c r="R163" s="390"/>
    </row>
    <row r="164" spans="17:18">
      <c r="Q164" s="390"/>
      <c r="R164" s="390"/>
    </row>
    <row r="165" spans="17:18">
      <c r="Q165" s="390"/>
      <c r="R165" s="390"/>
    </row>
    <row r="166" spans="17:18">
      <c r="Q166" s="390"/>
      <c r="R166" s="390"/>
    </row>
    <row r="167" spans="17:18">
      <c r="Q167" s="390"/>
      <c r="R167" s="390"/>
    </row>
    <row r="168" spans="17:18">
      <c r="Q168" s="390"/>
      <c r="R168" s="390"/>
    </row>
    <row r="169" spans="17:18">
      <c r="Q169" s="390"/>
      <c r="R169" s="390"/>
    </row>
    <row r="170" spans="17:18">
      <c r="Q170" s="390"/>
      <c r="R170" s="390"/>
    </row>
    <row r="171" spans="17:18">
      <c r="Q171" s="390"/>
      <c r="R171" s="390"/>
    </row>
    <row r="172" spans="17:18">
      <c r="Q172" s="390"/>
      <c r="R172" s="390"/>
    </row>
    <row r="173" spans="17:18">
      <c r="Q173" s="390"/>
      <c r="R173" s="390"/>
    </row>
    <row r="174" spans="17:18">
      <c r="Q174" s="390"/>
      <c r="R174" s="390"/>
    </row>
    <row r="175" spans="17:18">
      <c r="Q175" s="390"/>
      <c r="R175" s="390"/>
    </row>
    <row r="176" spans="17:18">
      <c r="Q176" s="390"/>
      <c r="R176" s="390"/>
    </row>
    <row r="177" spans="17:18">
      <c r="Q177" s="390"/>
      <c r="R177" s="390"/>
    </row>
    <row r="178" spans="17:18">
      <c r="Q178" s="390"/>
      <c r="R178" s="390"/>
    </row>
    <row r="179" spans="17:18">
      <c r="Q179" s="390"/>
      <c r="R179" s="390"/>
    </row>
    <row r="180" spans="17:18">
      <c r="Q180" s="390"/>
      <c r="R180" s="390"/>
    </row>
    <row r="181" spans="17:18">
      <c r="Q181" s="390"/>
      <c r="R181" s="390"/>
    </row>
    <row r="182" spans="17:18">
      <c r="Q182" s="390"/>
      <c r="R182" s="390"/>
    </row>
    <row r="183" spans="17:18">
      <c r="Q183" s="390"/>
      <c r="R183" s="390"/>
    </row>
    <row r="184" spans="17:18">
      <c r="Q184" s="390"/>
      <c r="R184" s="390"/>
    </row>
    <row r="185" spans="17:18">
      <c r="Q185" s="390"/>
      <c r="R185" s="390"/>
    </row>
    <row r="186" spans="17:18">
      <c r="Q186" s="390"/>
      <c r="R186" s="390"/>
    </row>
    <row r="187" spans="17:18">
      <c r="Q187" s="390"/>
      <c r="R187" s="390"/>
    </row>
    <row r="188" spans="17:18">
      <c r="Q188" s="390"/>
      <c r="R188" s="390"/>
    </row>
    <row r="189" spans="17:18">
      <c r="Q189" s="390"/>
      <c r="R189" s="390"/>
    </row>
    <row r="190" spans="17:18">
      <c r="Q190" s="390"/>
      <c r="R190" s="390"/>
    </row>
    <row r="191" spans="17:18">
      <c r="Q191" s="390"/>
      <c r="R191" s="390"/>
    </row>
    <row r="192" spans="17:18">
      <c r="Q192" s="390"/>
      <c r="R192" s="390"/>
    </row>
    <row r="193" spans="17:18">
      <c r="Q193" s="390"/>
      <c r="R193" s="390"/>
    </row>
    <row r="194" spans="17:18">
      <c r="Q194" s="390"/>
      <c r="R194" s="390"/>
    </row>
    <row r="195" spans="17:18">
      <c r="Q195" s="390"/>
      <c r="R195" s="390"/>
    </row>
    <row r="196" spans="17:18">
      <c r="Q196" s="390"/>
      <c r="R196" s="390"/>
    </row>
    <row r="197" spans="17:18">
      <c r="Q197" s="390"/>
      <c r="R197" s="390"/>
    </row>
    <row r="198" spans="17:18">
      <c r="Q198" s="390"/>
      <c r="R198" s="390"/>
    </row>
    <row r="199" spans="17:18">
      <c r="Q199" s="390"/>
      <c r="R199" s="390"/>
    </row>
    <row r="200" spans="17:18">
      <c r="Q200" s="390"/>
      <c r="R200" s="390"/>
    </row>
    <row r="201" spans="17:18">
      <c r="Q201" s="390"/>
      <c r="R201" s="390"/>
    </row>
    <row r="202" spans="17:18">
      <c r="Q202" s="390"/>
      <c r="R202" s="390"/>
    </row>
    <row r="203" spans="17:18">
      <c r="Q203" s="390"/>
      <c r="R203" s="390"/>
    </row>
    <row r="204" spans="17:18">
      <c r="Q204" s="390"/>
      <c r="R204" s="390"/>
    </row>
    <row r="205" spans="17:18">
      <c r="Q205" s="390"/>
      <c r="R205" s="390"/>
    </row>
    <row r="206" spans="17:18">
      <c r="Q206" s="390"/>
      <c r="R206" s="390"/>
    </row>
    <row r="207" spans="17:18">
      <c r="Q207" s="390"/>
      <c r="R207" s="390"/>
    </row>
    <row r="208" spans="17:18">
      <c r="Q208" s="390"/>
      <c r="R208" s="390"/>
    </row>
    <row r="209" spans="17:18">
      <c r="Q209" s="390"/>
      <c r="R209" s="390"/>
    </row>
    <row r="210" spans="17:18">
      <c r="Q210" s="390"/>
      <c r="R210" s="390"/>
    </row>
    <row r="211" spans="17:18">
      <c r="Q211" s="390"/>
      <c r="R211" s="390"/>
    </row>
    <row r="212" spans="17:18">
      <c r="Q212" s="390"/>
      <c r="R212" s="390"/>
    </row>
    <row r="213" spans="17:18">
      <c r="Q213" s="390"/>
      <c r="R213" s="390"/>
    </row>
    <row r="214" spans="17:18">
      <c r="Q214" s="390"/>
      <c r="R214" s="390"/>
    </row>
    <row r="215" spans="17:18">
      <c r="Q215" s="390"/>
      <c r="R215" s="390"/>
    </row>
    <row r="216" spans="17:18">
      <c r="Q216" s="390"/>
      <c r="R216" s="390"/>
    </row>
    <row r="217" spans="17:18">
      <c r="Q217" s="390"/>
      <c r="R217" s="390"/>
    </row>
    <row r="218" spans="17:18">
      <c r="Q218" s="390"/>
      <c r="R218" s="390"/>
    </row>
    <row r="219" spans="17:18">
      <c r="Q219" s="390"/>
      <c r="R219" s="390"/>
    </row>
    <row r="220" spans="17:18">
      <c r="Q220" s="390"/>
      <c r="R220" s="390"/>
    </row>
    <row r="221" spans="17:18">
      <c r="Q221" s="390"/>
      <c r="R221" s="390"/>
    </row>
    <row r="222" spans="17:18">
      <c r="Q222" s="390"/>
      <c r="R222" s="390"/>
    </row>
    <row r="223" spans="17:18">
      <c r="Q223" s="390"/>
      <c r="R223" s="390"/>
    </row>
    <row r="224" spans="17:18">
      <c r="Q224" s="390"/>
      <c r="R224" s="390"/>
    </row>
    <row r="225" spans="17:18">
      <c r="Q225" s="390"/>
      <c r="R225" s="390"/>
    </row>
    <row r="243" spans="1:18" ht="11.45" customHeight="1">
      <c r="Q243" s="390"/>
      <c r="R243" s="390"/>
    </row>
    <row r="244" spans="1:18" ht="11.45" customHeight="1">
      <c r="F244" s="387"/>
      <c r="Q244" s="390"/>
      <c r="R244" s="390"/>
    </row>
    <row r="245" spans="1:18" ht="11.45" customHeight="1">
      <c r="Q245" s="390"/>
      <c r="R245" s="390"/>
    </row>
    <row r="246" spans="1:18" ht="11.45" customHeight="1">
      <c r="Q246" s="390"/>
      <c r="R246" s="390"/>
    </row>
    <row r="247" spans="1:18">
      <c r="G247" s="418"/>
      <c r="Q247" s="390"/>
      <c r="R247" s="390"/>
    </row>
    <row r="248" spans="1:18" ht="12.75">
      <c r="G248" s="14"/>
      <c r="Q248" s="390"/>
      <c r="R248" s="390"/>
    </row>
    <row r="249" spans="1:18" ht="12.75">
      <c r="G249" s="14"/>
      <c r="Q249" s="390"/>
      <c r="R249" s="390"/>
    </row>
    <row r="250" spans="1:18" ht="12.75">
      <c r="G250" s="14"/>
      <c r="Q250" s="390"/>
      <c r="R250" s="390"/>
    </row>
    <row r="251" spans="1:18" ht="12.75">
      <c r="G251" s="14"/>
      <c r="Q251" s="390"/>
      <c r="R251" s="390"/>
    </row>
    <row r="252" spans="1:18" ht="12.75">
      <c r="G252" s="14"/>
      <c r="Q252" s="390"/>
      <c r="R252" s="390"/>
    </row>
    <row r="253" spans="1:18" ht="12.75">
      <c r="G253" s="14"/>
      <c r="Q253" s="390"/>
      <c r="R253" s="390"/>
    </row>
    <row r="254" spans="1:18" ht="12.75">
      <c r="A254" s="14"/>
      <c r="B254" s="14"/>
      <c r="C254" s="14"/>
      <c r="D254" s="14"/>
      <c r="E254" s="14"/>
      <c r="F254" s="14"/>
      <c r="G254" s="14"/>
      <c r="Q254" s="390"/>
      <c r="R254" s="390"/>
    </row>
    <row r="255" spans="1:18" ht="12.75">
      <c r="A255" s="14"/>
      <c r="B255" s="14"/>
      <c r="C255" s="14"/>
      <c r="D255" s="14"/>
      <c r="E255" s="14"/>
      <c r="F255" s="14"/>
      <c r="G255" s="14"/>
      <c r="Q255" s="390"/>
      <c r="R255" s="390"/>
    </row>
    <row r="256" spans="1:18" ht="12.75">
      <c r="A256" s="406"/>
      <c r="B256" s="406"/>
      <c r="C256" s="412"/>
      <c r="D256" s="412"/>
      <c r="E256" s="412"/>
      <c r="F256" s="413"/>
      <c r="G256" s="14"/>
      <c r="Q256" s="390"/>
      <c r="R256" s="390"/>
    </row>
    <row r="257" spans="1:32" ht="11.45" customHeight="1">
      <c r="A257" s="412"/>
      <c r="B257" s="412"/>
      <c r="C257" s="406"/>
      <c r="D257" s="406"/>
      <c r="E257" s="406"/>
      <c r="F257" s="405"/>
      <c r="Q257" s="390"/>
      <c r="R257" s="390"/>
      <c r="S257" s="390"/>
    </row>
    <row r="258" spans="1:32" ht="11.45" customHeight="1">
      <c r="A258" s="412"/>
      <c r="B258" s="412"/>
      <c r="C258" s="406"/>
      <c r="D258" s="406"/>
      <c r="E258" s="406"/>
      <c r="F258" s="409"/>
      <c r="G258" s="405"/>
      <c r="H258" s="405"/>
      <c r="I258" s="405"/>
      <c r="J258" s="405"/>
      <c r="K258" s="405"/>
      <c r="L258" s="405"/>
      <c r="M258" s="405"/>
      <c r="N258" s="405"/>
      <c r="O258" s="405"/>
      <c r="P258" s="405"/>
      <c r="Q258" s="410"/>
      <c r="R258" s="410"/>
      <c r="S258" s="410"/>
      <c r="T258" s="410"/>
      <c r="U258" s="410"/>
      <c r="V258" s="410"/>
      <c r="W258" s="410"/>
      <c r="X258" s="410"/>
      <c r="Y258" s="410"/>
      <c r="Z258" s="410"/>
      <c r="AA258" s="410"/>
      <c r="AB258" s="410"/>
      <c r="AC258" s="410"/>
      <c r="AD258" s="410"/>
      <c r="AE258" s="410"/>
      <c r="AF258" s="410"/>
    </row>
    <row r="259" spans="1:32" ht="11.45" customHeight="1">
      <c r="A259" s="406"/>
      <c r="B259" s="406"/>
      <c r="C259" s="412"/>
      <c r="D259" s="412"/>
      <c r="E259" s="412"/>
      <c r="F259" s="413"/>
      <c r="G259" s="409"/>
      <c r="H259" s="409"/>
      <c r="I259" s="409"/>
      <c r="J259" s="409"/>
      <c r="K259" s="409"/>
      <c r="L259" s="409"/>
      <c r="M259" s="409"/>
      <c r="N259" s="409"/>
      <c r="O259" s="409"/>
      <c r="P259" s="409"/>
      <c r="Q259" s="411"/>
      <c r="R259" s="411"/>
      <c r="S259" s="411"/>
      <c r="T259" s="411"/>
      <c r="U259" s="411"/>
      <c r="V259" s="411"/>
      <c r="W259" s="411"/>
      <c r="X259" s="411"/>
      <c r="Y259" s="411"/>
      <c r="Z259" s="411"/>
      <c r="AA259" s="411"/>
      <c r="AB259" s="411"/>
      <c r="AC259" s="411"/>
      <c r="AD259" s="411"/>
      <c r="AE259" s="411"/>
      <c r="AF259" s="411"/>
    </row>
    <row r="260" spans="1:32" ht="11.45" customHeight="1">
      <c r="A260" s="406"/>
      <c r="B260" s="406"/>
      <c r="C260" s="412"/>
      <c r="D260" s="412"/>
      <c r="E260" s="412"/>
      <c r="F260" s="412"/>
      <c r="Q260" s="390"/>
      <c r="R260" s="390"/>
      <c r="S260" s="390"/>
    </row>
    <row r="261" spans="1:32" ht="11.45" customHeight="1">
      <c r="A261" s="406"/>
      <c r="B261" s="406"/>
      <c r="C261" s="406"/>
      <c r="D261" s="406"/>
      <c r="E261" s="406"/>
      <c r="F261" s="405"/>
      <c r="G261" s="412"/>
      <c r="H261" s="412"/>
      <c r="I261" s="412"/>
      <c r="J261" s="412"/>
      <c r="K261" s="412"/>
      <c r="L261" s="412"/>
      <c r="M261" s="412"/>
      <c r="N261" s="412"/>
      <c r="O261" s="412"/>
      <c r="P261" s="412"/>
      <c r="Q261" s="414"/>
      <c r="R261" s="414"/>
      <c r="S261" s="414"/>
      <c r="T261" s="414"/>
      <c r="U261" s="414"/>
      <c r="V261" s="414"/>
      <c r="W261" s="414"/>
      <c r="X261" s="414"/>
      <c r="Y261" s="414"/>
      <c r="Z261" s="414"/>
      <c r="AA261" s="414"/>
      <c r="AB261" s="414"/>
      <c r="AC261" s="414"/>
      <c r="AD261" s="414"/>
      <c r="AE261" s="414"/>
      <c r="AF261" s="414"/>
    </row>
    <row r="262" spans="1:32" ht="11.45" customHeight="1">
      <c r="A262" s="406"/>
      <c r="B262" s="406"/>
      <c r="C262" s="412"/>
      <c r="D262" s="412"/>
      <c r="E262" s="412"/>
      <c r="F262" s="412"/>
      <c r="G262" s="405"/>
      <c r="H262" s="405"/>
      <c r="I262" s="405"/>
      <c r="J262" s="405"/>
      <c r="K262" s="405"/>
      <c r="L262" s="405"/>
      <c r="M262" s="405"/>
      <c r="N262" s="405"/>
      <c r="O262" s="405"/>
      <c r="P262" s="405"/>
      <c r="Q262" s="410"/>
      <c r="R262" s="410"/>
      <c r="S262" s="410"/>
      <c r="T262" s="410"/>
      <c r="U262" s="410"/>
      <c r="V262" s="410"/>
      <c r="W262" s="410"/>
      <c r="X262" s="410"/>
      <c r="Y262" s="410"/>
      <c r="Z262" s="410"/>
      <c r="AA262" s="410"/>
      <c r="AB262" s="410"/>
      <c r="AC262" s="410"/>
      <c r="AD262" s="410"/>
      <c r="AE262" s="410"/>
      <c r="AF262" s="410"/>
    </row>
    <row r="263" spans="1:32" ht="11.45" customHeight="1">
      <c r="A263" s="406"/>
      <c r="B263" s="406"/>
      <c r="C263" s="406"/>
      <c r="D263" s="406"/>
      <c r="E263" s="406"/>
      <c r="F263" s="412"/>
      <c r="G263" s="415"/>
      <c r="H263" s="415"/>
      <c r="I263" s="415"/>
      <c r="J263" s="415"/>
      <c r="K263" s="415"/>
      <c r="L263" s="415"/>
      <c r="M263" s="415"/>
      <c r="N263" s="415"/>
      <c r="O263" s="415"/>
      <c r="P263" s="415"/>
      <c r="Q263" s="416"/>
      <c r="R263" s="416"/>
      <c r="S263" s="416"/>
      <c r="T263" s="416"/>
      <c r="U263" s="416"/>
      <c r="V263" s="416"/>
      <c r="W263" s="416"/>
      <c r="X263" s="416"/>
      <c r="Y263" s="416"/>
      <c r="Z263" s="416"/>
      <c r="AA263" s="416"/>
      <c r="AB263" s="416"/>
      <c r="AC263" s="416"/>
      <c r="AD263" s="416"/>
      <c r="AE263" s="416"/>
      <c r="AF263" s="416"/>
    </row>
    <row r="264" spans="1:32" ht="11.45" customHeight="1">
      <c r="A264" s="406"/>
      <c r="B264" s="406"/>
      <c r="C264" s="406"/>
      <c r="D264" s="406"/>
      <c r="E264" s="406"/>
      <c r="F264" s="412"/>
      <c r="G264" s="415"/>
      <c r="H264" s="415"/>
      <c r="I264" s="415"/>
      <c r="J264" s="415"/>
      <c r="K264" s="415"/>
      <c r="L264" s="415"/>
      <c r="M264" s="415"/>
      <c r="N264" s="415"/>
      <c r="O264" s="415"/>
      <c r="P264" s="415"/>
      <c r="Q264" s="416"/>
      <c r="R264" s="416"/>
      <c r="S264" s="416"/>
      <c r="T264" s="416"/>
      <c r="U264" s="416"/>
      <c r="V264" s="416"/>
      <c r="W264" s="416"/>
      <c r="X264" s="416"/>
      <c r="Y264" s="416"/>
      <c r="Z264" s="416"/>
      <c r="AA264" s="416"/>
      <c r="AB264" s="416"/>
      <c r="AC264" s="416"/>
      <c r="AD264" s="416"/>
      <c r="AE264" s="416"/>
      <c r="AF264" s="416"/>
    </row>
    <row r="265" spans="1:32" ht="11.45" customHeight="1">
      <c r="G265" s="415"/>
      <c r="H265" s="415"/>
      <c r="I265" s="415"/>
      <c r="J265" s="415"/>
      <c r="K265" s="415"/>
      <c r="L265" s="415"/>
      <c r="M265" s="415"/>
      <c r="N265" s="415"/>
      <c r="O265" s="415"/>
      <c r="P265" s="415"/>
      <c r="Q265" s="416"/>
      <c r="R265" s="416"/>
      <c r="S265" s="416"/>
      <c r="T265" s="416"/>
      <c r="U265" s="416"/>
      <c r="V265" s="416"/>
      <c r="W265" s="416"/>
      <c r="X265" s="416"/>
      <c r="Y265" s="416"/>
      <c r="Z265" s="416"/>
      <c r="AA265" s="416"/>
      <c r="AB265" s="416"/>
      <c r="AC265" s="416"/>
      <c r="AD265" s="416"/>
      <c r="AE265" s="416"/>
      <c r="AF265" s="416"/>
    </row>
  </sheetData>
  <pageMargins left="0.25" right="0.25" top="0.25" bottom="0.5" header="0" footer="0"/>
  <pageSetup orientation="landscape" r:id="rId1"/>
  <headerFooter alignWithMargins="0">
    <oddFooter>&amp;L&amp;D   &amp;T&amp;R&amp;F
&amp;A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AA53"/>
  <sheetViews>
    <sheetView showGridLines="0" workbookViewId="0">
      <selection activeCell="C17" sqref="C17"/>
    </sheetView>
  </sheetViews>
  <sheetFormatPr defaultRowHeight="11.25"/>
  <cols>
    <col min="1" max="1" width="33.5703125" style="12" customWidth="1"/>
    <col min="2" max="2" width="8.7109375" style="12" customWidth="1"/>
    <col min="3" max="3" width="11" style="12" customWidth="1"/>
    <col min="4" max="5" width="10.5703125" style="12" customWidth="1"/>
    <col min="6" max="6" width="14.42578125" style="12" customWidth="1"/>
    <col min="7" max="12" width="10" style="12" customWidth="1"/>
    <col min="13" max="15" width="10.85546875" style="12" customWidth="1"/>
    <col min="16" max="22" width="10.85546875" style="12" bestFit="1" customWidth="1"/>
    <col min="23" max="23" width="11.85546875" style="12" bestFit="1" customWidth="1"/>
    <col min="24" max="24" width="10.85546875" style="12" bestFit="1" customWidth="1"/>
    <col min="25" max="25" width="13.5703125" style="12" customWidth="1"/>
    <col min="26" max="27" width="10.85546875" style="12" bestFit="1" customWidth="1"/>
    <col min="28" max="16384" width="9.140625" style="12"/>
  </cols>
  <sheetData>
    <row r="1" spans="1:27" ht="15.75">
      <c r="A1" s="30" t="str">
        <f>Assum!A2</f>
        <v xml:space="preserve">PROJECT NAME: PLANO </v>
      </c>
    </row>
    <row r="2" spans="1:27" ht="15.75">
      <c r="A2" s="30" t="s">
        <v>1291</v>
      </c>
    </row>
    <row r="3" spans="1:27">
      <c r="D3" s="419"/>
      <c r="E3" s="419"/>
      <c r="F3" s="419"/>
    </row>
    <row r="4" spans="1:27">
      <c r="A4" s="420" t="s">
        <v>1292</v>
      </c>
      <c r="D4" s="421"/>
      <c r="E4" s="421"/>
      <c r="F4" s="421"/>
      <c r="G4" s="421"/>
      <c r="H4" s="421"/>
      <c r="I4" s="421"/>
      <c r="J4" s="421"/>
      <c r="K4" s="421"/>
      <c r="L4" s="421"/>
      <c r="M4" s="421"/>
      <c r="N4" s="421"/>
      <c r="O4" s="421"/>
      <c r="P4" s="421"/>
      <c r="Q4" s="421"/>
      <c r="R4" s="421"/>
      <c r="S4" s="421"/>
      <c r="T4" s="421"/>
      <c r="U4" s="421"/>
      <c r="V4" s="421"/>
      <c r="W4" s="421"/>
      <c r="X4" s="421"/>
      <c r="Y4" s="421"/>
      <c r="Z4" s="421"/>
      <c r="AA4" s="421"/>
    </row>
    <row r="5" spans="1:27">
      <c r="A5" s="420" t="s">
        <v>1293</v>
      </c>
      <c r="D5" s="422"/>
      <c r="E5" s="423">
        <v>36586</v>
      </c>
      <c r="F5" s="423">
        <v>36617</v>
      </c>
      <c r="G5" s="423">
        <v>36647</v>
      </c>
      <c r="H5" s="423">
        <v>36678</v>
      </c>
      <c r="I5" s="423">
        <v>36708</v>
      </c>
      <c r="J5" s="423">
        <v>36739</v>
      </c>
      <c r="K5" s="423">
        <v>36770</v>
      </c>
      <c r="L5" s="423">
        <v>36800</v>
      </c>
      <c r="M5" s="423">
        <v>36831</v>
      </c>
      <c r="N5" s="423">
        <v>36861</v>
      </c>
      <c r="O5" s="423">
        <v>36892</v>
      </c>
      <c r="P5" s="423">
        <v>36923</v>
      </c>
      <c r="Q5" s="423">
        <v>36951</v>
      </c>
      <c r="R5" s="423">
        <v>36982</v>
      </c>
      <c r="S5" s="423">
        <v>37012</v>
      </c>
      <c r="T5" s="423">
        <v>37043</v>
      </c>
      <c r="U5" s="423">
        <v>37073</v>
      </c>
      <c r="V5" s="423">
        <v>37104</v>
      </c>
      <c r="W5" s="423">
        <v>37135</v>
      </c>
      <c r="X5" s="423">
        <v>37165</v>
      </c>
      <c r="Y5" s="423">
        <v>37196</v>
      </c>
      <c r="Z5" s="423">
        <v>37226</v>
      </c>
      <c r="AA5" s="423">
        <v>37257</v>
      </c>
    </row>
    <row r="7" spans="1:27">
      <c r="G7" s="424"/>
    </row>
    <row r="8" spans="1:27">
      <c r="A8" s="425" t="s">
        <v>1294</v>
      </c>
      <c r="B8" s="420" t="s">
        <v>1295</v>
      </c>
      <c r="D8" s="426"/>
      <c r="E8" s="427">
        <v>0</v>
      </c>
      <c r="F8" s="427">
        <v>0</v>
      </c>
      <c r="G8" s="427">
        <v>0</v>
      </c>
      <c r="H8" s="427">
        <v>0</v>
      </c>
      <c r="I8" s="427">
        <v>0</v>
      </c>
      <c r="J8" s="427">
        <v>0.3</v>
      </c>
      <c r="K8" s="427">
        <v>0.1</v>
      </c>
      <c r="L8" s="427">
        <v>0.1</v>
      </c>
      <c r="M8" s="427">
        <v>0.1</v>
      </c>
      <c r="N8" s="427">
        <v>0.1</v>
      </c>
      <c r="O8" s="427">
        <v>0.05</v>
      </c>
      <c r="P8" s="427">
        <v>0.05</v>
      </c>
      <c r="Q8" s="427">
        <v>0.05</v>
      </c>
      <c r="R8" s="427">
        <v>0.05</v>
      </c>
      <c r="S8" s="427">
        <v>0.05</v>
      </c>
      <c r="T8" s="427">
        <v>0.05</v>
      </c>
      <c r="U8" s="427"/>
      <c r="V8" s="427"/>
      <c r="W8" s="427"/>
      <c r="X8" s="427"/>
      <c r="Y8" s="427"/>
      <c r="Z8" s="427"/>
      <c r="AA8" s="427"/>
    </row>
    <row r="9" spans="1:27">
      <c r="D9" s="428"/>
      <c r="E9" s="429">
        <f>SUM($E$8:E8)</f>
        <v>0</v>
      </c>
      <c r="F9" s="429">
        <f>SUM($E$8:F8)</f>
        <v>0</v>
      </c>
      <c r="G9" s="429">
        <f>SUM($E$8:G8)</f>
        <v>0</v>
      </c>
      <c r="H9" s="429">
        <f>SUM($E$8:H8)</f>
        <v>0</v>
      </c>
      <c r="I9" s="429">
        <f>SUM($E$8:I8)</f>
        <v>0</v>
      </c>
      <c r="J9" s="429">
        <f>SUM($E$8:J8)</f>
        <v>0.3</v>
      </c>
      <c r="K9" s="429">
        <f>SUM($E$8:K8)</f>
        <v>0.4</v>
      </c>
      <c r="L9" s="429">
        <f>SUM($E$8:L8)</f>
        <v>0.5</v>
      </c>
      <c r="M9" s="429">
        <f>SUM($E$8:M8)</f>
        <v>0.6</v>
      </c>
      <c r="N9" s="429">
        <f>SUM($E$8:N8)</f>
        <v>0.7</v>
      </c>
      <c r="O9" s="429">
        <f>SUM($E$8:O8)</f>
        <v>0.75</v>
      </c>
      <c r="P9" s="429">
        <f>SUM($E$8:P8)</f>
        <v>0.8</v>
      </c>
      <c r="Q9" s="429">
        <f>SUM($E$8:Q8)</f>
        <v>0.85000000000000009</v>
      </c>
      <c r="R9" s="429">
        <f>SUM($E$8:R8)</f>
        <v>0.90000000000000013</v>
      </c>
      <c r="S9" s="429">
        <f>SUM($E$8:S8)</f>
        <v>0.95000000000000018</v>
      </c>
      <c r="T9" s="429">
        <f>SUM($E$8:T8)</f>
        <v>1.0000000000000002</v>
      </c>
      <c r="U9" s="429">
        <f>SUM($E$8:U8)</f>
        <v>1.0000000000000002</v>
      </c>
      <c r="V9" s="429">
        <f>SUM($E$8:V8)</f>
        <v>1.0000000000000002</v>
      </c>
      <c r="W9" s="429">
        <f>SUM($E$8:W8)</f>
        <v>1.0000000000000002</v>
      </c>
      <c r="X9" s="429">
        <f>SUM($E$8:X8)</f>
        <v>1.0000000000000002</v>
      </c>
      <c r="Y9" s="429">
        <f>SUM($E$8:Y8)</f>
        <v>1.0000000000000002</v>
      </c>
      <c r="Z9" s="429">
        <f>SUM($E$8:Z8)</f>
        <v>1.0000000000000002</v>
      </c>
      <c r="AA9" s="429">
        <f>SUM($E$8:AA8)</f>
        <v>1.0000000000000002</v>
      </c>
    </row>
    <row r="10" spans="1:27" ht="12" thickBot="1">
      <c r="A10" s="420" t="s">
        <v>1296</v>
      </c>
      <c r="D10" s="430" t="s">
        <v>978</v>
      </c>
      <c r="G10" s="424"/>
    </row>
    <row r="11" spans="1:27">
      <c r="A11" s="12" t="s">
        <v>1297</v>
      </c>
      <c r="C11" s="431">
        <f>Carry!E20-IF(Assum!$Q$76="Yes",0,Carry!E20-Carry!C20)</f>
        <v>112182.63099999996</v>
      </c>
      <c r="D11" s="363">
        <f t="shared" ref="D11:D18" si="0">SUM(E11:AA11)</f>
        <v>112182.63099999996</v>
      </c>
      <c r="E11" s="363">
        <v>0</v>
      </c>
      <c r="F11" s="363">
        <v>0</v>
      </c>
      <c r="G11" s="363">
        <v>0</v>
      </c>
      <c r="H11" s="363">
        <v>0</v>
      </c>
      <c r="I11" s="363">
        <v>0</v>
      </c>
      <c r="J11" s="363">
        <v>0</v>
      </c>
      <c r="K11" s="363">
        <f>C11</f>
        <v>112182.63099999996</v>
      </c>
      <c r="L11" s="363">
        <v>0</v>
      </c>
      <c r="M11" s="363">
        <v>0</v>
      </c>
      <c r="N11" s="363">
        <v>0</v>
      </c>
      <c r="O11" s="363">
        <v>0</v>
      </c>
      <c r="P11" s="363">
        <v>0</v>
      </c>
      <c r="Q11" s="363">
        <v>0</v>
      </c>
      <c r="R11" s="363">
        <v>0</v>
      </c>
      <c r="S11" s="363">
        <v>0</v>
      </c>
      <c r="T11" s="363">
        <v>0</v>
      </c>
      <c r="U11" s="363">
        <v>0</v>
      </c>
      <c r="V11" s="363">
        <v>0</v>
      </c>
      <c r="W11" s="363">
        <v>0</v>
      </c>
      <c r="X11" s="363">
        <v>0</v>
      </c>
      <c r="Y11" s="363">
        <v>0</v>
      </c>
      <c r="Z11" s="363">
        <v>0</v>
      </c>
      <c r="AA11" s="363">
        <v>0</v>
      </c>
    </row>
    <row r="12" spans="1:27">
      <c r="A12" s="12" t="s">
        <v>1298</v>
      </c>
      <c r="C12" s="432">
        <f ca="1">Assum!A6+Assum!C29+Assum!C47+Assum!C56+Assum!C66-Assum!C65-Assum!C64+Assum!C75</f>
        <v>23827.694839716667</v>
      </c>
      <c r="D12" s="363">
        <f t="shared" ca="1" si="0"/>
        <v>23827.694839716663</v>
      </c>
      <c r="E12" s="363">
        <f ca="1">$C12*E8</f>
        <v>0</v>
      </c>
      <c r="F12" s="363">
        <f t="shared" ref="F12:AA12" ca="1" si="1">$C$12*F8</f>
        <v>0</v>
      </c>
      <c r="G12" s="363">
        <f t="shared" ca="1" si="1"/>
        <v>0</v>
      </c>
      <c r="H12" s="363">
        <f ca="1">$C$12*H8</f>
        <v>0</v>
      </c>
      <c r="I12" s="363">
        <f t="shared" ca="1" si="1"/>
        <v>0</v>
      </c>
      <c r="J12" s="363">
        <f t="shared" ca="1" si="1"/>
        <v>7148.3084519149998</v>
      </c>
      <c r="K12" s="363">
        <f t="shared" ca="1" si="1"/>
        <v>2382.7694839716669</v>
      </c>
      <c r="L12" s="363">
        <f t="shared" ca="1" si="1"/>
        <v>2382.7694839716669</v>
      </c>
      <c r="M12" s="363">
        <f t="shared" ca="1" si="1"/>
        <v>2382.7694839716669</v>
      </c>
      <c r="N12" s="363">
        <f t="shared" ca="1" si="1"/>
        <v>2382.7694839716669</v>
      </c>
      <c r="O12" s="363">
        <f t="shared" ca="1" si="1"/>
        <v>1191.3847419858334</v>
      </c>
      <c r="P12" s="363">
        <f t="shared" ca="1" si="1"/>
        <v>1191.3847419858334</v>
      </c>
      <c r="Q12" s="363">
        <f t="shared" ca="1" si="1"/>
        <v>1191.3847419858334</v>
      </c>
      <c r="R12" s="363">
        <f t="shared" ca="1" si="1"/>
        <v>1191.3847419858334</v>
      </c>
      <c r="S12" s="363">
        <f t="shared" ca="1" si="1"/>
        <v>1191.3847419858334</v>
      </c>
      <c r="T12" s="363">
        <f t="shared" ca="1" si="1"/>
        <v>1191.3847419858334</v>
      </c>
      <c r="U12" s="363">
        <f t="shared" ca="1" si="1"/>
        <v>0</v>
      </c>
      <c r="V12" s="363">
        <f t="shared" ca="1" si="1"/>
        <v>0</v>
      </c>
      <c r="W12" s="363">
        <f t="shared" ca="1" si="1"/>
        <v>0</v>
      </c>
      <c r="X12" s="363">
        <f t="shared" ca="1" si="1"/>
        <v>0</v>
      </c>
      <c r="Y12" s="363">
        <f t="shared" ca="1" si="1"/>
        <v>0</v>
      </c>
      <c r="Z12" s="363">
        <f t="shared" ca="1" si="1"/>
        <v>0</v>
      </c>
      <c r="AA12" s="363">
        <f t="shared" ca="1" si="1"/>
        <v>0</v>
      </c>
    </row>
    <row r="13" spans="1:27">
      <c r="A13" s="12" t="s">
        <v>1347</v>
      </c>
      <c r="C13" s="432">
        <f>Assum!C78+Assum!C80</f>
        <v>0</v>
      </c>
      <c r="D13" s="363">
        <f t="shared" si="0"/>
        <v>0</v>
      </c>
      <c r="E13" s="363">
        <f>$C$13*E8</f>
        <v>0</v>
      </c>
      <c r="F13" s="363">
        <f>$C$13*F8</f>
        <v>0</v>
      </c>
      <c r="G13" s="363">
        <f t="shared" ref="G13:AA13" si="2">$C$13*G8</f>
        <v>0</v>
      </c>
      <c r="H13" s="363">
        <f>$C$13*H8</f>
        <v>0</v>
      </c>
      <c r="I13" s="363">
        <f t="shared" si="2"/>
        <v>0</v>
      </c>
      <c r="J13" s="363">
        <f t="shared" si="2"/>
        <v>0</v>
      </c>
      <c r="K13" s="363">
        <f t="shared" si="2"/>
        <v>0</v>
      </c>
      <c r="L13" s="363">
        <f t="shared" si="2"/>
        <v>0</v>
      </c>
      <c r="M13" s="363">
        <f t="shared" si="2"/>
        <v>0</v>
      </c>
      <c r="N13" s="363">
        <f t="shared" si="2"/>
        <v>0</v>
      </c>
      <c r="O13" s="363">
        <f t="shared" si="2"/>
        <v>0</v>
      </c>
      <c r="P13" s="363">
        <f t="shared" si="2"/>
        <v>0</v>
      </c>
      <c r="Q13" s="363">
        <f t="shared" si="2"/>
        <v>0</v>
      </c>
      <c r="R13" s="363">
        <f t="shared" si="2"/>
        <v>0</v>
      </c>
      <c r="S13" s="363">
        <f t="shared" si="2"/>
        <v>0</v>
      </c>
      <c r="T13" s="363">
        <f t="shared" si="2"/>
        <v>0</v>
      </c>
      <c r="U13" s="363">
        <f t="shared" si="2"/>
        <v>0</v>
      </c>
      <c r="V13" s="363">
        <f t="shared" si="2"/>
        <v>0</v>
      </c>
      <c r="W13" s="363">
        <f t="shared" si="2"/>
        <v>0</v>
      </c>
      <c r="X13" s="363">
        <f t="shared" si="2"/>
        <v>0</v>
      </c>
      <c r="Y13" s="363">
        <f t="shared" si="2"/>
        <v>0</v>
      </c>
      <c r="Z13" s="363">
        <f t="shared" si="2"/>
        <v>0</v>
      </c>
      <c r="AA13" s="363">
        <f t="shared" si="2"/>
        <v>0</v>
      </c>
    </row>
    <row r="14" spans="1:27">
      <c r="A14" s="12" t="s">
        <v>1346</v>
      </c>
      <c r="C14" s="432">
        <f>Assum!C79</f>
        <v>0</v>
      </c>
      <c r="D14" s="363">
        <f t="shared" si="0"/>
        <v>0</v>
      </c>
      <c r="E14" s="363">
        <f>IF(Draw!E5&gt;=Assum!$B$106, Draw!$C$14,0)</f>
        <v>0</v>
      </c>
      <c r="F14" s="363">
        <f>IF(AND(Draw!F5&gt;=Assum!$B$106, E5&lt;Assum!$B$106), Draw!$C$14,0)</f>
        <v>0</v>
      </c>
      <c r="G14" s="363">
        <f>IF(AND(Draw!G5&gt;=Assum!$B$106, F5&lt;Assum!$B$106), Draw!$C$14,0)</f>
        <v>0</v>
      </c>
      <c r="H14" s="363">
        <f>IF(AND(Draw!H5&gt;=Assum!$B$106, G5&lt;Assum!$B$106), Draw!$C$14,0)</f>
        <v>0</v>
      </c>
      <c r="I14" s="363">
        <f>IF(AND(Draw!I5&gt;=Assum!$B$106, H5&lt;Assum!$B$106), Draw!$C$14,0)</f>
        <v>0</v>
      </c>
      <c r="J14" s="363">
        <f>IF(AND(Draw!J5&gt;=Assum!$B$106, I5&lt;Assum!$B$106), Draw!$C$14,0)</f>
        <v>0</v>
      </c>
      <c r="K14" s="363">
        <f>IF(AND(Draw!K5&gt;=Assum!$B$106, J5&lt;Assum!$B$106), Draw!$C$14,0)</f>
        <v>0</v>
      </c>
      <c r="L14" s="363">
        <f>IF(AND(Draw!L5&gt;=Assum!$B$106, K5&lt;Assum!$B$106), Draw!$C$14,0)</f>
        <v>0</v>
      </c>
      <c r="M14" s="363">
        <f>IF(AND(Draw!M5&gt;=Assum!$B$106, L5&lt;Assum!$B$106), Draw!$C$14,0)</f>
        <v>0</v>
      </c>
      <c r="N14" s="363">
        <f>IF(AND(Draw!N5&gt;=Assum!$B$106, M5&lt;Assum!$B$106), Draw!$C$14,0)</f>
        <v>0</v>
      </c>
      <c r="O14" s="363">
        <f>IF(AND(Draw!O5&gt;=Assum!$B$106, N5&lt;Assum!$B$106), Draw!$C$14,0)</f>
        <v>0</v>
      </c>
      <c r="P14" s="363">
        <f>IF(AND(Draw!P5&gt;=Assum!$B$106, O5&lt;Assum!$B$106), Draw!$C$14,0)</f>
        <v>0</v>
      </c>
      <c r="Q14" s="363">
        <f>IF(AND(Draw!Q5&gt;=Assum!$B$106, P5&lt;Assum!$B$106), Draw!$C$14,0)</f>
        <v>0</v>
      </c>
      <c r="R14" s="363">
        <f>IF(AND(Draw!R5&gt;=Assum!$B$106, Q5&lt;Assum!$B$106), Draw!$C$14,0)</f>
        <v>0</v>
      </c>
      <c r="S14" s="363">
        <f>IF(AND(Draw!S5&gt;=Assum!$B$106, R5&lt;Assum!$B$106), Draw!$C$14,0)</f>
        <v>0</v>
      </c>
      <c r="T14" s="363">
        <f>IF(AND(Draw!T5&gt;=Assum!$B$106, S5&lt;Assum!$B$106), Draw!$C$14,0)</f>
        <v>0</v>
      </c>
      <c r="U14" s="363">
        <f>IF(AND(Draw!U5&gt;=Assum!$B$106, T5&lt;Assum!$B$106), Draw!$C$14,0)</f>
        <v>0</v>
      </c>
      <c r="V14" s="363">
        <f>IF(AND(Draw!V5&gt;=Assum!$B$106, U5&lt;Assum!$B$106), Draw!$C$14,0)</f>
        <v>0</v>
      </c>
      <c r="W14" s="363">
        <f>IF(AND(Draw!W5&gt;=Assum!$B$106, V5&lt;Assum!$B$106), Draw!$C$14,0)</f>
        <v>0</v>
      </c>
      <c r="X14" s="363">
        <f>IF(AND(Draw!X5&gt;=Assum!$B$106, W5&lt;Assum!$B$106), Draw!$C$14,0)</f>
        <v>0</v>
      </c>
      <c r="Y14" s="363">
        <f>IF(AND(Draw!Y5&gt;=Assum!$B$106, X5&lt;Assum!$B$106), Draw!$C$14,0)</f>
        <v>0</v>
      </c>
      <c r="Z14" s="363">
        <f>IF(AND(Draw!Z5&gt;=Assum!$B$106, Y5&lt;Assum!$B$106), Draw!$C$14,0)</f>
        <v>0</v>
      </c>
      <c r="AA14" s="363">
        <f>IF(AND(Draw!AA5&gt;=Assum!$B$106, Z5&lt;Assum!$B$106), Draw!$C$14,0)</f>
        <v>0</v>
      </c>
    </row>
    <row r="15" spans="1:27">
      <c r="A15" s="12" t="s">
        <v>1349</v>
      </c>
      <c r="C15" s="432">
        <f>Assum!C84</f>
        <v>1968.8197283999998</v>
      </c>
      <c r="D15" s="363">
        <f t="shared" si="0"/>
        <v>1968.8197283999993</v>
      </c>
      <c r="E15" s="363">
        <f t="shared" ref="E15:AA15" si="3">$C15*E8</f>
        <v>0</v>
      </c>
      <c r="F15" s="363">
        <f t="shared" si="3"/>
        <v>0</v>
      </c>
      <c r="G15" s="363">
        <f t="shared" si="3"/>
        <v>0</v>
      </c>
      <c r="H15" s="363">
        <f t="shared" si="3"/>
        <v>0</v>
      </c>
      <c r="I15" s="363">
        <f t="shared" si="3"/>
        <v>0</v>
      </c>
      <c r="J15" s="363">
        <f t="shared" si="3"/>
        <v>590.6459185199999</v>
      </c>
      <c r="K15" s="363">
        <f t="shared" si="3"/>
        <v>196.88197284</v>
      </c>
      <c r="L15" s="363">
        <f t="shared" si="3"/>
        <v>196.88197284</v>
      </c>
      <c r="M15" s="363">
        <f t="shared" si="3"/>
        <v>196.88197284</v>
      </c>
      <c r="N15" s="363">
        <f t="shared" si="3"/>
        <v>196.88197284</v>
      </c>
      <c r="O15" s="363">
        <f t="shared" si="3"/>
        <v>98.440986420000002</v>
      </c>
      <c r="P15" s="363">
        <f t="shared" si="3"/>
        <v>98.440986420000002</v>
      </c>
      <c r="Q15" s="363">
        <f t="shared" si="3"/>
        <v>98.440986420000002</v>
      </c>
      <c r="R15" s="363">
        <f t="shared" si="3"/>
        <v>98.440986420000002</v>
      </c>
      <c r="S15" s="363">
        <f t="shared" si="3"/>
        <v>98.440986420000002</v>
      </c>
      <c r="T15" s="363">
        <f t="shared" si="3"/>
        <v>98.440986420000002</v>
      </c>
      <c r="U15" s="363">
        <f t="shared" si="3"/>
        <v>0</v>
      </c>
      <c r="V15" s="363">
        <f t="shared" si="3"/>
        <v>0</v>
      </c>
      <c r="W15" s="363">
        <f t="shared" si="3"/>
        <v>0</v>
      </c>
      <c r="X15" s="363">
        <f t="shared" si="3"/>
        <v>0</v>
      </c>
      <c r="Y15" s="363">
        <f t="shared" si="3"/>
        <v>0</v>
      </c>
      <c r="Z15" s="363">
        <f t="shared" si="3"/>
        <v>0</v>
      </c>
      <c r="AA15" s="363">
        <f t="shared" si="3"/>
        <v>0</v>
      </c>
    </row>
    <row r="16" spans="1:27">
      <c r="A16" s="12" t="s">
        <v>1348</v>
      </c>
      <c r="C16" s="432">
        <f ca="1">Assum!C89</f>
        <v>2302.3159853866491</v>
      </c>
      <c r="D16" s="363">
        <f t="shared" ca="1" si="0"/>
        <v>2302.3159853866491</v>
      </c>
      <c r="E16" s="363">
        <v>0</v>
      </c>
      <c r="F16" s="363">
        <v>0</v>
      </c>
      <c r="G16" s="363">
        <v>0</v>
      </c>
      <c r="H16" s="363">
        <v>0</v>
      </c>
      <c r="I16" s="363">
        <v>0</v>
      </c>
      <c r="J16" s="363">
        <v>0</v>
      </c>
      <c r="K16" s="363">
        <v>0</v>
      </c>
      <c r="L16" s="363">
        <v>0</v>
      </c>
      <c r="M16" s="363">
        <v>0</v>
      </c>
      <c r="N16" s="363">
        <v>0</v>
      </c>
      <c r="O16" s="363">
        <v>0</v>
      </c>
      <c r="P16" s="363">
        <v>0</v>
      </c>
      <c r="Q16" s="363">
        <v>0</v>
      </c>
      <c r="R16" s="363">
        <v>0</v>
      </c>
      <c r="S16" s="363">
        <v>0</v>
      </c>
      <c r="T16" s="363">
        <f ca="1">C16</f>
        <v>2302.3159853866491</v>
      </c>
      <c r="U16" s="363"/>
      <c r="V16" s="363"/>
      <c r="W16" s="363"/>
      <c r="X16" s="363"/>
      <c r="Y16" s="363"/>
      <c r="Z16" s="363"/>
      <c r="AA16" s="363"/>
    </row>
    <row r="17" spans="1:27" s="377" customFormat="1">
      <c r="A17" s="433" t="s">
        <v>1203</v>
      </c>
      <c r="C17" s="434">
        <f ca="1">SUM(E17:AA17)</f>
        <v>0</v>
      </c>
      <c r="D17" s="363">
        <f t="shared" ca="1" si="0"/>
        <v>0</v>
      </c>
      <c r="E17" s="435">
        <f>IF(E5&lt;=Assum!$I$17, E42,0)</f>
        <v>0</v>
      </c>
      <c r="F17" s="435">
        <f ca="1">IF(F5&lt;=Assum!$I$17, F42,0)</f>
        <v>0</v>
      </c>
      <c r="G17" s="435">
        <f ca="1">IF(G5&lt;=Assum!$I$17, G42,0)</f>
        <v>0</v>
      </c>
      <c r="H17" s="435">
        <f ca="1">IF(H5&lt;=Assum!$I$17, H42,0)</f>
        <v>0</v>
      </c>
      <c r="I17" s="435">
        <f ca="1">IF(I5&lt;=Assum!$I$17, I42,0)</f>
        <v>0</v>
      </c>
      <c r="J17" s="435">
        <f ca="1">IF(J5&lt;=Assum!$I$17, J42,0)</f>
        <v>0</v>
      </c>
      <c r="K17" s="435">
        <f ca="1">IF(K5&lt;=Assum!$I$17, K42,0)</f>
        <v>0</v>
      </c>
      <c r="L17" s="435">
        <f ca="1">IF(L5&lt;=Assum!$I$17, L42,0)</f>
        <v>0</v>
      </c>
      <c r="M17" s="435">
        <f ca="1">IF(M5&lt;=Assum!$I$17, M42,0)</f>
        <v>0</v>
      </c>
      <c r="N17" s="435">
        <f ca="1">IF(N5&lt;=Assum!$I$17, N42,0)</f>
        <v>0</v>
      </c>
      <c r="O17" s="435">
        <f ca="1">IF(O5&lt;=Assum!$I$17, O42,0)</f>
        <v>0</v>
      </c>
      <c r="P17" s="435">
        <f ca="1">IF(P5&lt;=Assum!$I$17, P42,0)</f>
        <v>0</v>
      </c>
      <c r="Q17" s="435">
        <f ca="1">IF(Q5&lt;=Assum!$I$17, Q42,0)</f>
        <v>0</v>
      </c>
      <c r="R17" s="435">
        <f ca="1">IF(R5&lt;=Assum!$I$17, R42,0)</f>
        <v>0</v>
      </c>
      <c r="S17" s="435">
        <f ca="1">IF(S5&lt;=Assum!$I$17, S42,0)</f>
        <v>0</v>
      </c>
      <c r="T17" s="435">
        <f ca="1">IF(T5&lt;=Assum!$I$17, T42,0)</f>
        <v>0</v>
      </c>
      <c r="U17" s="435">
        <f>IF(U5&lt;=Assum!$I$17, U42,0)</f>
        <v>0</v>
      </c>
      <c r="V17" s="435">
        <f>IF(V5&lt;=Assum!$I$17, V42,0)</f>
        <v>0</v>
      </c>
      <c r="W17" s="435">
        <f>IF(W5&lt;=Assum!$I$17, W42,0)</f>
        <v>0</v>
      </c>
      <c r="X17" s="435">
        <f>IF(X5&lt;=Assum!$I$17, X42,0)</f>
        <v>0</v>
      </c>
      <c r="Y17" s="435">
        <f>IF(Y5&lt;=Assum!$I$17, Y42,0)</f>
        <v>0</v>
      </c>
      <c r="Z17" s="435">
        <f>IF(Z5&lt;=Assum!$I$17, Z42,0)</f>
        <v>0</v>
      </c>
      <c r="AA17" s="435">
        <f>IF(AA5&lt;=Assum!$I$17, AA42,0)</f>
        <v>0</v>
      </c>
    </row>
    <row r="18" spans="1:27" ht="12" thickBot="1">
      <c r="A18" s="12" t="s">
        <v>1299</v>
      </c>
      <c r="C18" s="436">
        <f ca="1">SUM(C11:C17)</f>
        <v>140281.46155350326</v>
      </c>
      <c r="D18" s="363">
        <f t="shared" ca="1" si="0"/>
        <v>140281.46155350324</v>
      </c>
      <c r="E18" s="363">
        <f t="shared" ref="E18:AA18" ca="1" si="4">SUM(E11:E17)</f>
        <v>0</v>
      </c>
      <c r="F18" s="363">
        <f t="shared" ca="1" si="4"/>
        <v>0</v>
      </c>
      <c r="G18" s="363">
        <f t="shared" ca="1" si="4"/>
        <v>0</v>
      </c>
      <c r="H18" s="363">
        <f t="shared" ca="1" si="4"/>
        <v>0</v>
      </c>
      <c r="I18" s="363">
        <f t="shared" ca="1" si="4"/>
        <v>0</v>
      </c>
      <c r="J18" s="363">
        <f t="shared" ca="1" si="4"/>
        <v>7738.9543704349999</v>
      </c>
      <c r="K18" s="363">
        <f t="shared" ca="1" si="4"/>
        <v>114762.28245681163</v>
      </c>
      <c r="L18" s="363">
        <f t="shared" ca="1" si="4"/>
        <v>2579.6514568116668</v>
      </c>
      <c r="M18" s="363">
        <f t="shared" ca="1" si="4"/>
        <v>2579.6514568116668</v>
      </c>
      <c r="N18" s="363">
        <f t="shared" ca="1" si="4"/>
        <v>2579.6514568116668</v>
      </c>
      <c r="O18" s="363">
        <f t="shared" ca="1" si="4"/>
        <v>1289.8257284058334</v>
      </c>
      <c r="P18" s="363">
        <f t="shared" ca="1" si="4"/>
        <v>1289.8257284058334</v>
      </c>
      <c r="Q18" s="363">
        <f t="shared" ca="1" si="4"/>
        <v>1289.8257284058334</v>
      </c>
      <c r="R18" s="363">
        <f t="shared" ca="1" si="4"/>
        <v>1289.8257284058334</v>
      </c>
      <c r="S18" s="363">
        <f t="shared" ca="1" si="4"/>
        <v>1289.8257284058334</v>
      </c>
      <c r="T18" s="363">
        <f t="shared" ca="1" si="4"/>
        <v>3592.1417137924827</v>
      </c>
      <c r="U18" s="363">
        <f t="shared" ca="1" si="4"/>
        <v>0</v>
      </c>
      <c r="V18" s="363">
        <f t="shared" ca="1" si="4"/>
        <v>0</v>
      </c>
      <c r="W18" s="363">
        <f t="shared" ca="1" si="4"/>
        <v>0</v>
      </c>
      <c r="X18" s="363">
        <f t="shared" ca="1" si="4"/>
        <v>0</v>
      </c>
      <c r="Y18" s="363">
        <f t="shared" ca="1" si="4"/>
        <v>0</v>
      </c>
      <c r="Z18" s="363">
        <f t="shared" ca="1" si="4"/>
        <v>0</v>
      </c>
      <c r="AA18" s="363">
        <f t="shared" ca="1" si="4"/>
        <v>0</v>
      </c>
    </row>
    <row r="19" spans="1:27">
      <c r="C19" s="437"/>
      <c r="D19" s="438"/>
      <c r="E19" s="363"/>
      <c r="F19" s="363"/>
      <c r="G19" s="363"/>
      <c r="H19" s="363"/>
      <c r="I19" s="363"/>
      <c r="J19" s="363"/>
      <c r="K19" s="363"/>
      <c r="L19" s="363"/>
      <c r="M19" s="363"/>
      <c r="N19" s="363"/>
      <c r="O19" s="363"/>
      <c r="P19" s="363"/>
      <c r="Q19" s="363"/>
      <c r="R19" s="363"/>
      <c r="S19" s="363"/>
      <c r="T19" s="363"/>
      <c r="U19" s="363"/>
      <c r="V19" s="363"/>
      <c r="W19" s="363"/>
      <c r="X19" s="363"/>
      <c r="Y19" s="363"/>
      <c r="Z19" s="363"/>
      <c r="AA19" s="363"/>
    </row>
    <row r="20" spans="1:27">
      <c r="C20" s="437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</row>
    <row r="21" spans="1:27">
      <c r="A21" s="420" t="s">
        <v>1300</v>
      </c>
      <c r="C21" s="440"/>
      <c r="D21" s="441"/>
      <c r="E21" s="442" t="s">
        <v>1301</v>
      </c>
      <c r="F21" s="441" t="s">
        <v>1302</v>
      </c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439"/>
      <c r="U21" s="439"/>
      <c r="V21" s="439"/>
      <c r="W21" s="439"/>
      <c r="X21" s="439"/>
      <c r="Y21" s="439"/>
      <c r="Z21" s="439"/>
      <c r="AA21" s="439"/>
    </row>
    <row r="22" spans="1:27">
      <c r="A22" s="443" t="s">
        <v>1303</v>
      </c>
      <c r="B22" s="444"/>
      <c r="C22" s="444"/>
      <c r="D22" s="444">
        <f>Assum!B110</f>
        <v>0</v>
      </c>
      <c r="E22" s="445" t="e">
        <f ca="1">D22/($D$25-$D$24)</f>
        <v>#DIV/0!</v>
      </c>
      <c r="F22" s="446">
        <f ca="1">D22/$D$25</f>
        <v>0</v>
      </c>
      <c r="H22" s="447"/>
      <c r="I22" s="447"/>
      <c r="J22" s="448"/>
      <c r="K22" s="448"/>
      <c r="L22" s="448"/>
      <c r="M22" s="448"/>
      <c r="N22" s="448"/>
      <c r="O22" s="448"/>
      <c r="P22" s="448"/>
      <c r="Q22" s="448"/>
      <c r="R22" s="448"/>
      <c r="S22" s="448"/>
      <c r="T22" s="448"/>
      <c r="U22" s="448"/>
      <c r="V22" s="448"/>
      <c r="W22" s="448"/>
      <c r="X22" s="448"/>
      <c r="Y22" s="448"/>
      <c r="Z22" s="448"/>
      <c r="AA22" s="448"/>
    </row>
    <row r="23" spans="1:27">
      <c r="A23" s="449" t="s">
        <v>1304</v>
      </c>
      <c r="B23" s="450"/>
      <c r="C23" s="451"/>
      <c r="D23" s="450">
        <f>Assum!C110</f>
        <v>0</v>
      </c>
      <c r="E23" s="452" t="e">
        <f ca="1">D23/($D$25-$D$24)</f>
        <v>#DIV/0!</v>
      </c>
      <c r="F23" s="453">
        <f ca="1">D23/$D$25</f>
        <v>0</v>
      </c>
      <c r="H23" s="454"/>
      <c r="I23" s="454"/>
      <c r="J23" s="454"/>
      <c r="K23" s="454"/>
      <c r="L23" s="454"/>
      <c r="M23" s="454"/>
      <c r="N23" s="454"/>
      <c r="O23" s="454"/>
      <c r="P23" s="454"/>
      <c r="Q23" s="454"/>
      <c r="R23" s="454"/>
      <c r="S23" s="454"/>
      <c r="T23" s="454"/>
      <c r="U23" s="454"/>
      <c r="V23" s="454"/>
      <c r="W23" s="454"/>
      <c r="X23" s="454"/>
      <c r="Y23" s="454"/>
      <c r="Z23" s="454"/>
      <c r="AA23" s="454"/>
    </row>
    <row r="24" spans="1:27">
      <c r="A24" s="455" t="s">
        <v>1305</v>
      </c>
      <c r="B24" s="435"/>
      <c r="C24" s="456"/>
      <c r="D24" s="457">
        <f ca="1">Assum!C10</f>
        <v>140281.46155350332</v>
      </c>
      <c r="E24" s="458">
        <v>0</v>
      </c>
      <c r="F24" s="459">
        <f ca="1">D24/$D$25</f>
        <v>1</v>
      </c>
      <c r="G24" s="454"/>
      <c r="H24" s="454"/>
      <c r="I24" s="454"/>
      <c r="J24" s="454"/>
      <c r="K24" s="454"/>
      <c r="L24" s="454"/>
      <c r="M24" s="454"/>
      <c r="N24" s="454"/>
      <c r="O24" s="454"/>
      <c r="P24" s="454"/>
      <c r="Q24" s="454"/>
      <c r="R24" s="454"/>
      <c r="S24" s="454"/>
      <c r="T24" s="454"/>
      <c r="U24" s="454"/>
      <c r="V24" s="454"/>
      <c r="W24" s="454"/>
      <c r="X24" s="454"/>
      <c r="Y24" s="454"/>
      <c r="Z24" s="454"/>
      <c r="AA24" s="454"/>
    </row>
    <row r="25" spans="1:27">
      <c r="A25" s="420" t="s">
        <v>1306</v>
      </c>
      <c r="B25" s="460"/>
      <c r="C25" s="461"/>
      <c r="D25" s="461">
        <f ca="1">SUM(D22:D24)</f>
        <v>140281.46155350332</v>
      </c>
      <c r="E25" s="462" t="e">
        <f ca="1">SUM(E22:E24)</f>
        <v>#DIV/0!</v>
      </c>
      <c r="F25" s="463">
        <f ca="1">SUM(F22:F24)</f>
        <v>1</v>
      </c>
      <c r="G25" s="424"/>
      <c r="H25" s="424"/>
      <c r="I25" s="424"/>
      <c r="J25" s="424"/>
      <c r="K25" s="424"/>
      <c r="L25" s="424"/>
      <c r="M25" s="424"/>
      <c r="N25" s="424"/>
      <c r="O25" s="424"/>
      <c r="P25" s="424"/>
      <c r="Q25" s="424"/>
      <c r="R25" s="424"/>
      <c r="S25" s="424"/>
      <c r="T25" s="424"/>
      <c r="U25" s="424"/>
      <c r="V25" s="424"/>
      <c r="W25" s="424"/>
      <c r="X25" s="424"/>
      <c r="Y25" s="424"/>
      <c r="Z25" s="424"/>
      <c r="AA25" s="424"/>
    </row>
    <row r="26" spans="1:27">
      <c r="B26" s="464"/>
      <c r="C26" s="465"/>
      <c r="D26" s="438"/>
      <c r="E26" s="438"/>
      <c r="F26" s="438"/>
      <c r="G26" s="424"/>
    </row>
    <row r="27" spans="1:27">
      <c r="E27" s="466">
        <f t="shared" ref="E27:AA27" si="5">E5</f>
        <v>36586</v>
      </c>
      <c r="F27" s="466">
        <f t="shared" si="5"/>
        <v>36617</v>
      </c>
      <c r="G27" s="466">
        <f t="shared" si="5"/>
        <v>36647</v>
      </c>
      <c r="H27" s="466">
        <f t="shared" si="5"/>
        <v>36678</v>
      </c>
      <c r="I27" s="466">
        <f t="shared" si="5"/>
        <v>36708</v>
      </c>
      <c r="J27" s="466">
        <f t="shared" si="5"/>
        <v>36739</v>
      </c>
      <c r="K27" s="466">
        <f t="shared" si="5"/>
        <v>36770</v>
      </c>
      <c r="L27" s="466">
        <f t="shared" si="5"/>
        <v>36800</v>
      </c>
      <c r="M27" s="466">
        <f t="shared" si="5"/>
        <v>36831</v>
      </c>
      <c r="N27" s="466">
        <f t="shared" si="5"/>
        <v>36861</v>
      </c>
      <c r="O27" s="466">
        <f t="shared" si="5"/>
        <v>36892</v>
      </c>
      <c r="P27" s="466">
        <f t="shared" si="5"/>
        <v>36923</v>
      </c>
      <c r="Q27" s="466">
        <f t="shared" si="5"/>
        <v>36951</v>
      </c>
      <c r="R27" s="466">
        <f t="shared" si="5"/>
        <v>36982</v>
      </c>
      <c r="S27" s="466">
        <f t="shared" si="5"/>
        <v>37012</v>
      </c>
      <c r="T27" s="466">
        <f t="shared" si="5"/>
        <v>37043</v>
      </c>
      <c r="U27" s="466">
        <f t="shared" si="5"/>
        <v>37073</v>
      </c>
      <c r="V27" s="466">
        <f t="shared" si="5"/>
        <v>37104</v>
      </c>
      <c r="W27" s="466">
        <f t="shared" si="5"/>
        <v>37135</v>
      </c>
      <c r="X27" s="466">
        <f t="shared" si="5"/>
        <v>37165</v>
      </c>
      <c r="Y27" s="466">
        <f t="shared" si="5"/>
        <v>37196</v>
      </c>
      <c r="Z27" s="466">
        <f t="shared" si="5"/>
        <v>37226</v>
      </c>
      <c r="AA27" s="466">
        <f t="shared" si="5"/>
        <v>37257</v>
      </c>
    </row>
    <row r="28" spans="1:27" ht="13.5">
      <c r="A28" s="467" t="s">
        <v>1305</v>
      </c>
      <c r="E28" s="363"/>
      <c r="F28" s="363"/>
      <c r="G28" s="363"/>
      <c r="H28" s="363"/>
      <c r="I28" s="363"/>
      <c r="J28" s="363"/>
      <c r="K28" s="363"/>
      <c r="L28" s="363"/>
      <c r="M28" s="363"/>
      <c r="N28" s="363"/>
      <c r="O28" s="363"/>
      <c r="P28" s="363"/>
      <c r="Q28" s="363"/>
      <c r="R28" s="363"/>
      <c r="S28" s="363"/>
      <c r="T28" s="363"/>
      <c r="U28" s="363"/>
      <c r="V28" s="363"/>
      <c r="W28" s="363"/>
      <c r="X28" s="363"/>
      <c r="Y28" s="363"/>
      <c r="Z28" s="363"/>
      <c r="AA28" s="363"/>
    </row>
    <row r="29" spans="1:27">
      <c r="A29" s="468" t="s">
        <v>1035</v>
      </c>
      <c r="E29" s="469">
        <v>0</v>
      </c>
      <c r="F29" s="363">
        <f t="shared" ref="F29:AA29" si="6">E32</f>
        <v>0</v>
      </c>
      <c r="G29" s="363">
        <f t="shared" si="6"/>
        <v>0</v>
      </c>
      <c r="H29" s="363">
        <f t="shared" ca="1" si="6"/>
        <v>0</v>
      </c>
      <c r="I29" s="363">
        <f t="shared" ca="1" si="6"/>
        <v>0</v>
      </c>
      <c r="J29" s="363">
        <f t="shared" ca="1" si="6"/>
        <v>0</v>
      </c>
      <c r="K29" s="363">
        <f t="shared" ca="1" si="6"/>
        <v>7738.9543704349999</v>
      </c>
      <c r="L29" s="363">
        <f t="shared" ca="1" si="6"/>
        <v>122501.23682724664</v>
      </c>
      <c r="M29" s="363">
        <f t="shared" ca="1" si="6"/>
        <v>125080.88828405831</v>
      </c>
      <c r="N29" s="363">
        <f t="shared" ca="1" si="6"/>
        <v>127660.53974086998</v>
      </c>
      <c r="O29" s="363">
        <f t="shared" ca="1" si="6"/>
        <v>130240.19119768165</v>
      </c>
      <c r="P29" s="363">
        <f t="shared" ca="1" si="6"/>
        <v>131530.01692608747</v>
      </c>
      <c r="Q29" s="363">
        <f t="shared" ca="1" si="6"/>
        <v>132819.84265449329</v>
      </c>
      <c r="R29" s="363">
        <f t="shared" ca="1" si="6"/>
        <v>134109.66838289911</v>
      </c>
      <c r="S29" s="363">
        <f t="shared" ca="1" si="6"/>
        <v>135399.49411130493</v>
      </c>
      <c r="T29" s="363">
        <f t="shared" ca="1" si="6"/>
        <v>136689.31983971075</v>
      </c>
      <c r="U29" s="363">
        <f t="shared" ca="1" si="6"/>
        <v>140281.46155350324</v>
      </c>
      <c r="V29" s="363">
        <f t="shared" ca="1" si="6"/>
        <v>140281.46155350324</v>
      </c>
      <c r="W29" s="363">
        <f t="shared" ca="1" si="6"/>
        <v>140281.46155350324</v>
      </c>
      <c r="X29" s="363">
        <f t="shared" ca="1" si="6"/>
        <v>140281.46155350324</v>
      </c>
      <c r="Y29" s="363">
        <f t="shared" ca="1" si="6"/>
        <v>140281.46155350324</v>
      </c>
      <c r="Z29" s="363">
        <f t="shared" ca="1" si="6"/>
        <v>140281.46155350324</v>
      </c>
      <c r="AA29" s="363">
        <f t="shared" ca="1" si="6"/>
        <v>140281.46155350324</v>
      </c>
    </row>
    <row r="30" spans="1:27">
      <c r="A30" s="468" t="s">
        <v>1307</v>
      </c>
      <c r="E30" s="363">
        <f t="shared" ref="E30:AA30" ca="1" si="7">MAX($D$24-E29,0)</f>
        <v>140281.46155350332</v>
      </c>
      <c r="F30" s="363">
        <f t="shared" ca="1" si="7"/>
        <v>140281.46155350332</v>
      </c>
      <c r="G30" s="363">
        <f t="shared" ca="1" si="7"/>
        <v>140281.46155350332</v>
      </c>
      <c r="H30" s="363">
        <f t="shared" ca="1" si="7"/>
        <v>140281.46155350332</v>
      </c>
      <c r="I30" s="363">
        <f t="shared" ca="1" si="7"/>
        <v>140281.46155350332</v>
      </c>
      <c r="J30" s="363">
        <f t="shared" ca="1" si="7"/>
        <v>140281.46155350332</v>
      </c>
      <c r="K30" s="363">
        <f t="shared" ca="1" si="7"/>
        <v>132542.50718306832</v>
      </c>
      <c r="L30" s="363">
        <f t="shared" ca="1" si="7"/>
        <v>17780.224726256682</v>
      </c>
      <c r="M30" s="363">
        <f t="shared" ca="1" si="7"/>
        <v>15200.573269445013</v>
      </c>
      <c r="N30" s="363">
        <f t="shared" ca="1" si="7"/>
        <v>12620.921812633344</v>
      </c>
      <c r="O30" s="363">
        <f t="shared" ca="1" si="7"/>
        <v>10041.270355821674</v>
      </c>
      <c r="P30" s="363">
        <f t="shared" ca="1" si="7"/>
        <v>8751.4446274158545</v>
      </c>
      <c r="Q30" s="363">
        <f t="shared" ca="1" si="7"/>
        <v>7461.6188990100345</v>
      </c>
      <c r="R30" s="363">
        <f t="shared" ca="1" si="7"/>
        <v>6171.7931706042145</v>
      </c>
      <c r="S30" s="363">
        <f t="shared" ca="1" si="7"/>
        <v>4881.9674421983946</v>
      </c>
      <c r="T30" s="363">
        <f t="shared" ca="1" si="7"/>
        <v>3592.1417137925746</v>
      </c>
      <c r="U30" s="363">
        <f t="shared" ca="1" si="7"/>
        <v>8.7311491370201111E-11</v>
      </c>
      <c r="V30" s="363">
        <f t="shared" ca="1" si="7"/>
        <v>8.7311491370201111E-11</v>
      </c>
      <c r="W30" s="363">
        <f t="shared" ca="1" si="7"/>
        <v>8.7311491370201111E-11</v>
      </c>
      <c r="X30" s="363">
        <f t="shared" ca="1" si="7"/>
        <v>8.7311491370201111E-11</v>
      </c>
      <c r="Y30" s="363">
        <f t="shared" ca="1" si="7"/>
        <v>8.7311491370201111E-11</v>
      </c>
      <c r="Z30" s="363">
        <f t="shared" ca="1" si="7"/>
        <v>8.7311491370201111E-11</v>
      </c>
      <c r="AA30" s="363">
        <f t="shared" ca="1" si="7"/>
        <v>8.7311491370201111E-11</v>
      </c>
    </row>
    <row r="31" spans="1:27">
      <c r="A31" s="468" t="s">
        <v>1308</v>
      </c>
      <c r="C31" s="450"/>
      <c r="E31" s="363">
        <f>IF(E27&lt;Assum!$I$15,0,IF(Draw!E18&lt;Draw!E30,Draw!E18,Draw!E30))</f>
        <v>0</v>
      </c>
      <c r="F31" s="363">
        <f>IF(F27&lt;Assum!$I$15,0,IF(Draw!F18&lt;Draw!F30,Draw!F18,Draw!F30))</f>
        <v>0</v>
      </c>
      <c r="G31" s="363">
        <f ca="1">IF(G27&lt;Assum!$I$15,0,IF(Draw!G18&lt;Draw!G30,Draw!G18,Draw!G30))</f>
        <v>0</v>
      </c>
      <c r="H31" s="363">
        <f ca="1">IF(H27&lt;Assum!$I$15,0,IF(Draw!H18&lt;Draw!H30,Draw!H18,Draw!H30))</f>
        <v>0</v>
      </c>
      <c r="I31" s="363">
        <f ca="1">IF(I27&lt;Assum!$I$15,0,IF(Draw!I18&lt;Draw!I30,Draw!I18,Draw!I30))</f>
        <v>0</v>
      </c>
      <c r="J31" s="363">
        <f ca="1">IF(J27&lt;Assum!$I$15,0,IF(Draw!J18&lt;Draw!J30,Draw!J18,Draw!J30))</f>
        <v>7738.9543704349999</v>
      </c>
      <c r="K31" s="363">
        <f ca="1">IF(K27&lt;Assum!$I$15,0,IF(Draw!K18&lt;Draw!K30,Draw!K18,Draw!K30))</f>
        <v>114762.28245681163</v>
      </c>
      <c r="L31" s="363">
        <f ca="1">IF(L27&lt;Assum!$I$15,0,IF(Draw!L18&lt;Draw!L30,Draw!L18,Draw!L30))</f>
        <v>2579.6514568116668</v>
      </c>
      <c r="M31" s="363">
        <f ca="1">IF(M27&lt;Assum!$I$15,0,IF(Draw!M18&lt;Draw!M30,Draw!M18,Draw!M30))</f>
        <v>2579.6514568116668</v>
      </c>
      <c r="N31" s="363">
        <f ca="1">IF(N27&lt;Assum!$I$15,0,IF(Draw!N18&lt;Draw!N30,Draw!N18,Draw!N30))</f>
        <v>2579.6514568116668</v>
      </c>
      <c r="O31" s="363">
        <f ca="1">IF(O27&lt;Assum!$I$15,0,IF(Draw!O18&lt;Draw!O30,Draw!O18,Draw!O30))</f>
        <v>1289.8257284058334</v>
      </c>
      <c r="P31" s="363">
        <f ca="1">IF(P27&lt;Assum!$I$15,0,IF(Draw!P18&lt;Draw!P30,Draw!P18,Draw!P30))</f>
        <v>1289.8257284058334</v>
      </c>
      <c r="Q31" s="363">
        <f ca="1">IF(Q27&lt;Assum!$I$15,0,IF(Draw!Q18&lt;Draw!Q30,Draw!Q18,Draw!Q30))</f>
        <v>1289.8257284058334</v>
      </c>
      <c r="R31" s="363">
        <f ca="1">IF(R27&lt;Assum!$I$15,0,IF(Draw!R18&lt;Draw!R30,Draw!R18,Draw!R30))</f>
        <v>1289.8257284058334</v>
      </c>
      <c r="S31" s="363">
        <f ca="1">IF(S27&lt;Assum!$I$15,0,IF(Draw!S18&lt;Draw!S30,Draw!S18,Draw!S30))</f>
        <v>1289.8257284058334</v>
      </c>
      <c r="T31" s="363">
        <f ca="1">IF(T27&lt;Assum!$I$15,0,IF(Draw!T18&lt;Draw!T30,Draw!T18,Draw!T30))</f>
        <v>3592.1417137924827</v>
      </c>
      <c r="U31" s="363">
        <f ca="1">IF(U27&lt;Assum!$I$15,0,IF(Draw!U18&lt;Draw!U30,Draw!U18,Draw!U30))</f>
        <v>0</v>
      </c>
      <c r="V31" s="363">
        <f ca="1">IF(V27&lt;Assum!$I$15,0,IF(Draw!V18&lt;Draw!V30,Draw!V18,Draw!V30))</f>
        <v>0</v>
      </c>
      <c r="W31" s="363">
        <f ca="1">IF(W27&lt;Assum!$I$15,0,IF(Draw!W18&lt;Draw!W30,Draw!W18,Draw!W30))</f>
        <v>0</v>
      </c>
      <c r="X31" s="363">
        <f ca="1">IF(X27&lt;Assum!$I$15,0,IF(Draw!X18&lt;Draw!X30,Draw!X18,Draw!X30))</f>
        <v>0</v>
      </c>
      <c r="Y31" s="363">
        <f ca="1">IF(Y27&lt;Assum!$I$15,0,IF(Draw!Y18&lt;Draw!Y30,Draw!Y18,Draw!Y30))</f>
        <v>0</v>
      </c>
      <c r="Z31" s="363">
        <f ca="1">IF(Z27&lt;Assum!$I$15,0,IF(Draw!Z18&lt;Draw!Z30,Draw!Z18,Draw!Z30))</f>
        <v>0</v>
      </c>
      <c r="AA31" s="363">
        <f ca="1">IF(AA27&lt;Assum!$I$15,0,IF(Draw!AA18&lt;Draw!AA30,Draw!AA18,Draw!AA30))</f>
        <v>0</v>
      </c>
    </row>
    <row r="32" spans="1:27">
      <c r="A32" s="468" t="s">
        <v>1038</v>
      </c>
      <c r="E32" s="363">
        <f t="shared" ref="E32:AA32" si="8">E29+E31</f>
        <v>0</v>
      </c>
      <c r="F32" s="363">
        <f t="shared" si="8"/>
        <v>0</v>
      </c>
      <c r="G32" s="363">
        <f t="shared" ca="1" si="8"/>
        <v>0</v>
      </c>
      <c r="H32" s="363">
        <f t="shared" ca="1" si="8"/>
        <v>0</v>
      </c>
      <c r="I32" s="363">
        <f t="shared" ca="1" si="8"/>
        <v>0</v>
      </c>
      <c r="J32" s="363">
        <f t="shared" ca="1" si="8"/>
        <v>7738.9543704349999</v>
      </c>
      <c r="K32" s="363">
        <f t="shared" ca="1" si="8"/>
        <v>122501.23682724664</v>
      </c>
      <c r="L32" s="363">
        <f t="shared" ca="1" si="8"/>
        <v>125080.88828405831</v>
      </c>
      <c r="M32" s="363">
        <f t="shared" ca="1" si="8"/>
        <v>127660.53974086998</v>
      </c>
      <c r="N32" s="363">
        <f t="shared" ca="1" si="8"/>
        <v>130240.19119768165</v>
      </c>
      <c r="O32" s="363">
        <f t="shared" ca="1" si="8"/>
        <v>131530.01692608747</v>
      </c>
      <c r="P32" s="363">
        <f t="shared" ca="1" si="8"/>
        <v>132819.84265449329</v>
      </c>
      <c r="Q32" s="363">
        <f t="shared" ca="1" si="8"/>
        <v>134109.66838289911</v>
      </c>
      <c r="R32" s="363">
        <f t="shared" ca="1" si="8"/>
        <v>135399.49411130493</v>
      </c>
      <c r="S32" s="363">
        <f t="shared" ca="1" si="8"/>
        <v>136689.31983971075</v>
      </c>
      <c r="T32" s="363">
        <f t="shared" ca="1" si="8"/>
        <v>140281.46155350324</v>
      </c>
      <c r="U32" s="363">
        <f t="shared" ca="1" si="8"/>
        <v>140281.46155350324</v>
      </c>
      <c r="V32" s="363">
        <f t="shared" ca="1" si="8"/>
        <v>140281.46155350324</v>
      </c>
      <c r="W32" s="363">
        <f t="shared" ca="1" si="8"/>
        <v>140281.46155350324</v>
      </c>
      <c r="X32" s="363">
        <f t="shared" ca="1" si="8"/>
        <v>140281.46155350324</v>
      </c>
      <c r="Y32" s="363">
        <f t="shared" ca="1" si="8"/>
        <v>140281.46155350324</v>
      </c>
      <c r="Z32" s="363">
        <f t="shared" ca="1" si="8"/>
        <v>140281.46155350324</v>
      </c>
      <c r="AA32" s="363">
        <f t="shared" ca="1" si="8"/>
        <v>140281.46155350324</v>
      </c>
    </row>
    <row r="33" spans="1:27">
      <c r="A33" s="468"/>
      <c r="E33" s="363"/>
      <c r="F33" s="363"/>
      <c r="G33" s="470"/>
      <c r="H33" s="470"/>
      <c r="I33" s="470"/>
      <c r="J33" s="470"/>
      <c r="K33" s="470"/>
      <c r="L33" s="470"/>
      <c r="M33" s="470"/>
      <c r="N33" s="470"/>
      <c r="O33" s="470"/>
      <c r="P33" s="470"/>
      <c r="Q33" s="470"/>
      <c r="R33" s="470"/>
      <c r="S33" s="470"/>
      <c r="T33" s="470"/>
      <c r="U33" s="470"/>
      <c r="V33" s="470"/>
      <c r="W33" s="470"/>
      <c r="X33" s="470"/>
      <c r="Y33" s="470"/>
      <c r="Z33" s="470"/>
      <c r="AA33" s="470"/>
    </row>
    <row r="34" spans="1:27">
      <c r="E34" s="363"/>
      <c r="F34" s="363"/>
      <c r="G34" s="363"/>
      <c r="H34" s="363"/>
      <c r="I34" s="363"/>
      <c r="J34" s="363"/>
      <c r="K34" s="363"/>
      <c r="L34" s="363"/>
      <c r="M34" s="363"/>
      <c r="N34" s="363"/>
      <c r="O34" s="363"/>
      <c r="P34" s="363"/>
      <c r="Q34" s="363"/>
      <c r="R34" s="363"/>
      <c r="S34" s="363"/>
      <c r="T34" s="363"/>
      <c r="U34" s="363"/>
      <c r="V34" s="363"/>
      <c r="W34" s="363"/>
      <c r="X34" s="363"/>
      <c r="Y34" s="363"/>
      <c r="Z34" s="363"/>
      <c r="AA34" s="363"/>
    </row>
    <row r="35" spans="1:27" ht="13.5">
      <c r="A35" s="467" t="s">
        <v>1303</v>
      </c>
      <c r="E35" s="363"/>
      <c r="F35" s="363"/>
      <c r="G35" s="363"/>
      <c r="H35" s="363"/>
      <c r="I35" s="363"/>
      <c r="J35" s="363"/>
      <c r="K35" s="363"/>
      <c r="L35" s="363"/>
      <c r="M35" s="363"/>
      <c r="N35" s="363"/>
      <c r="O35" s="363"/>
      <c r="P35" s="363"/>
      <c r="Q35" s="363"/>
      <c r="R35" s="363"/>
      <c r="S35" s="363"/>
      <c r="T35" s="363"/>
      <c r="U35" s="363"/>
      <c r="V35" s="363"/>
      <c r="W35" s="363"/>
      <c r="X35" s="363"/>
      <c r="Y35" s="363"/>
      <c r="Z35" s="363"/>
      <c r="AA35" s="363"/>
    </row>
    <row r="36" spans="1:27">
      <c r="A36" s="468" t="s">
        <v>1035</v>
      </c>
      <c r="E36" s="469">
        <v>0</v>
      </c>
      <c r="F36" s="363">
        <f t="shared" ref="F36:AA36" si="9">E39</f>
        <v>0</v>
      </c>
      <c r="G36" s="363">
        <f t="shared" ca="1" si="9"/>
        <v>0</v>
      </c>
      <c r="H36" s="363">
        <f t="shared" ca="1" si="9"/>
        <v>0</v>
      </c>
      <c r="I36" s="363">
        <f t="shared" ca="1" si="9"/>
        <v>0</v>
      </c>
      <c r="J36" s="363">
        <f t="shared" ca="1" si="9"/>
        <v>0</v>
      </c>
      <c r="K36" s="363">
        <f t="shared" ca="1" si="9"/>
        <v>0</v>
      </c>
      <c r="L36" s="363">
        <f t="shared" ca="1" si="9"/>
        <v>0</v>
      </c>
      <c r="M36" s="363">
        <f t="shared" ca="1" si="9"/>
        <v>0</v>
      </c>
      <c r="N36" s="363">
        <f t="shared" ca="1" si="9"/>
        <v>0</v>
      </c>
      <c r="O36" s="363">
        <f t="shared" ca="1" si="9"/>
        <v>0</v>
      </c>
      <c r="P36" s="363">
        <f t="shared" ca="1" si="9"/>
        <v>0</v>
      </c>
      <c r="Q36" s="363">
        <f t="shared" ca="1" si="9"/>
        <v>0</v>
      </c>
      <c r="R36" s="363">
        <f t="shared" ca="1" si="9"/>
        <v>0</v>
      </c>
      <c r="S36" s="363">
        <f t="shared" ca="1" si="9"/>
        <v>0</v>
      </c>
      <c r="T36" s="363">
        <f t="shared" ca="1" si="9"/>
        <v>0</v>
      </c>
      <c r="U36" s="363">
        <f t="shared" ca="1" si="9"/>
        <v>0</v>
      </c>
      <c r="V36" s="363">
        <f t="shared" ca="1" si="9"/>
        <v>0</v>
      </c>
      <c r="W36" s="363">
        <f t="shared" ca="1" si="9"/>
        <v>0</v>
      </c>
      <c r="X36" s="363">
        <f t="shared" ca="1" si="9"/>
        <v>0</v>
      </c>
      <c r="Y36" s="363">
        <f t="shared" ca="1" si="9"/>
        <v>0</v>
      </c>
      <c r="Z36" s="363">
        <f t="shared" ca="1" si="9"/>
        <v>0</v>
      </c>
      <c r="AA36" s="363">
        <f t="shared" ca="1" si="9"/>
        <v>0</v>
      </c>
    </row>
    <row r="37" spans="1:27">
      <c r="A37" s="468" t="s">
        <v>1307</v>
      </c>
      <c r="E37" s="363">
        <f>D22</f>
        <v>0</v>
      </c>
      <c r="F37" s="363">
        <f t="shared" ref="F37:AA37" si="10">E40</f>
        <v>0</v>
      </c>
      <c r="G37" s="363">
        <f t="shared" ca="1" si="10"/>
        <v>0</v>
      </c>
      <c r="H37" s="363">
        <f t="shared" ca="1" si="10"/>
        <v>0</v>
      </c>
      <c r="I37" s="363">
        <f t="shared" ca="1" si="10"/>
        <v>0</v>
      </c>
      <c r="J37" s="363">
        <f t="shared" ca="1" si="10"/>
        <v>0</v>
      </c>
      <c r="K37" s="363">
        <f t="shared" ca="1" si="10"/>
        <v>0</v>
      </c>
      <c r="L37" s="363">
        <f t="shared" ca="1" si="10"/>
        <v>0</v>
      </c>
      <c r="M37" s="363">
        <f t="shared" ca="1" si="10"/>
        <v>0</v>
      </c>
      <c r="N37" s="363">
        <f t="shared" ca="1" si="10"/>
        <v>0</v>
      </c>
      <c r="O37" s="363">
        <f t="shared" ca="1" si="10"/>
        <v>0</v>
      </c>
      <c r="P37" s="363">
        <f t="shared" ca="1" si="10"/>
        <v>0</v>
      </c>
      <c r="Q37" s="363">
        <f t="shared" ca="1" si="10"/>
        <v>0</v>
      </c>
      <c r="R37" s="363">
        <f t="shared" ca="1" si="10"/>
        <v>0</v>
      </c>
      <c r="S37" s="363">
        <f t="shared" ca="1" si="10"/>
        <v>0</v>
      </c>
      <c r="T37" s="363">
        <f t="shared" ca="1" si="10"/>
        <v>0</v>
      </c>
      <c r="U37" s="363">
        <f t="shared" ca="1" si="10"/>
        <v>0</v>
      </c>
      <c r="V37" s="363">
        <f t="shared" ca="1" si="10"/>
        <v>0</v>
      </c>
      <c r="W37" s="363">
        <f t="shared" ca="1" si="10"/>
        <v>0</v>
      </c>
      <c r="X37" s="363">
        <f t="shared" ca="1" si="10"/>
        <v>0</v>
      </c>
      <c r="Y37" s="363">
        <f t="shared" ca="1" si="10"/>
        <v>0</v>
      </c>
      <c r="Z37" s="363">
        <f t="shared" ca="1" si="10"/>
        <v>0</v>
      </c>
      <c r="AA37" s="363">
        <f t="shared" ca="1" si="10"/>
        <v>0</v>
      </c>
    </row>
    <row r="38" spans="1:27">
      <c r="A38" s="468" t="s">
        <v>1308</v>
      </c>
      <c r="D38" s="363"/>
      <c r="E38" s="363">
        <f>IF(E27&lt;Assum!I15,0,IF((Draw!E18-Draw!E31)&gt;0,Draw!E18-Draw!E31,0))</f>
        <v>0</v>
      </c>
      <c r="F38" s="363">
        <f ca="1">IF(F27&lt;Assum!J15,0,IF((Draw!F18-Draw!F31)&gt;0,Draw!F18-Draw!F31,0))</f>
        <v>0</v>
      </c>
      <c r="G38" s="363">
        <f ca="1">IF(G27&lt;Assum!K15,0,IF((Draw!G18-Draw!G31)&gt;0,Draw!G18-Draw!G31,0))</f>
        <v>0</v>
      </c>
      <c r="H38" s="363">
        <f ca="1">IF(H27&lt;Assum!L15,0,IF((Draw!H18-Draw!H31)&gt;0,Draw!H18-Draw!H31,0))</f>
        <v>0</v>
      </c>
      <c r="I38" s="363">
        <f ca="1">IF(I27&lt;Assum!M15,0,IF((Draw!I18-Draw!I31)&gt;0,Draw!I18-Draw!I31,0))</f>
        <v>0</v>
      </c>
      <c r="J38" s="363">
        <f ca="1">IF(J27&lt;Assum!N15,0,IF((Draw!J18-Draw!J31)&gt;0,Draw!J18-Draw!J31,0))</f>
        <v>0</v>
      </c>
      <c r="K38" s="363">
        <f ca="1">IF(K27&lt;Assum!O15,0,IF((Draw!K18-Draw!K31)&gt;0,Draw!K18-Draw!K31,0))</f>
        <v>0</v>
      </c>
      <c r="L38" s="363">
        <f ca="1">IF(L27&lt;Assum!P15,0,IF((Draw!L18-Draw!L31)&gt;0,Draw!L18-Draw!L31,0))</f>
        <v>0</v>
      </c>
      <c r="M38" s="363">
        <f ca="1">IF(M27&lt;Assum!Q15,0,IF((Draw!M18-Draw!M31)&gt;0,Draw!M18-Draw!M31,0))</f>
        <v>0</v>
      </c>
      <c r="N38" s="363">
        <f ca="1">IF(N27&lt;Assum!R15,0,IF((Draw!N18-Draw!N31)&gt;0,Draw!N18-Draw!N31,0))</f>
        <v>0</v>
      </c>
      <c r="O38" s="363">
        <f ca="1">IF(O27&lt;Assum!S15,0,IF((Draw!O18-Draw!O31)&gt;0,Draw!O18-Draw!O31,0))</f>
        <v>0</v>
      </c>
      <c r="P38" s="363">
        <f ca="1">IF(P27&lt;Assum!T15,0,IF((Draw!P18-Draw!P31)&gt;0,Draw!P18-Draw!P31,0))</f>
        <v>0</v>
      </c>
      <c r="Q38" s="363">
        <f ca="1">IF(Q27&lt;Assum!U15,0,IF((Draw!Q18-Draw!Q31)&gt;0,Draw!Q18-Draw!Q31,0))</f>
        <v>0</v>
      </c>
      <c r="R38" s="363">
        <f ca="1">IF(R27&lt;Assum!V15,0,IF((Draw!R18-Draw!R31)&gt;0,Draw!R18-Draw!R31,0))</f>
        <v>0</v>
      </c>
      <c r="S38" s="363">
        <f ca="1">IF(S27&lt;Assum!W15,0,IF((Draw!S18-Draw!S31)&gt;0,Draw!S18-Draw!S31,0))</f>
        <v>0</v>
      </c>
      <c r="T38" s="363">
        <f ca="1">IF(T27&lt;Assum!X15,0,IF((Draw!T18-Draw!T31)&gt;0,Draw!T18-Draw!T31,0))</f>
        <v>0</v>
      </c>
      <c r="U38" s="363">
        <f ca="1">IF(U27&lt;Assum!Y15,0,IF((Draw!U18-Draw!U31)&gt;0,Draw!U18-Draw!U31,0))</f>
        <v>0</v>
      </c>
      <c r="V38" s="363">
        <f ca="1">IF(V27&lt;Assum!Z15,0,IF((Draw!V18-Draw!V31)&gt;0,Draw!V18-Draw!V31,0))</f>
        <v>0</v>
      </c>
      <c r="W38" s="363">
        <f ca="1">IF(W27&lt;Assum!AA15,0,IF((Draw!W18-Draw!W31)&gt;0,Draw!W18-Draw!W31,0))</f>
        <v>0</v>
      </c>
      <c r="X38" s="363">
        <f ca="1">IF(X27&lt;Assum!AB15,0,IF((Draw!X18-Draw!X31)&gt;0,Draw!X18-Draw!X31,0))</f>
        <v>0</v>
      </c>
      <c r="Y38" s="363">
        <f ca="1">IF(Y27&lt;Assum!AC15,0,IF((Draw!Y18-Draw!Y31)&gt;0,Draw!Y18-Draw!Y31,0))</f>
        <v>0</v>
      </c>
      <c r="Z38" s="363">
        <f ca="1">IF(Z27&lt;Assum!AD15,0,IF((Draw!Z18-Draw!Z31)&gt;0,Draw!Z18-Draw!Z31,0))</f>
        <v>0</v>
      </c>
      <c r="AA38" s="363">
        <f ca="1">IF(AA27&lt;Assum!AE15,0,IF((Draw!AA18-Draw!AA31)&gt;0,Draw!AA18-Draw!AA31,0))</f>
        <v>0</v>
      </c>
    </row>
    <row r="39" spans="1:27">
      <c r="A39" s="468" t="s">
        <v>1038</v>
      </c>
      <c r="E39" s="363">
        <f t="shared" ref="E39:AA39" si="11">E36+E38</f>
        <v>0</v>
      </c>
      <c r="F39" s="363">
        <f t="shared" ca="1" si="11"/>
        <v>0</v>
      </c>
      <c r="G39" s="363">
        <f t="shared" ca="1" si="11"/>
        <v>0</v>
      </c>
      <c r="H39" s="363">
        <f t="shared" ca="1" si="11"/>
        <v>0</v>
      </c>
      <c r="I39" s="363">
        <f t="shared" ca="1" si="11"/>
        <v>0</v>
      </c>
      <c r="J39" s="363">
        <f t="shared" ca="1" si="11"/>
        <v>0</v>
      </c>
      <c r="K39" s="363">
        <f t="shared" ca="1" si="11"/>
        <v>0</v>
      </c>
      <c r="L39" s="363">
        <f t="shared" ca="1" si="11"/>
        <v>0</v>
      </c>
      <c r="M39" s="363">
        <f t="shared" ca="1" si="11"/>
        <v>0</v>
      </c>
      <c r="N39" s="363">
        <f t="shared" ca="1" si="11"/>
        <v>0</v>
      </c>
      <c r="O39" s="363">
        <f t="shared" ca="1" si="11"/>
        <v>0</v>
      </c>
      <c r="P39" s="363">
        <f t="shared" ca="1" si="11"/>
        <v>0</v>
      </c>
      <c r="Q39" s="363">
        <f t="shared" ca="1" si="11"/>
        <v>0</v>
      </c>
      <c r="R39" s="363">
        <f t="shared" ca="1" si="11"/>
        <v>0</v>
      </c>
      <c r="S39" s="363">
        <f t="shared" ca="1" si="11"/>
        <v>0</v>
      </c>
      <c r="T39" s="363">
        <f t="shared" ca="1" si="11"/>
        <v>0</v>
      </c>
      <c r="U39" s="363">
        <f t="shared" ca="1" si="11"/>
        <v>0</v>
      </c>
      <c r="V39" s="363">
        <f t="shared" ca="1" si="11"/>
        <v>0</v>
      </c>
      <c r="W39" s="363">
        <f t="shared" ca="1" si="11"/>
        <v>0</v>
      </c>
      <c r="X39" s="363">
        <f t="shared" ca="1" si="11"/>
        <v>0</v>
      </c>
      <c r="Y39" s="363">
        <f t="shared" ca="1" si="11"/>
        <v>0</v>
      </c>
      <c r="Z39" s="363">
        <f t="shared" ca="1" si="11"/>
        <v>0</v>
      </c>
      <c r="AA39" s="363">
        <f t="shared" ca="1" si="11"/>
        <v>0</v>
      </c>
    </row>
    <row r="40" spans="1:27">
      <c r="A40" s="468" t="s">
        <v>1309</v>
      </c>
      <c r="E40" s="363">
        <f t="shared" ref="E40:AA40" si="12">E37-E38</f>
        <v>0</v>
      </c>
      <c r="F40" s="363">
        <f t="shared" ca="1" si="12"/>
        <v>0</v>
      </c>
      <c r="G40" s="363">
        <f t="shared" ca="1" si="12"/>
        <v>0</v>
      </c>
      <c r="H40" s="363">
        <f t="shared" ca="1" si="12"/>
        <v>0</v>
      </c>
      <c r="I40" s="363">
        <f t="shared" ca="1" si="12"/>
        <v>0</v>
      </c>
      <c r="J40" s="363">
        <f t="shared" ca="1" si="12"/>
        <v>0</v>
      </c>
      <c r="K40" s="363">
        <f t="shared" ca="1" si="12"/>
        <v>0</v>
      </c>
      <c r="L40" s="363">
        <f t="shared" ca="1" si="12"/>
        <v>0</v>
      </c>
      <c r="M40" s="363">
        <f t="shared" ca="1" si="12"/>
        <v>0</v>
      </c>
      <c r="N40" s="363">
        <f t="shared" ca="1" si="12"/>
        <v>0</v>
      </c>
      <c r="O40" s="363">
        <f t="shared" ca="1" si="12"/>
        <v>0</v>
      </c>
      <c r="P40" s="363">
        <f t="shared" ca="1" si="12"/>
        <v>0</v>
      </c>
      <c r="Q40" s="363">
        <f t="shared" ca="1" si="12"/>
        <v>0</v>
      </c>
      <c r="R40" s="363">
        <f t="shared" ca="1" si="12"/>
        <v>0</v>
      </c>
      <c r="S40" s="363">
        <f t="shared" ca="1" si="12"/>
        <v>0</v>
      </c>
      <c r="T40" s="363">
        <f t="shared" ca="1" si="12"/>
        <v>0</v>
      </c>
      <c r="U40" s="363">
        <f t="shared" ca="1" si="12"/>
        <v>0</v>
      </c>
      <c r="V40" s="363">
        <f t="shared" ca="1" si="12"/>
        <v>0</v>
      </c>
      <c r="W40" s="363">
        <f t="shared" ca="1" si="12"/>
        <v>0</v>
      </c>
      <c r="X40" s="363">
        <f t="shared" ca="1" si="12"/>
        <v>0</v>
      </c>
      <c r="Y40" s="363">
        <f t="shared" ca="1" si="12"/>
        <v>0</v>
      </c>
      <c r="Z40" s="363">
        <f t="shared" ca="1" si="12"/>
        <v>0</v>
      </c>
      <c r="AA40" s="363">
        <f t="shared" ca="1" si="12"/>
        <v>0</v>
      </c>
    </row>
    <row r="41" spans="1:27">
      <c r="A41" s="468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  <c r="AA41" s="363"/>
    </row>
    <row r="42" spans="1:27">
      <c r="A42" s="468" t="s">
        <v>1310</v>
      </c>
      <c r="B42" s="471">
        <f>Assum!B118/12</f>
        <v>6.2499999999999995E-3</v>
      </c>
      <c r="E42" s="363">
        <f t="shared" ref="E42:AA42" si="13">((E36+E39)/2)*$B$42</f>
        <v>0</v>
      </c>
      <c r="F42" s="363">
        <f t="shared" ca="1" si="13"/>
        <v>0</v>
      </c>
      <c r="G42" s="363">
        <f t="shared" ca="1" si="13"/>
        <v>0</v>
      </c>
      <c r="H42" s="363">
        <f t="shared" ca="1" si="13"/>
        <v>0</v>
      </c>
      <c r="I42" s="363">
        <f t="shared" ca="1" si="13"/>
        <v>0</v>
      </c>
      <c r="J42" s="363">
        <f t="shared" ca="1" si="13"/>
        <v>0</v>
      </c>
      <c r="K42" s="363">
        <f t="shared" ca="1" si="13"/>
        <v>0</v>
      </c>
      <c r="L42" s="363">
        <f t="shared" ca="1" si="13"/>
        <v>0</v>
      </c>
      <c r="M42" s="363">
        <f t="shared" ca="1" si="13"/>
        <v>0</v>
      </c>
      <c r="N42" s="363">
        <f t="shared" ca="1" si="13"/>
        <v>0</v>
      </c>
      <c r="O42" s="363">
        <f t="shared" ca="1" si="13"/>
        <v>0</v>
      </c>
      <c r="P42" s="363">
        <f t="shared" ca="1" si="13"/>
        <v>0</v>
      </c>
      <c r="Q42" s="363">
        <f t="shared" ca="1" si="13"/>
        <v>0</v>
      </c>
      <c r="R42" s="363">
        <f t="shared" ca="1" si="13"/>
        <v>0</v>
      </c>
      <c r="S42" s="363">
        <f t="shared" ca="1" si="13"/>
        <v>0</v>
      </c>
      <c r="T42" s="363">
        <f t="shared" ca="1" si="13"/>
        <v>0</v>
      </c>
      <c r="U42" s="363">
        <f t="shared" ca="1" si="13"/>
        <v>0</v>
      </c>
      <c r="V42" s="363">
        <f t="shared" ca="1" si="13"/>
        <v>0</v>
      </c>
      <c r="W42" s="363">
        <f t="shared" ca="1" si="13"/>
        <v>0</v>
      </c>
      <c r="X42" s="363">
        <f t="shared" ca="1" si="13"/>
        <v>0</v>
      </c>
      <c r="Y42" s="363">
        <f t="shared" ca="1" si="13"/>
        <v>0</v>
      </c>
      <c r="Z42" s="363">
        <f t="shared" ca="1" si="13"/>
        <v>0</v>
      </c>
      <c r="AA42" s="363">
        <f t="shared" ca="1" si="13"/>
        <v>0</v>
      </c>
    </row>
    <row r="43" spans="1:27">
      <c r="A43" s="472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  <c r="AA43" s="363"/>
    </row>
    <row r="44" spans="1:27" ht="13.5">
      <c r="A44" s="467" t="s">
        <v>1304</v>
      </c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  <c r="AA44" s="363"/>
    </row>
    <row r="45" spans="1:27">
      <c r="A45" s="468" t="s">
        <v>1035</v>
      </c>
      <c r="E45" s="469">
        <v>0</v>
      </c>
      <c r="F45" s="363">
        <f t="shared" ref="F45:AA45" si="14">E48</f>
        <v>0</v>
      </c>
      <c r="G45" s="363">
        <f t="shared" ca="1" si="14"/>
        <v>0</v>
      </c>
      <c r="H45" s="363">
        <f t="shared" ca="1" si="14"/>
        <v>0</v>
      </c>
      <c r="I45" s="363">
        <f t="shared" ca="1" si="14"/>
        <v>0</v>
      </c>
      <c r="J45" s="363">
        <f t="shared" ca="1" si="14"/>
        <v>0</v>
      </c>
      <c r="K45" s="363">
        <f t="shared" ca="1" si="14"/>
        <v>0</v>
      </c>
      <c r="L45" s="363">
        <f t="shared" ca="1" si="14"/>
        <v>0</v>
      </c>
      <c r="M45" s="363">
        <f t="shared" ca="1" si="14"/>
        <v>0</v>
      </c>
      <c r="N45" s="363">
        <f t="shared" ca="1" si="14"/>
        <v>0</v>
      </c>
      <c r="O45" s="363">
        <f t="shared" ca="1" si="14"/>
        <v>0</v>
      </c>
      <c r="P45" s="363">
        <f t="shared" ca="1" si="14"/>
        <v>0</v>
      </c>
      <c r="Q45" s="363">
        <f t="shared" ca="1" si="14"/>
        <v>0</v>
      </c>
      <c r="R45" s="363">
        <f t="shared" ca="1" si="14"/>
        <v>0</v>
      </c>
      <c r="S45" s="363">
        <f t="shared" ca="1" si="14"/>
        <v>0</v>
      </c>
      <c r="T45" s="363">
        <f t="shared" ca="1" si="14"/>
        <v>0</v>
      </c>
      <c r="U45" s="363">
        <f t="shared" ca="1" si="14"/>
        <v>0</v>
      </c>
      <c r="V45" s="363">
        <f t="shared" ca="1" si="14"/>
        <v>0</v>
      </c>
      <c r="W45" s="363">
        <f t="shared" ca="1" si="14"/>
        <v>0</v>
      </c>
      <c r="X45" s="363">
        <f t="shared" ca="1" si="14"/>
        <v>0</v>
      </c>
      <c r="Y45" s="363">
        <f t="shared" ca="1" si="14"/>
        <v>0</v>
      </c>
      <c r="Z45" s="363">
        <f t="shared" ca="1" si="14"/>
        <v>0</v>
      </c>
      <c r="AA45" s="363">
        <f t="shared" ca="1" si="14"/>
        <v>0</v>
      </c>
    </row>
    <row r="46" spans="1:27">
      <c r="A46" s="468" t="s">
        <v>1307</v>
      </c>
      <c r="E46" s="363">
        <f>D23</f>
        <v>0</v>
      </c>
      <c r="F46" s="363">
        <f t="shared" ref="F46:AA46" si="15">E49</f>
        <v>0</v>
      </c>
      <c r="G46" s="363">
        <f t="shared" ca="1" si="15"/>
        <v>0</v>
      </c>
      <c r="H46" s="363">
        <f t="shared" ca="1" si="15"/>
        <v>0</v>
      </c>
      <c r="I46" s="363">
        <f t="shared" ca="1" si="15"/>
        <v>0</v>
      </c>
      <c r="J46" s="363">
        <f t="shared" ca="1" si="15"/>
        <v>0</v>
      </c>
      <c r="K46" s="363">
        <f t="shared" ca="1" si="15"/>
        <v>0</v>
      </c>
      <c r="L46" s="363">
        <f t="shared" ca="1" si="15"/>
        <v>0</v>
      </c>
      <c r="M46" s="363">
        <f t="shared" ca="1" si="15"/>
        <v>0</v>
      </c>
      <c r="N46" s="363">
        <f t="shared" ca="1" si="15"/>
        <v>0</v>
      </c>
      <c r="O46" s="363">
        <f t="shared" ca="1" si="15"/>
        <v>0</v>
      </c>
      <c r="P46" s="363">
        <f t="shared" ca="1" si="15"/>
        <v>0</v>
      </c>
      <c r="Q46" s="363">
        <f t="shared" ca="1" si="15"/>
        <v>0</v>
      </c>
      <c r="R46" s="363">
        <f t="shared" ca="1" si="15"/>
        <v>0</v>
      </c>
      <c r="S46" s="363">
        <f t="shared" ca="1" si="15"/>
        <v>0</v>
      </c>
      <c r="T46" s="363">
        <f t="shared" ca="1" si="15"/>
        <v>0</v>
      </c>
      <c r="U46" s="363">
        <f t="shared" ca="1" si="15"/>
        <v>0</v>
      </c>
      <c r="V46" s="363">
        <f t="shared" ca="1" si="15"/>
        <v>0</v>
      </c>
      <c r="W46" s="363">
        <f t="shared" ca="1" si="15"/>
        <v>0</v>
      </c>
      <c r="X46" s="363">
        <f t="shared" ca="1" si="15"/>
        <v>0</v>
      </c>
      <c r="Y46" s="363">
        <f t="shared" ca="1" si="15"/>
        <v>0</v>
      </c>
      <c r="Z46" s="363">
        <f t="shared" ca="1" si="15"/>
        <v>0</v>
      </c>
      <c r="AA46" s="363">
        <f t="shared" ca="1" si="15"/>
        <v>0</v>
      </c>
    </row>
    <row r="47" spans="1:27">
      <c r="A47" s="468" t="s">
        <v>1308</v>
      </c>
      <c r="D47" s="363"/>
      <c r="E47" s="363">
        <f>IF(E27&lt;Assum!I15,0,IF((E31+E38)&lt;E18,E18-E31-E38,0))</f>
        <v>0</v>
      </c>
      <c r="F47" s="363">
        <f ca="1">IF(F27&lt;Assum!J15,0,IF((F31+F38)&lt;F18,F18-F31-F38,0))</f>
        <v>0</v>
      </c>
      <c r="G47" s="363">
        <f ca="1">IF(G27&lt;Assum!K15,0,IF((G31+G38)&lt;G18,G18-G31-G38,0))</f>
        <v>0</v>
      </c>
      <c r="H47" s="363">
        <f ca="1">IF(H27&lt;Assum!L15,0,IF((H31+H38)&lt;H18,H18-H31-H38,0))</f>
        <v>0</v>
      </c>
      <c r="I47" s="363">
        <f ca="1">IF(I27&lt;Assum!M15,0,IF((I31+I38)&lt;I18,I18-I31-I38,0))</f>
        <v>0</v>
      </c>
      <c r="J47" s="363">
        <f ca="1">IF(J27&lt;Assum!N15,0,IF((J31+J38)&lt;J18,J18-J31-J38,0))</f>
        <v>0</v>
      </c>
      <c r="K47" s="363">
        <f ca="1">IF(K27&lt;Assum!O15,0,IF((K31+K38)&lt;K18,K18-K31-K38,0))</f>
        <v>0</v>
      </c>
      <c r="L47" s="363">
        <f ca="1">IF(L27&lt;Assum!P15,0,IF((L31+L38)&lt;L18,L18-L31-L38,0))</f>
        <v>0</v>
      </c>
      <c r="M47" s="363">
        <f ca="1">IF(M27&lt;Assum!Q15,0,IF((M31+M38)&lt;M18,M18-M31-M38,0))</f>
        <v>0</v>
      </c>
      <c r="N47" s="363">
        <f ca="1">IF(N27&lt;Assum!R15,0,IF((N31+N38)&lt;N18,N18-N31-N38,0))</f>
        <v>0</v>
      </c>
      <c r="O47" s="363">
        <f ca="1">IF(O27&lt;Assum!S15,0,IF((O31+O38)&lt;O18,O18-O31-O38,0))</f>
        <v>0</v>
      </c>
      <c r="P47" s="363">
        <f ca="1">IF(P27&lt;Assum!T15,0,IF((P31+P38)&lt;P18,P18-P31-P38,0))</f>
        <v>0</v>
      </c>
      <c r="Q47" s="363">
        <f ca="1">IF(Q27&lt;Assum!U15,0,IF((Q31+Q38)&lt;Q18,Q18-Q31-Q38,0))</f>
        <v>0</v>
      </c>
      <c r="R47" s="363">
        <f ca="1">IF(R27&lt;Assum!V15,0,IF((R31+R38)&lt;R18,R18-R31-R38,0))</f>
        <v>0</v>
      </c>
      <c r="S47" s="363">
        <f ca="1">IF(S27&lt;Assum!W15,0,IF((S31+S38)&lt;S18,S18-S31-S38,0))</f>
        <v>0</v>
      </c>
      <c r="T47" s="363">
        <f ca="1">IF(T27&lt;Assum!X15,0,IF((T31+T38)&lt;T18,T18-T31-T38,0))</f>
        <v>0</v>
      </c>
      <c r="U47" s="363">
        <f ca="1">IF(U27&lt;Assum!Y15,0,IF((U31+U38)&lt;U18,U18-U31-U38,0))</f>
        <v>0</v>
      </c>
      <c r="V47" s="363">
        <f ca="1">IF(V27&lt;Assum!Z15,0,IF((V31+V38)&lt;V18,V18-V31-V38,0))</f>
        <v>0</v>
      </c>
      <c r="W47" s="363">
        <f ca="1">IF(W27&lt;Assum!AA15,0,IF((W31+W38)&lt;W18,W18-W31-W38,0))</f>
        <v>0</v>
      </c>
      <c r="X47" s="363">
        <f ca="1">IF(X27&lt;Assum!AB15,0,IF((X31+X38)&lt;X18,X18-X31-X38,0))</f>
        <v>0</v>
      </c>
      <c r="Y47" s="363">
        <f ca="1">IF(Y27&lt;Assum!AC15,0,IF((Y31+Y38)&lt;Y18,Y18-Y31-Y38,0))</f>
        <v>0</v>
      </c>
      <c r="Z47" s="363">
        <f ca="1">IF(Z27&lt;Assum!AD15,0,IF((Z31+Z38)&lt;Z18,Z18-Z31-Z38,0))</f>
        <v>0</v>
      </c>
      <c r="AA47" s="363">
        <f ca="1">IF(AA27&lt;Assum!AE15,0,IF((AA31+AA38)&lt;AA18,AA18-AA31-AA38,0))</f>
        <v>0</v>
      </c>
    </row>
    <row r="48" spans="1:27">
      <c r="A48" s="468" t="s">
        <v>1038</v>
      </c>
      <c r="E48" s="363">
        <f t="shared" ref="E48:AA48" si="16">E45+E47</f>
        <v>0</v>
      </c>
      <c r="F48" s="363">
        <f t="shared" ca="1" si="16"/>
        <v>0</v>
      </c>
      <c r="G48" s="363">
        <f t="shared" ca="1" si="16"/>
        <v>0</v>
      </c>
      <c r="H48" s="363">
        <f t="shared" ca="1" si="16"/>
        <v>0</v>
      </c>
      <c r="I48" s="363">
        <f t="shared" ca="1" si="16"/>
        <v>0</v>
      </c>
      <c r="J48" s="363">
        <f t="shared" ca="1" si="16"/>
        <v>0</v>
      </c>
      <c r="K48" s="363">
        <f t="shared" ca="1" si="16"/>
        <v>0</v>
      </c>
      <c r="L48" s="363">
        <f t="shared" ca="1" si="16"/>
        <v>0</v>
      </c>
      <c r="M48" s="363">
        <f t="shared" ca="1" si="16"/>
        <v>0</v>
      </c>
      <c r="N48" s="363">
        <f t="shared" ca="1" si="16"/>
        <v>0</v>
      </c>
      <c r="O48" s="363">
        <f t="shared" ca="1" si="16"/>
        <v>0</v>
      </c>
      <c r="P48" s="363">
        <f t="shared" ca="1" si="16"/>
        <v>0</v>
      </c>
      <c r="Q48" s="363">
        <f t="shared" ca="1" si="16"/>
        <v>0</v>
      </c>
      <c r="R48" s="363">
        <f t="shared" ca="1" si="16"/>
        <v>0</v>
      </c>
      <c r="S48" s="363">
        <f t="shared" ca="1" si="16"/>
        <v>0</v>
      </c>
      <c r="T48" s="363">
        <f t="shared" ca="1" si="16"/>
        <v>0</v>
      </c>
      <c r="U48" s="363">
        <f t="shared" ca="1" si="16"/>
        <v>0</v>
      </c>
      <c r="V48" s="363">
        <f t="shared" ca="1" si="16"/>
        <v>0</v>
      </c>
      <c r="W48" s="363">
        <f t="shared" ca="1" si="16"/>
        <v>0</v>
      </c>
      <c r="X48" s="363">
        <f t="shared" ca="1" si="16"/>
        <v>0</v>
      </c>
      <c r="Y48" s="363">
        <f t="shared" ca="1" si="16"/>
        <v>0</v>
      </c>
      <c r="Z48" s="363">
        <f t="shared" ca="1" si="16"/>
        <v>0</v>
      </c>
      <c r="AA48" s="363">
        <f t="shared" ca="1" si="16"/>
        <v>0</v>
      </c>
    </row>
    <row r="49" spans="1:27">
      <c r="A49" s="468" t="s">
        <v>1309</v>
      </c>
      <c r="E49" s="363">
        <f t="shared" ref="E49:AA49" si="17">E46-E47</f>
        <v>0</v>
      </c>
      <c r="F49" s="363">
        <f t="shared" ca="1" si="17"/>
        <v>0</v>
      </c>
      <c r="G49" s="363">
        <f t="shared" ca="1" si="17"/>
        <v>0</v>
      </c>
      <c r="H49" s="363">
        <f t="shared" ca="1" si="17"/>
        <v>0</v>
      </c>
      <c r="I49" s="363">
        <f t="shared" ca="1" si="17"/>
        <v>0</v>
      </c>
      <c r="J49" s="363">
        <f t="shared" ca="1" si="17"/>
        <v>0</v>
      </c>
      <c r="K49" s="363">
        <f t="shared" ca="1" si="17"/>
        <v>0</v>
      </c>
      <c r="L49" s="363">
        <f t="shared" ca="1" si="17"/>
        <v>0</v>
      </c>
      <c r="M49" s="363">
        <f t="shared" ca="1" si="17"/>
        <v>0</v>
      </c>
      <c r="N49" s="363">
        <f t="shared" ca="1" si="17"/>
        <v>0</v>
      </c>
      <c r="O49" s="363">
        <f t="shared" ca="1" si="17"/>
        <v>0</v>
      </c>
      <c r="P49" s="363">
        <f t="shared" ca="1" si="17"/>
        <v>0</v>
      </c>
      <c r="Q49" s="363">
        <f t="shared" ca="1" si="17"/>
        <v>0</v>
      </c>
      <c r="R49" s="363">
        <f t="shared" ca="1" si="17"/>
        <v>0</v>
      </c>
      <c r="S49" s="363">
        <f t="shared" ca="1" si="17"/>
        <v>0</v>
      </c>
      <c r="T49" s="363">
        <f t="shared" ca="1" si="17"/>
        <v>0</v>
      </c>
      <c r="U49" s="363">
        <f t="shared" ca="1" si="17"/>
        <v>0</v>
      </c>
      <c r="V49" s="363">
        <f t="shared" ca="1" si="17"/>
        <v>0</v>
      </c>
      <c r="W49" s="363">
        <f t="shared" ca="1" si="17"/>
        <v>0</v>
      </c>
      <c r="X49" s="363">
        <f t="shared" ca="1" si="17"/>
        <v>0</v>
      </c>
      <c r="Y49" s="363">
        <f t="shared" ca="1" si="17"/>
        <v>0</v>
      </c>
      <c r="Z49" s="363">
        <f t="shared" ca="1" si="17"/>
        <v>0</v>
      </c>
      <c r="AA49" s="363">
        <f t="shared" ca="1" si="17"/>
        <v>0</v>
      </c>
    </row>
    <row r="50" spans="1:27">
      <c r="A50" s="468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</row>
    <row r="51" spans="1:27">
      <c r="A51" s="468" t="s">
        <v>1310</v>
      </c>
      <c r="B51" s="471">
        <f>Assum!C118/12</f>
        <v>6.2499999999999995E-3</v>
      </c>
      <c r="D51" s="363"/>
      <c r="E51" s="363">
        <f t="shared" ref="E51:AA51" si="18">((E45+E48)/2)*$B$51</f>
        <v>0</v>
      </c>
      <c r="F51" s="363">
        <f t="shared" ca="1" si="18"/>
        <v>0</v>
      </c>
      <c r="G51" s="363">
        <f t="shared" ca="1" si="18"/>
        <v>0</v>
      </c>
      <c r="H51" s="363">
        <f t="shared" ca="1" si="18"/>
        <v>0</v>
      </c>
      <c r="I51" s="363">
        <f t="shared" ca="1" si="18"/>
        <v>0</v>
      </c>
      <c r="J51" s="363">
        <f t="shared" ca="1" si="18"/>
        <v>0</v>
      </c>
      <c r="K51" s="363">
        <f t="shared" ca="1" si="18"/>
        <v>0</v>
      </c>
      <c r="L51" s="363">
        <f t="shared" ca="1" si="18"/>
        <v>0</v>
      </c>
      <c r="M51" s="363">
        <f t="shared" ca="1" si="18"/>
        <v>0</v>
      </c>
      <c r="N51" s="363">
        <f t="shared" ca="1" si="18"/>
        <v>0</v>
      </c>
      <c r="O51" s="363">
        <f t="shared" ca="1" si="18"/>
        <v>0</v>
      </c>
      <c r="P51" s="363">
        <f t="shared" ca="1" si="18"/>
        <v>0</v>
      </c>
      <c r="Q51" s="363">
        <f t="shared" ca="1" si="18"/>
        <v>0</v>
      </c>
      <c r="R51" s="363">
        <f t="shared" ca="1" si="18"/>
        <v>0</v>
      </c>
      <c r="S51" s="363">
        <f t="shared" ca="1" si="18"/>
        <v>0</v>
      </c>
      <c r="T51" s="363">
        <f t="shared" ca="1" si="18"/>
        <v>0</v>
      </c>
      <c r="U51" s="363">
        <f t="shared" ca="1" si="18"/>
        <v>0</v>
      </c>
      <c r="V51" s="363">
        <f t="shared" ca="1" si="18"/>
        <v>0</v>
      </c>
      <c r="W51" s="363">
        <f t="shared" ca="1" si="18"/>
        <v>0</v>
      </c>
      <c r="X51" s="363">
        <f t="shared" ca="1" si="18"/>
        <v>0</v>
      </c>
      <c r="Y51" s="363">
        <f t="shared" ca="1" si="18"/>
        <v>0</v>
      </c>
      <c r="Z51" s="363">
        <f t="shared" ca="1" si="18"/>
        <v>0</v>
      </c>
      <c r="AA51" s="363">
        <f t="shared" ca="1" si="18"/>
        <v>0</v>
      </c>
    </row>
    <row r="52" spans="1:27">
      <c r="A52" s="472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  <c r="AA52" s="363"/>
    </row>
    <row r="53" spans="1:27">
      <c r="A53" s="12" t="s">
        <v>1311</v>
      </c>
      <c r="E53" s="363">
        <f t="shared" ref="E53:AA53" si="19">E51+E42</f>
        <v>0</v>
      </c>
      <c r="F53" s="363">
        <f t="shared" ca="1" si="19"/>
        <v>0</v>
      </c>
      <c r="G53" s="363">
        <f t="shared" ca="1" si="19"/>
        <v>0</v>
      </c>
      <c r="H53" s="363">
        <f t="shared" ca="1" si="19"/>
        <v>0</v>
      </c>
      <c r="I53" s="363">
        <f t="shared" ca="1" si="19"/>
        <v>0</v>
      </c>
      <c r="J53" s="363">
        <f t="shared" ca="1" si="19"/>
        <v>0</v>
      </c>
      <c r="K53" s="363">
        <f t="shared" ca="1" si="19"/>
        <v>0</v>
      </c>
      <c r="L53" s="363">
        <f t="shared" ca="1" si="19"/>
        <v>0</v>
      </c>
      <c r="M53" s="363">
        <f t="shared" ca="1" si="19"/>
        <v>0</v>
      </c>
      <c r="N53" s="363">
        <f t="shared" ca="1" si="19"/>
        <v>0</v>
      </c>
      <c r="O53" s="363">
        <f t="shared" ca="1" si="19"/>
        <v>0</v>
      </c>
      <c r="P53" s="363">
        <f t="shared" ca="1" si="19"/>
        <v>0</v>
      </c>
      <c r="Q53" s="363">
        <f t="shared" ca="1" si="19"/>
        <v>0</v>
      </c>
      <c r="R53" s="363">
        <f t="shared" ca="1" si="19"/>
        <v>0</v>
      </c>
      <c r="S53" s="363">
        <f t="shared" ca="1" si="19"/>
        <v>0</v>
      </c>
      <c r="T53" s="363">
        <f t="shared" ca="1" si="19"/>
        <v>0</v>
      </c>
      <c r="U53" s="363">
        <f t="shared" ca="1" si="19"/>
        <v>0</v>
      </c>
      <c r="V53" s="363">
        <f t="shared" ca="1" si="19"/>
        <v>0</v>
      </c>
      <c r="W53" s="363">
        <f t="shared" ca="1" si="19"/>
        <v>0</v>
      </c>
      <c r="X53" s="363">
        <f t="shared" ca="1" si="19"/>
        <v>0</v>
      </c>
      <c r="Y53" s="363">
        <f t="shared" ca="1" si="19"/>
        <v>0</v>
      </c>
      <c r="Z53" s="363">
        <f t="shared" ca="1" si="19"/>
        <v>0</v>
      </c>
      <c r="AA53" s="363">
        <f t="shared" ca="1" si="19"/>
        <v>0</v>
      </c>
    </row>
  </sheetData>
  <pageMargins left="0.75" right="0.75" top="0.5" bottom="0.5" header="0.5" footer="0.5"/>
  <pageSetup paperSize="5" fitToHeight="2" orientation="portrait" r:id="rId1"/>
  <headerFooter alignWithMargins="0"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43"/>
  <sheetViews>
    <sheetView showGridLines="0" topLeftCell="C11" workbookViewId="0">
      <selection activeCell="C40" sqref="C40"/>
    </sheetView>
  </sheetViews>
  <sheetFormatPr defaultRowHeight="12.75"/>
  <cols>
    <col min="1" max="1" width="12.7109375" style="294" bestFit="1" customWidth="1"/>
    <col min="2" max="2" width="9.85546875" style="294" bestFit="1" customWidth="1"/>
    <col min="3" max="3" width="10.28515625" style="294" bestFit="1" customWidth="1"/>
    <col min="4" max="8" width="9.85546875" style="294" bestFit="1" customWidth="1"/>
    <col min="9" max="9" width="10.140625" style="294" customWidth="1"/>
    <col min="10" max="18" width="9.85546875" style="294" bestFit="1" customWidth="1"/>
    <col min="19" max="20" width="9.7109375" style="294" bestFit="1" customWidth="1"/>
    <col min="21" max="16384" width="9.140625" style="294"/>
  </cols>
  <sheetData>
    <row r="1" spans="1:4" ht="18.75">
      <c r="A1" s="126" t="str">
        <f>Maint!A2</f>
        <v xml:space="preserve">PROJECT NAME: PLANO </v>
      </c>
    </row>
    <row r="3" spans="1:4" ht="18.75">
      <c r="A3" s="90" t="s">
        <v>1426</v>
      </c>
      <c r="B3" s="608"/>
      <c r="C3" s="608"/>
      <c r="D3" s="90"/>
    </row>
    <row r="16" spans="1:4">
      <c r="A16" s="294" t="s">
        <v>1424</v>
      </c>
      <c r="B16" s="294">
        <f>XNPV(Assum!$B$122,Maint!$D$21:$T$21,IS!$C$8:$S$8)</f>
        <v>7079.7305080594497</v>
      </c>
    </row>
    <row r="17" spans="1:19">
      <c r="A17" s="294" t="s">
        <v>1425</v>
      </c>
      <c r="B17" s="626">
        <v>687.15315725920061</v>
      </c>
    </row>
    <row r="19" spans="1:19" ht="15">
      <c r="B19" s="625">
        <f>IS!C8</f>
        <v>37256</v>
      </c>
      <c r="C19" s="625">
        <f>IS!D8</f>
        <v>37621</v>
      </c>
      <c r="D19" s="625">
        <f>IS!E8</f>
        <v>37986</v>
      </c>
      <c r="E19" s="625">
        <f>IS!F8</f>
        <v>38352</v>
      </c>
      <c r="F19" s="625">
        <f>IS!G8</f>
        <v>38717</v>
      </c>
      <c r="G19" s="625">
        <f>IS!H8</f>
        <v>39082</v>
      </c>
      <c r="H19" s="625">
        <f>IS!I8</f>
        <v>39447</v>
      </c>
      <c r="I19" s="625">
        <f>IS!J8</f>
        <v>39813</v>
      </c>
      <c r="J19" s="625">
        <f>IS!K8</f>
        <v>40178</v>
      </c>
      <c r="K19" s="625">
        <f>IS!L8</f>
        <v>40543</v>
      </c>
      <c r="L19" s="625">
        <f>IS!M8</f>
        <v>40908</v>
      </c>
      <c r="M19" s="625">
        <f>IS!N8</f>
        <v>41274</v>
      </c>
      <c r="N19" s="625">
        <f>IS!O8</f>
        <v>41639</v>
      </c>
      <c r="O19" s="625">
        <f>IS!P8</f>
        <v>42004</v>
      </c>
      <c r="P19" s="625">
        <f>IS!Q8</f>
        <v>42369</v>
      </c>
      <c r="Q19" s="625">
        <f>IS!R8</f>
        <v>42735</v>
      </c>
      <c r="R19" s="625">
        <f>IS!S8</f>
        <v>43100</v>
      </c>
      <c r="S19" s="625"/>
    </row>
    <row r="20" spans="1:19">
      <c r="A20" s="294" t="s">
        <v>1422</v>
      </c>
      <c r="B20" s="626">
        <v>0</v>
      </c>
      <c r="C20" s="626">
        <f>B24</f>
        <v>687.15315725920061</v>
      </c>
      <c r="D20" s="626">
        <f>C24</f>
        <v>1422.4070355265453</v>
      </c>
      <c r="E20" s="626">
        <f t="shared" ref="E20:R20" si="0">D24</f>
        <v>2207.5963337319163</v>
      </c>
      <c r="F20" s="626">
        <f t="shared" si="0"/>
        <v>3044.9495548438549</v>
      </c>
      <c r="G20" s="626">
        <f t="shared" si="0"/>
        <v>3936.7702870976254</v>
      </c>
      <c r="H20" s="626">
        <f t="shared" si="0"/>
        <v>4885.208467443179</v>
      </c>
      <c r="I20" s="626">
        <f t="shared" si="0"/>
        <v>5892.7030037511613</v>
      </c>
      <c r="J20" s="626">
        <f t="shared" si="0"/>
        <v>6961.7739798888515</v>
      </c>
      <c r="K20" s="626">
        <f t="shared" si="0"/>
        <v>8095.1085567565306</v>
      </c>
      <c r="L20" s="626">
        <f t="shared" si="0"/>
        <v>9295.4900525877874</v>
      </c>
      <c r="M20" s="626">
        <f t="shared" si="0"/>
        <v>10565.976552522032</v>
      </c>
      <c r="N20" s="626">
        <f t="shared" si="0"/>
        <v>11909.749184899416</v>
      </c>
      <c r="O20" s="626">
        <f t="shared" si="0"/>
        <v>13330.577401899891</v>
      </c>
      <c r="P20" s="626">
        <f t="shared" si="0"/>
        <v>14832.510810595219</v>
      </c>
      <c r="Q20" s="626">
        <f t="shared" si="0"/>
        <v>4156.0495867492391</v>
      </c>
      <c r="R20" s="626">
        <f t="shared" si="0"/>
        <v>5342.8248525003974</v>
      </c>
    </row>
    <row r="21" spans="1:19">
      <c r="A21" s="294" t="s">
        <v>1419</v>
      </c>
      <c r="B21" s="626">
        <f>Assum!$B$122*B20</f>
        <v>0</v>
      </c>
      <c r="C21" s="626">
        <f>Assum!$B$122*C20</f>
        <v>27.486126290368023</v>
      </c>
      <c r="D21" s="626">
        <f>Assum!$B$122*D20</f>
        <v>56.896281421061815</v>
      </c>
      <c r="E21" s="626">
        <f>Assum!$B$122*E20</f>
        <v>88.30385334927665</v>
      </c>
      <c r="F21" s="626">
        <f>Assum!$B$122*F20</f>
        <v>121.79798219375419</v>
      </c>
      <c r="G21" s="626">
        <f>Assum!$B$122*G20</f>
        <v>157.47081148390501</v>
      </c>
      <c r="H21" s="626">
        <f>Assum!$B$122*H20</f>
        <v>195.40833869772717</v>
      </c>
      <c r="I21" s="626">
        <f>Assum!$B$122*I20</f>
        <v>235.70812015004645</v>
      </c>
      <c r="J21" s="626">
        <f>Assum!$B$122*J20</f>
        <v>278.47095919555409</v>
      </c>
      <c r="K21" s="626">
        <f>Assum!$B$122*K20</f>
        <v>323.8043422702612</v>
      </c>
      <c r="L21" s="626">
        <f>Assum!$B$122*L20</f>
        <v>371.8196021035115</v>
      </c>
      <c r="M21" s="626">
        <f>Assum!$B$122*M20</f>
        <v>422.63906210088129</v>
      </c>
      <c r="N21" s="626">
        <f>Assum!$B$122*N20</f>
        <v>476.38996739597667</v>
      </c>
      <c r="O21" s="626">
        <f>Assum!$B$122*O20</f>
        <v>533.22309607599561</v>
      </c>
      <c r="P21" s="626">
        <f>Assum!$B$122*P20</f>
        <v>593.30043242380873</v>
      </c>
      <c r="Q21" s="626">
        <f>Assum!$B$122*Q20</f>
        <v>166.24198346996957</v>
      </c>
      <c r="R21" s="626">
        <f>Assum!$B$122*R20</f>
        <v>213.71299410001589</v>
      </c>
    </row>
    <row r="22" spans="1:19">
      <c r="A22" s="294" t="s">
        <v>1418</v>
      </c>
      <c r="B22" s="626">
        <f>$B$17</f>
        <v>687.15315725920061</v>
      </c>
      <c r="C22" s="626">
        <f>B22*(1+IS!D93)</f>
        <v>707.76775197697668</v>
      </c>
      <c r="D22" s="626">
        <f>C22*(1+IS!E93)</f>
        <v>728.29301678430897</v>
      </c>
      <c r="E22" s="626">
        <f>D22*(1+IS!F93)</f>
        <v>749.04936776266175</v>
      </c>
      <c r="F22" s="626">
        <f>E22*(1+IS!G93)</f>
        <v>770.02275006001628</v>
      </c>
      <c r="G22" s="626">
        <f>F22*(1+IS!H93)</f>
        <v>790.96736886164865</v>
      </c>
      <c r="H22" s="626">
        <f>G22*(1+IS!I93)</f>
        <v>812.08619761025466</v>
      </c>
      <c r="I22" s="626">
        <f>H22*(1+IS!J93)</f>
        <v>833.36285598764334</v>
      </c>
      <c r="J22" s="626">
        <f>I22*(1+IS!K93)</f>
        <v>854.86361767212463</v>
      </c>
      <c r="K22" s="626">
        <f>J22*(1+IS!L93)</f>
        <v>876.57715356099663</v>
      </c>
      <c r="L22" s="626">
        <f>K22*(1+IS!M93)</f>
        <v>898.66689783073366</v>
      </c>
      <c r="M22" s="626">
        <f>L22*(1+IS!N93)</f>
        <v>921.13357027650193</v>
      </c>
      <c r="N22" s="626">
        <f>M22*(1+IS!O93)</f>
        <v>944.43824960449751</v>
      </c>
      <c r="O22" s="626">
        <f>N22*(1+IS!P93)</f>
        <v>968.71031261933319</v>
      </c>
      <c r="P22" s="626">
        <f>O22*(1+IS!Q93)</f>
        <v>993.99365177869777</v>
      </c>
      <c r="Q22" s="626">
        <f>P22*(1+IS!R93)</f>
        <v>1020.5332822811889</v>
      </c>
      <c r="R22" s="626">
        <f>Q22*(1+IS!S93)</f>
        <v>1048.189734231009</v>
      </c>
    </row>
    <row r="23" spans="1:19">
      <c r="A23" s="294" t="s">
        <v>1420</v>
      </c>
      <c r="B23" s="626">
        <f>Maint!D14</f>
        <v>0</v>
      </c>
      <c r="C23" s="626">
        <f>Maint!E14</f>
        <v>0</v>
      </c>
      <c r="D23" s="626">
        <f>Maint!F14</f>
        <v>0</v>
      </c>
      <c r="E23" s="626">
        <f>Maint!G14</f>
        <v>0</v>
      </c>
      <c r="F23" s="626">
        <f>Maint!H14</f>
        <v>0</v>
      </c>
      <c r="G23" s="626">
        <f>Maint!I14</f>
        <v>0</v>
      </c>
      <c r="H23" s="626">
        <f>Maint!J14</f>
        <v>0</v>
      </c>
      <c r="I23" s="626">
        <f>Maint!K14</f>
        <v>0</v>
      </c>
      <c r="J23" s="626">
        <f>Maint!L14</f>
        <v>0</v>
      </c>
      <c r="K23" s="626">
        <f>Maint!M14</f>
        <v>0</v>
      </c>
      <c r="L23" s="626">
        <f>Maint!N14</f>
        <v>0</v>
      </c>
      <c r="M23" s="626">
        <f>Maint!O14</f>
        <v>0</v>
      </c>
      <c r="N23" s="626">
        <f>Maint!P14</f>
        <v>0</v>
      </c>
      <c r="O23" s="626">
        <f>Maint!Q14</f>
        <v>0</v>
      </c>
      <c r="P23" s="626">
        <f>Maint!R14</f>
        <v>12263.755308048487</v>
      </c>
      <c r="Q23" s="626">
        <f>Maint!S14</f>
        <v>0</v>
      </c>
      <c r="R23" s="626">
        <f>Maint!T14</f>
        <v>0</v>
      </c>
    </row>
    <row r="24" spans="1:19">
      <c r="A24" s="294" t="s">
        <v>1421</v>
      </c>
      <c r="B24" s="626">
        <f t="shared" ref="B24:R24" si="1">B20+B21+B22-B23</f>
        <v>687.15315725920061</v>
      </c>
      <c r="C24" s="626">
        <f t="shared" si="1"/>
        <v>1422.4070355265453</v>
      </c>
      <c r="D24" s="626">
        <f t="shared" si="1"/>
        <v>2207.5963337319163</v>
      </c>
      <c r="E24" s="626">
        <f t="shared" si="1"/>
        <v>3044.9495548438549</v>
      </c>
      <c r="F24" s="626">
        <f t="shared" si="1"/>
        <v>3936.7702870976254</v>
      </c>
      <c r="G24" s="626">
        <f t="shared" si="1"/>
        <v>4885.208467443179</v>
      </c>
      <c r="H24" s="626">
        <f t="shared" si="1"/>
        <v>5892.7030037511613</v>
      </c>
      <c r="I24" s="626">
        <f t="shared" si="1"/>
        <v>6961.7739798888515</v>
      </c>
      <c r="J24" s="626">
        <f t="shared" si="1"/>
        <v>8095.1085567565306</v>
      </c>
      <c r="K24" s="626">
        <f t="shared" si="1"/>
        <v>9295.4900525877874</v>
      </c>
      <c r="L24" s="626">
        <f t="shared" si="1"/>
        <v>10565.976552522032</v>
      </c>
      <c r="M24" s="626">
        <f t="shared" si="1"/>
        <v>11909.749184899416</v>
      </c>
      <c r="N24" s="626">
        <f t="shared" si="1"/>
        <v>13330.577401899891</v>
      </c>
      <c r="O24" s="626">
        <f t="shared" si="1"/>
        <v>14832.510810595219</v>
      </c>
      <c r="P24" s="626">
        <f t="shared" si="1"/>
        <v>4156.0495867492391</v>
      </c>
      <c r="Q24" s="626">
        <f t="shared" si="1"/>
        <v>5342.8248525003974</v>
      </c>
      <c r="R24" s="626">
        <f t="shared" si="1"/>
        <v>6604.7275808314225</v>
      </c>
    </row>
    <row r="26" spans="1:19">
      <c r="A26" s="294" t="s">
        <v>1423</v>
      </c>
      <c r="B26" s="627">
        <f>B22/120</f>
        <v>5.7262763104933381</v>
      </c>
      <c r="C26" s="627">
        <f>C22/120</f>
        <v>5.8980645998081389</v>
      </c>
      <c r="D26" s="627">
        <f>D22/120</f>
        <v>6.0691084732025748</v>
      </c>
      <c r="E26" s="627">
        <f t="shared" ref="E26:R26" si="2">E22/120</f>
        <v>6.2420780646888483</v>
      </c>
      <c r="F26" s="627">
        <f t="shared" si="2"/>
        <v>6.4168562505001354</v>
      </c>
      <c r="G26" s="627">
        <f t="shared" si="2"/>
        <v>6.5913947405137385</v>
      </c>
      <c r="H26" s="627">
        <f t="shared" si="2"/>
        <v>6.7673849800854553</v>
      </c>
      <c r="I26" s="627">
        <f t="shared" si="2"/>
        <v>6.9446904665636948</v>
      </c>
      <c r="J26" s="627">
        <f t="shared" si="2"/>
        <v>7.123863480601039</v>
      </c>
      <c r="K26" s="627">
        <f t="shared" si="2"/>
        <v>7.3048096130083051</v>
      </c>
      <c r="L26" s="627">
        <f t="shared" si="2"/>
        <v>7.4888908152561138</v>
      </c>
      <c r="M26" s="627">
        <f t="shared" si="2"/>
        <v>7.6761130856375157</v>
      </c>
      <c r="N26" s="627">
        <f t="shared" si="2"/>
        <v>7.8703187467041458</v>
      </c>
      <c r="O26" s="627">
        <f t="shared" si="2"/>
        <v>8.0725859384944432</v>
      </c>
      <c r="P26" s="627">
        <f t="shared" si="2"/>
        <v>8.2832804314891479</v>
      </c>
      <c r="Q26" s="627">
        <f t="shared" si="2"/>
        <v>8.5044440190099078</v>
      </c>
      <c r="R26" s="627">
        <f t="shared" si="2"/>
        <v>8.734914451925075</v>
      </c>
      <c r="S26" s="627"/>
    </row>
    <row r="33" spans="1:18">
      <c r="A33" s="294" t="s">
        <v>1424</v>
      </c>
      <c r="B33" s="294">
        <f>XNPV(Assum!$B$122,Maint!$D$21:$S$21,IS!$C$8:$R$8)</f>
        <v>7079.7305080594497</v>
      </c>
    </row>
    <row r="34" spans="1:18">
      <c r="A34" s="294" t="s">
        <v>1425</v>
      </c>
      <c r="B34" s="626">
        <v>543.37515478082992</v>
      </c>
    </row>
    <row r="36" spans="1:18" ht="15">
      <c r="B36" s="625">
        <f>B19</f>
        <v>37256</v>
      </c>
      <c r="C36" s="625">
        <f t="shared" ref="C36:R36" si="3">C19</f>
        <v>37621</v>
      </c>
      <c r="D36" s="625">
        <f t="shared" si="3"/>
        <v>37986</v>
      </c>
      <c r="E36" s="625">
        <f t="shared" si="3"/>
        <v>38352</v>
      </c>
      <c r="F36" s="625">
        <f t="shared" si="3"/>
        <v>38717</v>
      </c>
      <c r="G36" s="625">
        <f t="shared" si="3"/>
        <v>39082</v>
      </c>
      <c r="H36" s="625">
        <f t="shared" si="3"/>
        <v>39447</v>
      </c>
      <c r="I36" s="625">
        <f t="shared" si="3"/>
        <v>39813</v>
      </c>
      <c r="J36" s="625">
        <f t="shared" si="3"/>
        <v>40178</v>
      </c>
      <c r="K36" s="625">
        <f t="shared" si="3"/>
        <v>40543</v>
      </c>
      <c r="L36" s="625">
        <f t="shared" si="3"/>
        <v>40908</v>
      </c>
      <c r="M36" s="625">
        <f t="shared" si="3"/>
        <v>41274</v>
      </c>
      <c r="N36" s="625">
        <f t="shared" si="3"/>
        <v>41639</v>
      </c>
      <c r="O36" s="625">
        <f t="shared" si="3"/>
        <v>42004</v>
      </c>
      <c r="P36" s="625">
        <f t="shared" si="3"/>
        <v>42369</v>
      </c>
      <c r="Q36" s="625">
        <f t="shared" si="3"/>
        <v>42735</v>
      </c>
      <c r="R36" s="625">
        <f t="shared" si="3"/>
        <v>43100</v>
      </c>
    </row>
    <row r="37" spans="1:18">
      <c r="A37" s="294" t="s">
        <v>1422</v>
      </c>
      <c r="B37" s="626">
        <v>0</v>
      </c>
      <c r="C37" s="626">
        <f t="shared" ref="C37:R37" si="4">B41</f>
        <v>543.37515478082992</v>
      </c>
      <c r="D37" s="626">
        <f t="shared" si="4"/>
        <v>1124.786570396318</v>
      </c>
      <c r="E37" s="626">
        <f t="shared" si="4"/>
        <v>1745.6850585097288</v>
      </c>
      <c r="F37" s="626">
        <f t="shared" si="4"/>
        <v>2407.8328363686569</v>
      </c>
      <c r="G37" s="626">
        <f t="shared" si="4"/>
        <v>3113.0514958564609</v>
      </c>
      <c r="H37" s="626">
        <f t="shared" si="4"/>
        <v>3863.0411271358762</v>
      </c>
      <c r="I37" s="626">
        <f t="shared" si="4"/>
        <v>4659.7303278240533</v>
      </c>
      <c r="J37" s="626">
        <f t="shared" si="4"/>
        <v>5505.1118864965501</v>
      </c>
      <c r="K37" s="626">
        <f t="shared" si="4"/>
        <v>6401.3107100313828</v>
      </c>
      <c r="L37" s="626">
        <f t="shared" si="4"/>
        <v>7350.5277429487132</v>
      </c>
      <c r="M37" s="626">
        <f t="shared" si="4"/>
        <v>8355.1812052165405</v>
      </c>
      <c r="N37" s="626">
        <f t="shared" si="4"/>
        <v>9417.786614788829</v>
      </c>
      <c r="O37" s="626">
        <f t="shared" si="4"/>
        <v>10541.32471422651</v>
      </c>
      <c r="P37" s="626">
        <f t="shared" si="4"/>
        <v>11728.997782157241</v>
      </c>
      <c r="Q37" s="626">
        <f t="shared" si="4"/>
        <v>12984.170896876542</v>
      </c>
      <c r="R37" s="626">
        <f t="shared" si="4"/>
        <v>14310.537488716276</v>
      </c>
    </row>
    <row r="38" spans="1:18">
      <c r="A38" s="294" t="s">
        <v>1419</v>
      </c>
      <c r="B38" s="626">
        <f>Assum!$B$122*B37</f>
        <v>0</v>
      </c>
      <c r="C38" s="626">
        <f>Assum!$B$122*C37</f>
        <v>21.735006191233197</v>
      </c>
      <c r="D38" s="626">
        <f>Assum!$B$122*D37</f>
        <v>44.991462815852721</v>
      </c>
      <c r="E38" s="626">
        <f>Assum!$B$122*E37</f>
        <v>69.827402340389156</v>
      </c>
      <c r="F38" s="626">
        <f>Assum!$B$122*F37</f>
        <v>96.313313454746279</v>
      </c>
      <c r="G38" s="626">
        <f>Assum!$B$122*G37</f>
        <v>124.52205983425844</v>
      </c>
      <c r="H38" s="626">
        <f>Assum!$B$122*H37</f>
        <v>154.52164508543504</v>
      </c>
      <c r="I38" s="626">
        <f>Assum!$B$122*I37</f>
        <v>186.38921311296212</v>
      </c>
      <c r="J38" s="626">
        <f>Assum!$B$122*J37</f>
        <v>220.20447545986201</v>
      </c>
      <c r="K38" s="626">
        <f>Assum!$B$122*K37</f>
        <v>256.05242840125533</v>
      </c>
      <c r="L38" s="626">
        <f>Assum!$B$122*L37</f>
        <v>294.02110971794855</v>
      </c>
      <c r="M38" s="626">
        <f>Assum!$B$122*M37</f>
        <v>334.20724820866161</v>
      </c>
      <c r="N38" s="626">
        <f>Assum!$B$122*N37</f>
        <v>376.71146459155318</v>
      </c>
      <c r="O38" s="626">
        <f>Assum!$B$122*O37</f>
        <v>421.65298856906043</v>
      </c>
      <c r="P38" s="626">
        <f>Assum!$B$122*P37</f>
        <v>469.15991128628963</v>
      </c>
      <c r="Q38" s="626">
        <f>Assum!$B$122*Q37</f>
        <v>519.36683587506172</v>
      </c>
      <c r="R38" s="626">
        <f>Assum!$B$122*R37</f>
        <v>572.42149954865101</v>
      </c>
    </row>
    <row r="39" spans="1:18">
      <c r="A39" s="294" t="s">
        <v>1418</v>
      </c>
      <c r="B39" s="626">
        <f>B34</f>
        <v>543.37515478082992</v>
      </c>
      <c r="C39" s="626">
        <f>B39*(1+IS!D93)</f>
        <v>559.67640942425487</v>
      </c>
      <c r="D39" s="626">
        <f>C39*(1+IS!E93)</f>
        <v>575.90702529755822</v>
      </c>
      <c r="E39" s="626">
        <f>D39*(1+IS!F93)</f>
        <v>592.32037551853864</v>
      </c>
      <c r="F39" s="626">
        <f>E39*(1+IS!G93)</f>
        <v>608.90534603305775</v>
      </c>
      <c r="G39" s="626">
        <f>F39*(1+IS!H93)</f>
        <v>625.46757144515686</v>
      </c>
      <c r="H39" s="626">
        <f>G39*(1+IS!I93)</f>
        <v>642.16755560274248</v>
      </c>
      <c r="I39" s="626">
        <f>H39*(1+IS!J93)</f>
        <v>658.99234555953433</v>
      </c>
      <c r="J39" s="626">
        <f>I39*(1+IS!K93)</f>
        <v>675.99434807497039</v>
      </c>
      <c r="K39" s="626">
        <f>J39*(1+IS!L93)</f>
        <v>693.16460451607475</v>
      </c>
      <c r="L39" s="626">
        <f>K39*(1+IS!M93)</f>
        <v>710.63235254987978</v>
      </c>
      <c r="M39" s="626">
        <f>L39*(1+IS!N93)</f>
        <v>728.39816136362674</v>
      </c>
      <c r="N39" s="626">
        <f>M39*(1+IS!O93)</f>
        <v>746.82663484612658</v>
      </c>
      <c r="O39" s="626">
        <f>N39*(1+IS!P93)</f>
        <v>766.02007936167206</v>
      </c>
      <c r="P39" s="626">
        <f>O39*(1+IS!Q93)</f>
        <v>786.01320343301165</v>
      </c>
      <c r="Q39" s="626">
        <f>P39*(1+IS!R93)</f>
        <v>806.999755964673</v>
      </c>
      <c r="R39" s="626">
        <f>Q39*(1+IS!S93)</f>
        <v>828.86944935131555</v>
      </c>
    </row>
    <row r="40" spans="1:18">
      <c r="A40" s="294" t="s">
        <v>1420</v>
      </c>
      <c r="B40" s="626">
        <f>B23</f>
        <v>0</v>
      </c>
      <c r="C40" s="626">
        <f>C23</f>
        <v>0</v>
      </c>
      <c r="D40" s="626">
        <f t="shared" ref="D40:O40" si="5">D23</f>
        <v>0</v>
      </c>
      <c r="E40" s="626">
        <f t="shared" si="5"/>
        <v>0</v>
      </c>
      <c r="F40" s="626">
        <f t="shared" si="5"/>
        <v>0</v>
      </c>
      <c r="G40" s="626">
        <f t="shared" si="5"/>
        <v>0</v>
      </c>
      <c r="H40" s="626">
        <f t="shared" si="5"/>
        <v>0</v>
      </c>
      <c r="I40" s="626">
        <f t="shared" si="5"/>
        <v>0</v>
      </c>
      <c r="J40" s="626">
        <f t="shared" si="5"/>
        <v>0</v>
      </c>
      <c r="K40" s="626">
        <f t="shared" si="5"/>
        <v>0</v>
      </c>
      <c r="L40" s="626">
        <f t="shared" si="5"/>
        <v>0</v>
      </c>
      <c r="M40" s="626">
        <f t="shared" si="5"/>
        <v>0</v>
      </c>
      <c r="N40" s="626">
        <f t="shared" si="5"/>
        <v>0</v>
      </c>
      <c r="O40" s="626">
        <f t="shared" si="5"/>
        <v>0</v>
      </c>
      <c r="P40" s="626"/>
      <c r="Q40" s="626"/>
      <c r="R40" s="626"/>
    </row>
    <row r="41" spans="1:18">
      <c r="A41" s="294" t="s">
        <v>1421</v>
      </c>
      <c r="B41" s="626">
        <f t="shared" ref="B41:R41" si="6">B37+B38+B39-B40</f>
        <v>543.37515478082992</v>
      </c>
      <c r="C41" s="626">
        <f t="shared" si="6"/>
        <v>1124.786570396318</v>
      </c>
      <c r="D41" s="626">
        <f t="shared" si="6"/>
        <v>1745.6850585097288</v>
      </c>
      <c r="E41" s="626">
        <f t="shared" si="6"/>
        <v>2407.8328363686569</v>
      </c>
      <c r="F41" s="626">
        <f t="shared" si="6"/>
        <v>3113.0514958564609</v>
      </c>
      <c r="G41" s="626">
        <f t="shared" si="6"/>
        <v>3863.0411271358762</v>
      </c>
      <c r="H41" s="626">
        <f t="shared" si="6"/>
        <v>4659.7303278240533</v>
      </c>
      <c r="I41" s="626">
        <f t="shared" si="6"/>
        <v>5505.1118864965501</v>
      </c>
      <c r="J41" s="626">
        <f t="shared" si="6"/>
        <v>6401.3107100313828</v>
      </c>
      <c r="K41" s="626">
        <f t="shared" si="6"/>
        <v>7350.5277429487132</v>
      </c>
      <c r="L41" s="626">
        <f t="shared" si="6"/>
        <v>8355.1812052165405</v>
      </c>
      <c r="M41" s="626">
        <f t="shared" si="6"/>
        <v>9417.786614788829</v>
      </c>
      <c r="N41" s="626">
        <f t="shared" si="6"/>
        <v>10541.32471422651</v>
      </c>
      <c r="O41" s="626">
        <f t="shared" si="6"/>
        <v>11728.997782157241</v>
      </c>
      <c r="P41" s="626">
        <f t="shared" si="6"/>
        <v>12984.170896876542</v>
      </c>
      <c r="Q41" s="626">
        <f t="shared" si="6"/>
        <v>14310.537488716276</v>
      </c>
      <c r="R41" s="626">
        <f t="shared" si="6"/>
        <v>15711.828437616243</v>
      </c>
    </row>
    <row r="43" spans="1:18">
      <c r="A43" s="294" t="s">
        <v>1423</v>
      </c>
      <c r="B43" s="627">
        <f>B39/120</f>
        <v>4.528126289840249</v>
      </c>
      <c r="C43" s="627">
        <f>C39/120</f>
        <v>4.6639700785354572</v>
      </c>
      <c r="D43" s="627">
        <f>D39/120</f>
        <v>4.7992252108129856</v>
      </c>
      <c r="E43" s="627">
        <f t="shared" ref="E43:R43" si="7">E39/120</f>
        <v>4.936003129321155</v>
      </c>
      <c r="F43" s="627">
        <f t="shared" si="7"/>
        <v>5.0742112169421478</v>
      </c>
      <c r="G43" s="627">
        <f t="shared" si="7"/>
        <v>5.2122297620429743</v>
      </c>
      <c r="H43" s="627">
        <f t="shared" si="7"/>
        <v>5.3513962966895203</v>
      </c>
      <c r="I43" s="627">
        <f t="shared" si="7"/>
        <v>5.4916028796627865</v>
      </c>
      <c r="J43" s="627">
        <f t="shared" si="7"/>
        <v>5.6332862339580867</v>
      </c>
      <c r="K43" s="627">
        <f t="shared" si="7"/>
        <v>5.7763717043006233</v>
      </c>
      <c r="L43" s="627">
        <f t="shared" si="7"/>
        <v>5.921936271248998</v>
      </c>
      <c r="M43" s="627">
        <f t="shared" si="7"/>
        <v>6.0699846780302229</v>
      </c>
      <c r="N43" s="627">
        <f t="shared" si="7"/>
        <v>6.2235552903843878</v>
      </c>
      <c r="O43" s="627">
        <f t="shared" si="7"/>
        <v>6.3835006613472673</v>
      </c>
      <c r="P43" s="627">
        <f t="shared" si="7"/>
        <v>6.5501100286084304</v>
      </c>
      <c r="Q43" s="627">
        <f t="shared" si="7"/>
        <v>6.7249979663722748</v>
      </c>
      <c r="R43" s="627">
        <f t="shared" si="7"/>
        <v>6.9072454112609627</v>
      </c>
    </row>
  </sheetData>
  <pageMargins left="0.75" right="0.75" top="1" bottom="1" header="0.5" footer="0.5"/>
  <pageSetup orientation="portrait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AC64"/>
  <sheetViews>
    <sheetView showGridLines="0" topLeftCell="P1" zoomScaleNormal="100" workbookViewId="0">
      <selection activeCell="T27" sqref="T27"/>
    </sheetView>
  </sheetViews>
  <sheetFormatPr defaultRowHeight="12.75"/>
  <cols>
    <col min="1" max="1" width="17.7109375" customWidth="1"/>
    <col min="3" max="3" width="10.85546875" customWidth="1"/>
    <col min="4" max="4" width="9.7109375" bestFit="1" customWidth="1"/>
    <col min="5" max="20" width="9.28515625" bestFit="1" customWidth="1"/>
  </cols>
  <sheetData>
    <row r="2" spans="1:29" ht="18.75">
      <c r="A2" s="126" t="str">
        <f>Assum!A2</f>
        <v xml:space="preserve">PROJECT NAME: PLANO </v>
      </c>
    </row>
    <row r="3" spans="1:29" ht="10.5" customHeight="1">
      <c r="A3" s="126"/>
    </row>
    <row r="4" spans="1:29" ht="18.75">
      <c r="A4" s="90" t="s">
        <v>1386</v>
      </c>
      <c r="B4" s="608"/>
      <c r="C4" s="608"/>
    </row>
    <row r="6" spans="1:29" s="575" customFormat="1" ht="11.25" customHeight="1">
      <c r="A6" s="12"/>
      <c r="B6" s="12"/>
      <c r="C6" s="16">
        <v>0</v>
      </c>
      <c r="D6" s="16">
        <v>1</v>
      </c>
      <c r="E6" s="16">
        <v>2</v>
      </c>
      <c r="F6" s="16">
        <v>3</v>
      </c>
      <c r="G6" s="16">
        <v>4</v>
      </c>
      <c r="H6" s="16">
        <v>5</v>
      </c>
      <c r="I6" s="16">
        <v>6</v>
      </c>
      <c r="J6" s="116">
        <v>7</v>
      </c>
      <c r="K6" s="16">
        <v>8</v>
      </c>
      <c r="L6" s="16">
        <v>9</v>
      </c>
      <c r="M6" s="16">
        <v>10</v>
      </c>
      <c r="N6" s="16">
        <v>11</v>
      </c>
      <c r="O6" s="16">
        <v>12</v>
      </c>
      <c r="P6" s="116">
        <v>13</v>
      </c>
      <c r="Q6" s="16">
        <v>14</v>
      </c>
      <c r="R6" s="16">
        <v>15</v>
      </c>
      <c r="S6" s="16">
        <v>16</v>
      </c>
      <c r="T6" s="16">
        <v>17</v>
      </c>
      <c r="U6" s="16">
        <v>17</v>
      </c>
      <c r="V6" s="16">
        <v>17</v>
      </c>
      <c r="W6" s="16">
        <v>17</v>
      </c>
      <c r="X6" s="16">
        <v>17</v>
      </c>
      <c r="Y6" s="16">
        <v>17</v>
      </c>
      <c r="Z6" s="16">
        <v>17</v>
      </c>
      <c r="AA6" s="16">
        <v>17</v>
      </c>
      <c r="AB6" s="16">
        <v>17</v>
      </c>
      <c r="AC6" s="16">
        <v>17</v>
      </c>
    </row>
    <row r="7" spans="1:29" s="575" customFormat="1" ht="11.25" customHeight="1">
      <c r="A7" s="443"/>
      <c r="B7" s="474"/>
      <c r="C7" s="576"/>
      <c r="D7" s="576">
        <f>IS!C7</f>
        <v>2001</v>
      </c>
      <c r="E7" s="576">
        <f>IS!D7</f>
        <v>2002</v>
      </c>
      <c r="F7" s="576">
        <f>IS!E7</f>
        <v>2003</v>
      </c>
      <c r="G7" s="576">
        <f>IS!F7</f>
        <v>2004</v>
      </c>
      <c r="H7" s="576">
        <f>IS!G7</f>
        <v>2005</v>
      </c>
      <c r="I7" s="576">
        <f>IS!H7</f>
        <v>2006</v>
      </c>
      <c r="J7" s="576">
        <f>IS!I7</f>
        <v>2007</v>
      </c>
      <c r="K7" s="576">
        <f>IS!J7</f>
        <v>2008</v>
      </c>
      <c r="L7" s="576">
        <f>IS!K7</f>
        <v>2009</v>
      </c>
      <c r="M7" s="576">
        <f>IS!L7</f>
        <v>2010</v>
      </c>
      <c r="N7" s="576">
        <f>IS!M7</f>
        <v>2011</v>
      </c>
      <c r="O7" s="576">
        <f>IS!N7</f>
        <v>2012</v>
      </c>
      <c r="P7" s="576">
        <f>IS!O7</f>
        <v>2013</v>
      </c>
      <c r="Q7" s="576">
        <f>IS!P7</f>
        <v>2014</v>
      </c>
      <c r="R7" s="576">
        <f>IS!Q7</f>
        <v>2015</v>
      </c>
      <c r="S7" s="576">
        <f>IS!R7</f>
        <v>2016</v>
      </c>
      <c r="T7" s="576">
        <f>IS!S7</f>
        <v>2017</v>
      </c>
      <c r="U7" s="576">
        <f>IS!T7</f>
        <v>2018</v>
      </c>
      <c r="V7" s="576">
        <f>IS!U7</f>
        <v>2019</v>
      </c>
      <c r="W7" s="576">
        <f>IS!V7</f>
        <v>2020</v>
      </c>
      <c r="X7" s="576">
        <f>IS!W7</f>
        <v>2021</v>
      </c>
      <c r="Y7" s="576">
        <f>IS!X7</f>
        <v>2022</v>
      </c>
      <c r="Z7" s="576">
        <f>IS!Y7</f>
        <v>2023</v>
      </c>
      <c r="AA7" s="576">
        <f>IS!Z7</f>
        <v>2024</v>
      </c>
      <c r="AB7" s="576">
        <f>IS!AA7</f>
        <v>2025</v>
      </c>
      <c r="AC7" s="576">
        <f>IS!AB7</f>
        <v>2026</v>
      </c>
    </row>
    <row r="8" spans="1:29" s="575" customFormat="1" ht="11.25" customHeight="1">
      <c r="A8" s="449" t="s">
        <v>1355</v>
      </c>
      <c r="B8" s="577"/>
      <c r="C8" s="57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</row>
    <row r="9" spans="1:29" s="575" customFormat="1" ht="11.25" customHeight="1">
      <c r="A9" s="449" t="s">
        <v>1356</v>
      </c>
      <c r="B9" s="377"/>
      <c r="C9" s="450"/>
      <c r="D9" s="579">
        <f>IS!C91</f>
        <v>180</v>
      </c>
      <c r="E9" s="579">
        <f>IS!D91</f>
        <v>180</v>
      </c>
      <c r="F9" s="579">
        <f>IS!E91</f>
        <v>180</v>
      </c>
      <c r="G9" s="579">
        <f>IS!F91</f>
        <v>180</v>
      </c>
      <c r="H9" s="579">
        <f>IS!G91</f>
        <v>180</v>
      </c>
      <c r="I9" s="579">
        <f>IS!H91</f>
        <v>180</v>
      </c>
      <c r="J9" s="579">
        <f>IS!I91</f>
        <v>180</v>
      </c>
      <c r="K9" s="579">
        <f>IS!J91</f>
        <v>180</v>
      </c>
      <c r="L9" s="579">
        <f>IS!K91</f>
        <v>180</v>
      </c>
      <c r="M9" s="579">
        <f>IS!L91</f>
        <v>180</v>
      </c>
      <c r="N9" s="579">
        <f>IS!M91</f>
        <v>180</v>
      </c>
      <c r="O9" s="579">
        <f>IS!N91</f>
        <v>180</v>
      </c>
      <c r="P9" s="579">
        <f>IS!O91</f>
        <v>180</v>
      </c>
      <c r="Q9" s="579">
        <f>IS!P91</f>
        <v>180</v>
      </c>
      <c r="R9" s="579">
        <f>IS!Q91</f>
        <v>180</v>
      </c>
      <c r="S9" s="579">
        <f>IS!R91</f>
        <v>180</v>
      </c>
      <c r="T9" s="579">
        <f>IS!S91</f>
        <v>180</v>
      </c>
      <c r="U9" s="579">
        <f>IS!T91</f>
        <v>180</v>
      </c>
      <c r="V9" s="579">
        <f>IS!U91</f>
        <v>180</v>
      </c>
      <c r="W9" s="579">
        <f>IS!V91</f>
        <v>180</v>
      </c>
      <c r="X9" s="579">
        <f>IS!W91</f>
        <v>180</v>
      </c>
      <c r="Y9" s="579">
        <f>IS!X91</f>
        <v>180</v>
      </c>
      <c r="Z9" s="579">
        <f>IS!Y91</f>
        <v>180</v>
      </c>
      <c r="AA9" s="579">
        <f>IS!Z91</f>
        <v>180</v>
      </c>
      <c r="AB9" s="579">
        <f>IS!AA91</f>
        <v>180</v>
      </c>
      <c r="AC9" s="579">
        <f>IS!AB91</f>
        <v>180</v>
      </c>
    </row>
    <row r="10" spans="1:29" s="575" customFormat="1" ht="11.25" customHeight="1">
      <c r="A10" s="449" t="s">
        <v>1357</v>
      </c>
      <c r="B10" s="580"/>
      <c r="C10" s="450"/>
      <c r="D10" s="579">
        <f>IS!C90</f>
        <v>180</v>
      </c>
      <c r="E10" s="579">
        <f>IS!D90</f>
        <v>360</v>
      </c>
      <c r="F10" s="579">
        <f>IS!E90</f>
        <v>540</v>
      </c>
      <c r="G10" s="579">
        <f>IS!F90</f>
        <v>720</v>
      </c>
      <c r="H10" s="579">
        <f>IS!G90</f>
        <v>900</v>
      </c>
      <c r="I10" s="579">
        <f>IS!H90</f>
        <v>1080</v>
      </c>
      <c r="J10" s="579">
        <f>IS!I90</f>
        <v>1260</v>
      </c>
      <c r="K10" s="579">
        <f>IS!J90</f>
        <v>1440</v>
      </c>
      <c r="L10" s="579">
        <f>IS!K90</f>
        <v>1620</v>
      </c>
      <c r="M10" s="579">
        <f>IS!L90</f>
        <v>1800</v>
      </c>
      <c r="N10" s="579">
        <f>IS!M90</f>
        <v>1980</v>
      </c>
      <c r="O10" s="579">
        <f>IS!N90</f>
        <v>2160</v>
      </c>
      <c r="P10" s="579">
        <f>IS!O90</f>
        <v>2340</v>
      </c>
      <c r="Q10" s="579">
        <f>IS!P90</f>
        <v>2520</v>
      </c>
      <c r="R10" s="579">
        <f>IS!Q90</f>
        <v>2700</v>
      </c>
      <c r="S10" s="579">
        <f>IS!R90</f>
        <v>2880</v>
      </c>
      <c r="T10" s="579">
        <f>IS!S90</f>
        <v>3060</v>
      </c>
      <c r="U10" s="579">
        <f>IS!T90</f>
        <v>3240</v>
      </c>
      <c r="V10" s="579">
        <f>IS!U90</f>
        <v>3420</v>
      </c>
      <c r="W10" s="579">
        <f>IS!V90</f>
        <v>3600</v>
      </c>
      <c r="X10" s="579">
        <f>IS!W90</f>
        <v>3780</v>
      </c>
      <c r="Y10" s="579">
        <f>IS!X90</f>
        <v>3960</v>
      </c>
      <c r="Z10" s="579">
        <f>IS!Y90</f>
        <v>4140</v>
      </c>
      <c r="AA10" s="579">
        <f>IS!Z90</f>
        <v>4320</v>
      </c>
      <c r="AB10" s="579">
        <f>IS!AA90</f>
        <v>4500</v>
      </c>
      <c r="AC10" s="579">
        <f>IS!AB90</f>
        <v>4680</v>
      </c>
    </row>
    <row r="11" spans="1:29" s="575" customFormat="1" ht="11.25" customHeight="1">
      <c r="A11" s="449"/>
      <c r="B11" s="580"/>
      <c r="C11" s="450"/>
      <c r="D11" s="579"/>
      <c r="E11" s="579"/>
      <c r="F11" s="579"/>
      <c r="G11" s="579"/>
      <c r="H11" s="579"/>
      <c r="I11" s="579"/>
      <c r="J11" s="579"/>
      <c r="K11" s="579"/>
      <c r="L11" s="579"/>
      <c r="M11" s="579"/>
      <c r="N11" s="579"/>
      <c r="O11" s="579"/>
      <c r="P11" s="579"/>
      <c r="Q11" s="579"/>
      <c r="R11" s="579"/>
      <c r="S11" s="579"/>
      <c r="T11" s="579"/>
    </row>
    <row r="12" spans="1:29" s="575" customFormat="1" ht="11.25" customHeight="1">
      <c r="A12" s="605" t="s">
        <v>1389</v>
      </c>
      <c r="B12" s="377"/>
      <c r="C12" s="377"/>
      <c r="D12" s="377"/>
      <c r="E12" s="377"/>
      <c r="F12" s="377"/>
      <c r="G12" s="377"/>
      <c r="H12" s="377"/>
      <c r="I12" s="377"/>
      <c r="J12" s="377"/>
      <c r="K12" s="377"/>
      <c r="L12" s="377"/>
      <c r="M12" s="377"/>
      <c r="N12" s="377"/>
      <c r="O12" s="377"/>
      <c r="P12" s="377"/>
      <c r="Q12" s="377"/>
      <c r="R12" s="377"/>
      <c r="S12" s="377"/>
      <c r="T12" s="377"/>
    </row>
    <row r="13" spans="1:29" s="575" customFormat="1" ht="11.25" customHeight="1">
      <c r="A13" s="449" t="s">
        <v>1358</v>
      </c>
      <c r="B13" s="377"/>
      <c r="C13" s="578"/>
      <c r="D13" s="579">
        <f>IS!C38</f>
        <v>498.70588235294122</v>
      </c>
      <c r="E13" s="579">
        <f>IS!D38</f>
        <v>513.66705882352949</v>
      </c>
      <c r="F13" s="579">
        <f>IS!E38</f>
        <v>528.56340352941174</v>
      </c>
      <c r="G13" s="579">
        <f>IS!F38</f>
        <v>543.62746053000001</v>
      </c>
      <c r="H13" s="579">
        <f>IS!G38</f>
        <v>558.84902942484007</v>
      </c>
      <c r="I13" s="579">
        <f>IS!H38</f>
        <v>574.0497230251957</v>
      </c>
      <c r="J13" s="579">
        <f>IS!I38</f>
        <v>589.37685062996832</v>
      </c>
      <c r="K13" s="579">
        <f>IS!J38</f>
        <v>604.81852411647344</v>
      </c>
      <c r="L13" s="579">
        <f>IS!K38</f>
        <v>620.4228420386786</v>
      </c>
      <c r="M13" s="579">
        <f>IS!L38</f>
        <v>636.18158222646105</v>
      </c>
      <c r="N13" s="579">
        <f>IS!M38</f>
        <v>652.21335809856782</v>
      </c>
      <c r="O13" s="579">
        <f>IS!N38</f>
        <v>668.51869205103185</v>
      </c>
      <c r="P13" s="579">
        <f>IS!O38</f>
        <v>685.43221495992304</v>
      </c>
      <c r="Q13" s="579">
        <f>IS!P38</f>
        <v>703.0478228843931</v>
      </c>
      <c r="R13" s="579">
        <f>IS!Q38</f>
        <v>721.3973710616757</v>
      </c>
      <c r="S13" s="579">
        <f>IS!R38</f>
        <v>740.65868086902253</v>
      </c>
      <c r="T13" s="579">
        <f>IS!S38</f>
        <v>760.730531120573</v>
      </c>
      <c r="U13" s="579">
        <f>IS!T38</f>
        <v>781.34632851394031</v>
      </c>
      <c r="V13" s="579">
        <f>IS!U38</f>
        <v>802.52081401666806</v>
      </c>
      <c r="W13" s="579">
        <f>IS!V38</f>
        <v>824.26912807651979</v>
      </c>
      <c r="X13" s="579">
        <f>IS!W38</f>
        <v>846.60682144739349</v>
      </c>
      <c r="Y13" s="579">
        <f>IS!X38</f>
        <v>869.54986630861777</v>
      </c>
      <c r="Z13" s="579">
        <f>IS!Y38</f>
        <v>893.11466768558125</v>
      </c>
      <c r="AA13" s="579">
        <f>IS!Z38</f>
        <v>917.31807517986033</v>
      </c>
      <c r="AB13" s="579">
        <f>IS!AA38</f>
        <v>942.1773950172344</v>
      </c>
      <c r="AC13" s="579">
        <f>IS!AB38</f>
        <v>967.71040242220147</v>
      </c>
    </row>
    <row r="14" spans="1:29" s="575" customFormat="1" ht="11.25" customHeight="1">
      <c r="A14" s="449" t="s">
        <v>1415</v>
      </c>
      <c r="B14" s="377"/>
      <c r="C14" s="578"/>
      <c r="D14" s="579">
        <f>D28*IS!C94</f>
        <v>0</v>
      </c>
      <c r="E14" s="579">
        <f>E28*IS!D94</f>
        <v>0</v>
      </c>
      <c r="F14" s="579">
        <f>F28*IS!E94</f>
        <v>0</v>
      </c>
      <c r="G14" s="579">
        <f>G28*IS!F94</f>
        <v>0</v>
      </c>
      <c r="H14" s="579">
        <f>H28*IS!G94</f>
        <v>0</v>
      </c>
      <c r="I14" s="579">
        <f>I28*IS!H94</f>
        <v>0</v>
      </c>
      <c r="J14" s="579">
        <f>J28*IS!I94</f>
        <v>0</v>
      </c>
      <c r="K14" s="579">
        <f>K28*IS!J94</f>
        <v>0</v>
      </c>
      <c r="L14" s="579">
        <f>L28*IS!K94</f>
        <v>0</v>
      </c>
      <c r="M14" s="579">
        <f>M28*IS!L94</f>
        <v>0</v>
      </c>
      <c r="N14" s="579">
        <f>N28*IS!M94</f>
        <v>0</v>
      </c>
      <c r="O14" s="579">
        <f>O28*IS!N94</f>
        <v>0</v>
      </c>
      <c r="P14" s="579">
        <f>P28*IS!O94</f>
        <v>0</v>
      </c>
      <c r="Q14" s="579">
        <f>Q28*IS!P94</f>
        <v>0</v>
      </c>
      <c r="R14" s="579">
        <f>R28*IS!Q94</f>
        <v>12263.755308048487</v>
      </c>
      <c r="S14" s="579">
        <f>S28*IS!R94</f>
        <v>0</v>
      </c>
      <c r="T14" s="579">
        <f>T28*IS!S94</f>
        <v>0</v>
      </c>
      <c r="U14" s="579">
        <f>U28*IS!T94</f>
        <v>0</v>
      </c>
      <c r="V14" s="579">
        <f>V28*IS!U94</f>
        <v>0</v>
      </c>
      <c r="W14" s="579">
        <f>W28*IS!V94</f>
        <v>0</v>
      </c>
      <c r="X14" s="579">
        <f>X28*IS!W94</f>
        <v>0</v>
      </c>
      <c r="Y14" s="579">
        <f>Y28*IS!X94</f>
        <v>0</v>
      </c>
      <c r="Z14" s="579">
        <f>Z28*IS!Y94</f>
        <v>0</v>
      </c>
      <c r="AA14" s="579">
        <f>AA28*IS!Z94</f>
        <v>0</v>
      </c>
      <c r="AB14" s="579">
        <f>AB28*IS!AA94</f>
        <v>0</v>
      </c>
      <c r="AC14" s="579">
        <f>AC28*IS!AB94</f>
        <v>0</v>
      </c>
    </row>
    <row r="15" spans="1:29" s="575" customFormat="1" ht="11.25" customHeight="1">
      <c r="A15" s="449" t="s">
        <v>1390</v>
      </c>
      <c r="B15" s="377"/>
      <c r="C15" s="578"/>
      <c r="D15" s="579">
        <f xml:space="preserve"> D13</f>
        <v>498.70588235294122</v>
      </c>
      <c r="E15" s="579">
        <f>E13+D15-E14</f>
        <v>1012.3729411764707</v>
      </c>
      <c r="F15" s="579">
        <f t="shared" ref="F15:T15" si="0">F13+E15-F14</f>
        <v>1540.9363447058824</v>
      </c>
      <c r="G15" s="579">
        <f t="shared" si="0"/>
        <v>2084.5638052358827</v>
      </c>
      <c r="H15" s="579">
        <f t="shared" si="0"/>
        <v>2643.4128346607226</v>
      </c>
      <c r="I15" s="579">
        <f t="shared" si="0"/>
        <v>3217.4625576859185</v>
      </c>
      <c r="J15" s="579">
        <f t="shared" si="0"/>
        <v>3806.8394083158869</v>
      </c>
      <c r="K15" s="579">
        <f t="shared" si="0"/>
        <v>4411.6579324323602</v>
      </c>
      <c r="L15" s="579">
        <f t="shared" si="0"/>
        <v>5032.0807744710391</v>
      </c>
      <c r="M15" s="579">
        <f t="shared" si="0"/>
        <v>5668.2623566974999</v>
      </c>
      <c r="N15" s="579">
        <f t="shared" si="0"/>
        <v>6320.4757147960681</v>
      </c>
      <c r="O15" s="579">
        <f t="shared" si="0"/>
        <v>6988.9944068470995</v>
      </c>
      <c r="P15" s="579">
        <f t="shared" si="0"/>
        <v>7674.4266218070225</v>
      </c>
      <c r="Q15" s="579">
        <f t="shared" si="0"/>
        <v>8377.4744446914156</v>
      </c>
      <c r="R15" s="579">
        <f t="shared" si="0"/>
        <v>-3164.8834922953956</v>
      </c>
      <c r="S15" s="579">
        <f t="shared" si="0"/>
        <v>-2424.224811426373</v>
      </c>
      <c r="T15" s="579">
        <f t="shared" si="0"/>
        <v>-1663.4942803058</v>
      </c>
      <c r="U15" s="579">
        <f t="shared" ref="U15:AC15" si="1">U13+T15-U14</f>
        <v>-882.14795179185967</v>
      </c>
      <c r="V15" s="579">
        <f t="shared" si="1"/>
        <v>-79.627137775191613</v>
      </c>
      <c r="W15" s="579">
        <f t="shared" si="1"/>
        <v>744.64199030132818</v>
      </c>
      <c r="X15" s="579">
        <f t="shared" si="1"/>
        <v>1591.2488117487217</v>
      </c>
      <c r="Y15" s="579">
        <f t="shared" si="1"/>
        <v>2460.7986780573392</v>
      </c>
      <c r="Z15" s="579">
        <f t="shared" si="1"/>
        <v>3353.9133457429207</v>
      </c>
      <c r="AA15" s="579">
        <f t="shared" si="1"/>
        <v>4271.2314209227807</v>
      </c>
      <c r="AB15" s="579">
        <f t="shared" si="1"/>
        <v>5213.4088159400153</v>
      </c>
      <c r="AC15" s="579">
        <f t="shared" si="1"/>
        <v>6181.119218362217</v>
      </c>
    </row>
    <row r="19" spans="1:29" s="575" customFormat="1" ht="11.25" customHeight="1">
      <c r="A19" s="605" t="s">
        <v>1381</v>
      </c>
      <c r="B19" s="377"/>
      <c r="C19" s="377"/>
      <c r="D19" s="377"/>
      <c r="E19" s="377"/>
      <c r="F19" s="377"/>
      <c r="G19" s="377"/>
      <c r="H19" s="377"/>
      <c r="I19" s="377"/>
      <c r="J19" s="377"/>
      <c r="K19" s="377"/>
      <c r="L19" s="377"/>
      <c r="M19" s="377"/>
      <c r="N19" s="377"/>
      <c r="O19" s="377"/>
      <c r="P19" s="377"/>
      <c r="Q19" s="377"/>
      <c r="R19" s="377"/>
      <c r="S19" s="377"/>
      <c r="T19" s="377"/>
    </row>
    <row r="20" spans="1:29" s="575" customFormat="1" ht="11.25" customHeight="1">
      <c r="A20" s="449" t="s">
        <v>1417</v>
      </c>
      <c r="B20" s="377"/>
      <c r="C20" s="578"/>
      <c r="D20" s="579">
        <f>IF(Assum!$Q$75="Yes",MAX(D32-C22+D21,0),0)</f>
        <v>0</v>
      </c>
      <c r="E20" s="579">
        <f>IF(Assum!$Q$75="Yes",MAX(E32-D22+E21,0),0)</f>
        <v>0</v>
      </c>
      <c r="F20" s="579">
        <f>IF(Assum!$Q$75="Yes",MAX(F32-E22+F21,0),0)</f>
        <v>0</v>
      </c>
      <c r="G20" s="579">
        <f>IF(Assum!$Q$75="Yes",MAX(G32-F22+G21,0),0)</f>
        <v>0</v>
      </c>
      <c r="H20" s="579">
        <f>IF(Assum!$Q$75="Yes",MAX(H32-G22+H21,0),0)</f>
        <v>0</v>
      </c>
      <c r="I20" s="579">
        <f>IF(Assum!$Q$75="Yes",MAX(I32-H22+I21,0),0)</f>
        <v>0</v>
      </c>
      <c r="J20" s="579">
        <f>IF(Assum!$Q$75="Yes",MAX(J32-I22+J21,0),0)</f>
        <v>0</v>
      </c>
      <c r="K20" s="579">
        <f>IF(Assum!$Q$75="Yes",MAX(K32-J22+K21,0),0)</f>
        <v>0</v>
      </c>
      <c r="L20" s="579">
        <f>IF(Assum!$Q$75="Yes",MAX(L32-K22+L21,0),0)</f>
        <v>0</v>
      </c>
      <c r="M20" s="579">
        <f>IF(Assum!$Q$75="Yes",MAX(M32-L22+M21,0),0)</f>
        <v>0</v>
      </c>
      <c r="N20" s="579">
        <f>IF(Assum!$Q$75="Yes",MAX(N32-M22+N21,0),0)</f>
        <v>3065.9388270121217</v>
      </c>
      <c r="O20" s="579">
        <f>IF(Assum!$Q$75="Yes",MAX(O32-N22+O21,0),0)</f>
        <v>3065.9388270121217</v>
      </c>
      <c r="P20" s="579">
        <f>IF(Assum!$Q$75="Yes",MAX(P32-O22+P21,0),0)</f>
        <v>3065.9388270121217</v>
      </c>
      <c r="Q20" s="579">
        <f>IF(Assum!$Q$75="Yes",MAX(Q32-P22+Q21,0),0)</f>
        <v>3065.9388270121217</v>
      </c>
      <c r="R20" s="579">
        <f>IF(Assum!$Q$75="Yes",MAX(R32-Q22+R21,0),0)</f>
        <v>0</v>
      </c>
      <c r="S20" s="579">
        <f>IF(Assum!$Q$75="Yes",MAX(S32-R22+S21,0),0)</f>
        <v>0</v>
      </c>
      <c r="T20" s="579">
        <f>IF(Assum!$Q$75="Yes",MAX(T32-S22+T21,0),0)</f>
        <v>0</v>
      </c>
      <c r="U20" s="579">
        <f>IF(Assum!$Q$75="Yes",MAX(U32-T22+U21,0),0)</f>
        <v>0</v>
      </c>
      <c r="V20" s="579">
        <f>IF(Assum!$Q$75="Yes",MAX(V32-U22+V21,0),0)</f>
        <v>0</v>
      </c>
      <c r="W20" s="579">
        <f>IF(Assum!$Q$75="Yes",MAX(W32-V22+W21,0),0)</f>
        <v>0</v>
      </c>
      <c r="X20" s="579">
        <f>IF(Assum!$Q$75="Yes",MAX(X32-W22+X21,0),0)</f>
        <v>0</v>
      </c>
      <c r="Y20" s="579">
        <f>IF(Assum!$Q$75="Yes",MAX(Y32-X22+Y21,0),0)</f>
        <v>0</v>
      </c>
      <c r="Z20" s="579">
        <f>IF(Assum!$Q$75="Yes",MAX(Z32-Y22+Z21,0),0)</f>
        <v>0</v>
      </c>
      <c r="AA20" s="579">
        <f>IF(Assum!$Q$75="Yes",MAX(AA32-Z22+AA21,0),0)</f>
        <v>0</v>
      </c>
      <c r="AB20" s="579">
        <f>IF(Assum!$Q$75="Yes",MAX(AB32-AA22+AB21,0),0)</f>
        <v>0</v>
      </c>
      <c r="AC20" s="579">
        <f>IF(Assum!$Q$75="Yes",MAX(AC32-AB22+AC21,0),0)</f>
        <v>0</v>
      </c>
    </row>
    <row r="21" spans="1:29">
      <c r="A21" s="449" t="s">
        <v>1416</v>
      </c>
      <c r="D21" s="579">
        <f>D14</f>
        <v>0</v>
      </c>
      <c r="E21" s="579">
        <f t="shared" ref="E21:T21" si="2">E14</f>
        <v>0</v>
      </c>
      <c r="F21" s="579">
        <f t="shared" si="2"/>
        <v>0</v>
      </c>
      <c r="G21" s="579">
        <f t="shared" si="2"/>
        <v>0</v>
      </c>
      <c r="H21" s="579">
        <f t="shared" si="2"/>
        <v>0</v>
      </c>
      <c r="I21" s="579">
        <f t="shared" si="2"/>
        <v>0</v>
      </c>
      <c r="J21" s="579">
        <f t="shared" si="2"/>
        <v>0</v>
      </c>
      <c r="K21" s="579">
        <f t="shared" si="2"/>
        <v>0</v>
      </c>
      <c r="L21" s="579">
        <f t="shared" si="2"/>
        <v>0</v>
      </c>
      <c r="M21" s="579">
        <f t="shared" si="2"/>
        <v>0</v>
      </c>
      <c r="N21" s="579">
        <f t="shared" si="2"/>
        <v>0</v>
      </c>
      <c r="O21" s="579">
        <f t="shared" si="2"/>
        <v>0</v>
      </c>
      <c r="P21" s="579">
        <f t="shared" si="2"/>
        <v>0</v>
      </c>
      <c r="Q21" s="579">
        <f t="shared" si="2"/>
        <v>0</v>
      </c>
      <c r="R21" s="579">
        <f t="shared" si="2"/>
        <v>12263.755308048487</v>
      </c>
      <c r="S21" s="579">
        <f t="shared" si="2"/>
        <v>0</v>
      </c>
      <c r="T21" s="579">
        <f t="shared" si="2"/>
        <v>0</v>
      </c>
      <c r="U21" s="579">
        <f t="shared" ref="U21:AC21" si="3">U14</f>
        <v>0</v>
      </c>
      <c r="V21" s="579">
        <f t="shared" si="3"/>
        <v>0</v>
      </c>
      <c r="W21" s="579">
        <f t="shared" si="3"/>
        <v>0</v>
      </c>
      <c r="X21" s="579">
        <f t="shared" si="3"/>
        <v>0</v>
      </c>
      <c r="Y21" s="579">
        <f t="shared" si="3"/>
        <v>0</v>
      </c>
      <c r="Z21" s="579">
        <f t="shared" si="3"/>
        <v>0</v>
      </c>
      <c r="AA21" s="579">
        <f t="shared" si="3"/>
        <v>0</v>
      </c>
      <c r="AB21" s="579">
        <f t="shared" si="3"/>
        <v>0</v>
      </c>
      <c r="AC21" s="579">
        <f t="shared" si="3"/>
        <v>0</v>
      </c>
    </row>
    <row r="22" spans="1:29">
      <c r="A22" s="449" t="s">
        <v>1378</v>
      </c>
      <c r="D22" s="579">
        <f>IF((C22+D20-D21)&gt;0, C22+D20-D21, 0)</f>
        <v>0</v>
      </c>
      <c r="E22" s="579">
        <f t="shared" ref="E22:T22" si="4">MAX(0,D22+E20-E21)</f>
        <v>0</v>
      </c>
      <c r="F22" s="579">
        <f t="shared" si="4"/>
        <v>0</v>
      </c>
      <c r="G22" s="579">
        <f t="shared" si="4"/>
        <v>0</v>
      </c>
      <c r="H22" s="579">
        <f t="shared" si="4"/>
        <v>0</v>
      </c>
      <c r="I22" s="579">
        <f t="shared" si="4"/>
        <v>0</v>
      </c>
      <c r="J22" s="579">
        <f t="shared" si="4"/>
        <v>0</v>
      </c>
      <c r="K22" s="579">
        <f t="shared" si="4"/>
        <v>0</v>
      </c>
      <c r="L22" s="579">
        <f t="shared" si="4"/>
        <v>0</v>
      </c>
      <c r="M22" s="579">
        <f t="shared" si="4"/>
        <v>0</v>
      </c>
      <c r="N22" s="579">
        <f t="shared" si="4"/>
        <v>3065.9388270121217</v>
      </c>
      <c r="O22" s="579">
        <f t="shared" si="4"/>
        <v>6131.8776540242434</v>
      </c>
      <c r="P22" s="579">
        <f t="shared" si="4"/>
        <v>9197.8164810363651</v>
      </c>
      <c r="Q22" s="579">
        <f t="shared" si="4"/>
        <v>12263.755308048487</v>
      </c>
      <c r="R22" s="579">
        <f t="shared" si="4"/>
        <v>0</v>
      </c>
      <c r="S22" s="579">
        <f t="shared" si="4"/>
        <v>0</v>
      </c>
      <c r="T22" s="579">
        <f t="shared" si="4"/>
        <v>0</v>
      </c>
      <c r="U22" s="579">
        <f t="shared" ref="U22:AC22" si="5">MAX(0,T22+U20-U21)</f>
        <v>0</v>
      </c>
      <c r="V22" s="579">
        <f t="shared" si="5"/>
        <v>0</v>
      </c>
      <c r="W22" s="579">
        <f t="shared" si="5"/>
        <v>0</v>
      </c>
      <c r="X22" s="579">
        <f t="shared" si="5"/>
        <v>0</v>
      </c>
      <c r="Y22" s="579">
        <f t="shared" si="5"/>
        <v>0</v>
      </c>
      <c r="Z22" s="579">
        <f t="shared" si="5"/>
        <v>0</v>
      </c>
      <c r="AA22" s="579">
        <f t="shared" si="5"/>
        <v>0</v>
      </c>
      <c r="AB22" s="579">
        <f t="shared" si="5"/>
        <v>0</v>
      </c>
      <c r="AC22" s="579">
        <f t="shared" si="5"/>
        <v>0</v>
      </c>
    </row>
    <row r="28" spans="1:29" s="575" customFormat="1" ht="11.25" customHeight="1">
      <c r="A28" s="642" t="s">
        <v>942</v>
      </c>
      <c r="B28" s="643"/>
      <c r="C28" s="644"/>
      <c r="D28" s="645">
        <f>LM6000PC_MMR_Gas!B29/1000</f>
        <v>0</v>
      </c>
      <c r="E28" s="645">
        <f>LM6000PC_MMR_Gas!C29/1000</f>
        <v>0</v>
      </c>
      <c r="F28" s="645">
        <f>LM6000PC_MMR_Gas!D29/1000</f>
        <v>0</v>
      </c>
      <c r="G28" s="645">
        <f>LM6000PC_MMR_Gas!E29/1000</f>
        <v>0</v>
      </c>
      <c r="H28" s="645">
        <f>LM6000PC_MMR_Gas!F29/1000</f>
        <v>0</v>
      </c>
      <c r="I28" s="645">
        <f>LM6000PC_MMR_Gas!G29/1000</f>
        <v>0</v>
      </c>
      <c r="J28" s="645">
        <f>LM6000PC_MMR_Gas!H29/1000</f>
        <v>0</v>
      </c>
      <c r="K28" s="645">
        <f>LM6000PC_MMR_Gas!I29/1000</f>
        <v>0</v>
      </c>
      <c r="L28" s="645">
        <f>LM6000PC_MMR_Gas!J29/1000</f>
        <v>0</v>
      </c>
      <c r="M28" s="645">
        <f>LM6000PC_MMR_Gas!K29/1000</f>
        <v>0</v>
      </c>
      <c r="N28" s="645">
        <f>LM6000PC_MMR_Gas!L29/1000</f>
        <v>0</v>
      </c>
      <c r="O28" s="645">
        <f>LM6000PC_MMR_Gas!M29/1000</f>
        <v>0</v>
      </c>
      <c r="P28" s="645">
        <f>LM6000PC_MMR_Gas!N29/1000</f>
        <v>0</v>
      </c>
      <c r="Q28" s="645">
        <f>LM6000PC_MMR_Gas!O29/1000</f>
        <v>0</v>
      </c>
      <c r="R28" s="645">
        <f>LM6000PC_MMR_Gas!P29/1000</f>
        <v>8478</v>
      </c>
      <c r="S28" s="645">
        <f>LM6000PC_MMR_Gas!Q29/1000</f>
        <v>0</v>
      </c>
      <c r="T28" s="645">
        <f>LM6000PC_MMR_Gas!R29/1000</f>
        <v>0</v>
      </c>
      <c r="U28" s="604"/>
    </row>
    <row r="30" spans="1:29">
      <c r="A30" s="449" t="s">
        <v>1397</v>
      </c>
      <c r="B30" s="377"/>
      <c r="C30" s="578"/>
      <c r="D30" s="676">
        <f>Assum!Q81</f>
        <v>4</v>
      </c>
    </row>
    <row r="32" spans="1:29" s="575" customFormat="1" ht="11.25" customHeight="1" thickBot="1">
      <c r="A32" s="638" t="s">
        <v>1388</v>
      </c>
      <c r="B32" s="639"/>
      <c r="C32" s="640"/>
      <c r="D32" s="641">
        <f t="shared" ref="D32:T32" si="6">HLOOKUP($D$30,$E$46:$L$64,D6+1)</f>
        <v>0</v>
      </c>
      <c r="E32" s="641">
        <f t="shared" si="6"/>
        <v>0</v>
      </c>
      <c r="F32" s="641">
        <f t="shared" si="6"/>
        <v>0</v>
      </c>
      <c r="G32" s="641">
        <f t="shared" si="6"/>
        <v>0</v>
      </c>
      <c r="H32" s="641">
        <f t="shared" si="6"/>
        <v>0</v>
      </c>
      <c r="I32" s="641">
        <f t="shared" si="6"/>
        <v>0</v>
      </c>
      <c r="J32" s="641">
        <f t="shared" si="6"/>
        <v>0</v>
      </c>
      <c r="K32" s="641">
        <f t="shared" si="6"/>
        <v>0</v>
      </c>
      <c r="L32" s="641">
        <f t="shared" si="6"/>
        <v>0</v>
      </c>
      <c r="M32" s="641">
        <f t="shared" si="6"/>
        <v>0</v>
      </c>
      <c r="N32" s="641">
        <f t="shared" si="6"/>
        <v>3065.9388270121217</v>
      </c>
      <c r="O32" s="641">
        <f t="shared" si="6"/>
        <v>6131.8776540242434</v>
      </c>
      <c r="P32" s="641">
        <f t="shared" si="6"/>
        <v>9197.8164810363651</v>
      </c>
      <c r="Q32" s="641">
        <f t="shared" si="6"/>
        <v>12263.755308048487</v>
      </c>
      <c r="R32" s="641">
        <f t="shared" si="6"/>
        <v>0</v>
      </c>
      <c r="S32" s="641">
        <f t="shared" si="6"/>
        <v>0</v>
      </c>
      <c r="T32" s="641">
        <f t="shared" si="6"/>
        <v>0</v>
      </c>
    </row>
    <row r="33" spans="4:12" ht="13.5" thickTop="1"/>
    <row r="46" spans="4:12">
      <c r="E46" s="344">
        <v>1</v>
      </c>
      <c r="F46" s="344">
        <v>2</v>
      </c>
      <c r="G46" s="344">
        <v>3</v>
      </c>
      <c r="H46" s="344">
        <v>4</v>
      </c>
      <c r="I46" s="344">
        <v>5</v>
      </c>
      <c r="J46" s="344">
        <v>6</v>
      </c>
      <c r="K46" s="344">
        <v>7</v>
      </c>
      <c r="L46" s="344">
        <v>8</v>
      </c>
    </row>
    <row r="47" spans="4:12">
      <c r="D47" s="294">
        <f t="array" ref="D47:D63">TRANSPOSE(D21:T21)</f>
        <v>0</v>
      </c>
      <c r="E47" s="618">
        <f>D48</f>
        <v>0</v>
      </c>
      <c r="F47" s="619">
        <f>D48+D49/2</f>
        <v>0</v>
      </c>
      <c r="G47" s="619">
        <f>D48+D49*2/3+D50/3</f>
        <v>0</v>
      </c>
      <c r="H47" s="619">
        <f>D48+D49*3/4+D50/2+D51/4</f>
        <v>0</v>
      </c>
      <c r="I47" s="619">
        <f>D48+D49*4/5+D50*3/5+D51*2/5+D52/5</f>
        <v>0</v>
      </c>
      <c r="J47" s="619">
        <f>D48+D49*5/6+D50*4/6+D51/2+D52/3+D53/6</f>
        <v>0</v>
      </c>
      <c r="K47" s="619">
        <f>D48+D49*6/7+D50*5/7+D51*4/7+D52*3/7+D53*2/7+D54/7</f>
        <v>0</v>
      </c>
      <c r="L47" s="619">
        <f>D48+D49*7/8+D50*6/8+D51*5/8+D52*4/8+D53*3/8+D54/4+D55/8</f>
        <v>0</v>
      </c>
    </row>
    <row r="48" spans="4:12">
      <c r="D48" s="294">
        <v>0</v>
      </c>
      <c r="E48" s="618">
        <f t="shared" ref="E48:E63" si="7">D49</f>
        <v>0</v>
      </c>
      <c r="F48" s="619">
        <f t="shared" ref="F48:F63" si="8">D49+D50/2</f>
        <v>0</v>
      </c>
      <c r="G48" s="619">
        <f t="shared" ref="G48:G63" si="9">D49+D50*2/3+D51/3</f>
        <v>0</v>
      </c>
      <c r="H48" s="619">
        <f t="shared" ref="H48:H63" si="10">D49+D50*3/4+D51/2+D52/4</f>
        <v>0</v>
      </c>
      <c r="I48" s="619">
        <f t="shared" ref="I48:I63" si="11">D49+D50*4/5+D51*3/5+D52*2/5+D53/5</f>
        <v>0</v>
      </c>
      <c r="J48" s="619">
        <f t="shared" ref="J48:J63" si="12">D49+D50*5/6+D51*4/6+D52/2+D53/3+D54/6</f>
        <v>0</v>
      </c>
      <c r="K48" s="619">
        <f t="shared" ref="K48:K63" si="13">D49+D50*6/7+D51*5/7+D52*4/7+D53*3/7+D54*2/7+D55/7</f>
        <v>0</v>
      </c>
      <c r="L48" s="619">
        <f t="shared" ref="L48:L63" si="14">D49+D50*7/8+D51*6/8+D52*5/8+D53*4/8+D54*3/8+D55/4+D56/8</f>
        <v>0</v>
      </c>
    </row>
    <row r="49" spans="4:12">
      <c r="D49" s="294">
        <v>0</v>
      </c>
      <c r="E49" s="618">
        <f t="shared" si="7"/>
        <v>0</v>
      </c>
      <c r="F49" s="619">
        <f t="shared" si="8"/>
        <v>0</v>
      </c>
      <c r="G49" s="619">
        <f t="shared" si="9"/>
        <v>0</v>
      </c>
      <c r="H49" s="619">
        <f t="shared" si="10"/>
        <v>0</v>
      </c>
      <c r="I49" s="619">
        <f t="shared" si="11"/>
        <v>0</v>
      </c>
      <c r="J49" s="619">
        <f t="shared" si="12"/>
        <v>0</v>
      </c>
      <c r="K49" s="619">
        <f t="shared" si="13"/>
        <v>0</v>
      </c>
      <c r="L49" s="619">
        <f t="shared" si="14"/>
        <v>0</v>
      </c>
    </row>
    <row r="50" spans="4:12">
      <c r="D50" s="294">
        <v>0</v>
      </c>
      <c r="E50" s="618">
        <f t="shared" si="7"/>
        <v>0</v>
      </c>
      <c r="F50" s="619">
        <f t="shared" si="8"/>
        <v>0</v>
      </c>
      <c r="G50" s="619">
        <f t="shared" si="9"/>
        <v>0</v>
      </c>
      <c r="H50" s="619">
        <f t="shared" si="10"/>
        <v>0</v>
      </c>
      <c r="I50" s="619">
        <f t="shared" si="11"/>
        <v>0</v>
      </c>
      <c r="J50" s="619">
        <f t="shared" si="12"/>
        <v>0</v>
      </c>
      <c r="K50" s="619">
        <f t="shared" si="13"/>
        <v>0</v>
      </c>
      <c r="L50" s="619">
        <f t="shared" si="14"/>
        <v>0</v>
      </c>
    </row>
    <row r="51" spans="4:12">
      <c r="D51" s="294">
        <v>0</v>
      </c>
      <c r="E51" s="618">
        <f t="shared" si="7"/>
        <v>0</v>
      </c>
      <c r="F51" s="619">
        <f t="shared" si="8"/>
        <v>0</v>
      </c>
      <c r="G51" s="619">
        <f t="shared" si="9"/>
        <v>0</v>
      </c>
      <c r="H51" s="619">
        <f t="shared" si="10"/>
        <v>0</v>
      </c>
      <c r="I51" s="619">
        <f t="shared" si="11"/>
        <v>0</v>
      </c>
      <c r="J51" s="619">
        <f t="shared" si="12"/>
        <v>0</v>
      </c>
      <c r="K51" s="619">
        <f t="shared" si="13"/>
        <v>0</v>
      </c>
      <c r="L51" s="619">
        <f t="shared" si="14"/>
        <v>0</v>
      </c>
    </row>
    <row r="52" spans="4:12">
      <c r="D52" s="294">
        <v>0</v>
      </c>
      <c r="E52" s="618">
        <f t="shared" si="7"/>
        <v>0</v>
      </c>
      <c r="F52" s="619">
        <f t="shared" si="8"/>
        <v>0</v>
      </c>
      <c r="G52" s="619">
        <f t="shared" si="9"/>
        <v>0</v>
      </c>
      <c r="H52" s="619">
        <f t="shared" si="10"/>
        <v>0</v>
      </c>
      <c r="I52" s="619">
        <f t="shared" si="11"/>
        <v>0</v>
      </c>
      <c r="J52" s="619">
        <f t="shared" si="12"/>
        <v>0</v>
      </c>
      <c r="K52" s="619">
        <f t="shared" si="13"/>
        <v>0</v>
      </c>
      <c r="L52" s="619">
        <f t="shared" si="14"/>
        <v>0</v>
      </c>
    </row>
    <row r="53" spans="4:12">
      <c r="D53" s="294">
        <v>0</v>
      </c>
      <c r="E53" s="618">
        <f t="shared" si="7"/>
        <v>0</v>
      </c>
      <c r="F53" s="619">
        <f t="shared" si="8"/>
        <v>0</v>
      </c>
      <c r="G53" s="619">
        <f t="shared" si="9"/>
        <v>0</v>
      </c>
      <c r="H53" s="619">
        <f t="shared" si="10"/>
        <v>0</v>
      </c>
      <c r="I53" s="619">
        <f t="shared" si="11"/>
        <v>0</v>
      </c>
      <c r="J53" s="619">
        <f t="shared" si="12"/>
        <v>0</v>
      </c>
      <c r="K53" s="619">
        <f t="shared" si="13"/>
        <v>0</v>
      </c>
      <c r="L53" s="619">
        <f t="shared" si="14"/>
        <v>1532.9694135060608</v>
      </c>
    </row>
    <row r="54" spans="4:12">
      <c r="D54" s="294">
        <v>0</v>
      </c>
      <c r="E54" s="618">
        <f t="shared" si="7"/>
        <v>0</v>
      </c>
      <c r="F54" s="619">
        <f t="shared" si="8"/>
        <v>0</v>
      </c>
      <c r="G54" s="619">
        <f t="shared" si="9"/>
        <v>0</v>
      </c>
      <c r="H54" s="619">
        <f t="shared" si="10"/>
        <v>0</v>
      </c>
      <c r="I54" s="619">
        <f t="shared" si="11"/>
        <v>0</v>
      </c>
      <c r="J54" s="619">
        <f t="shared" si="12"/>
        <v>0</v>
      </c>
      <c r="K54" s="619">
        <f t="shared" si="13"/>
        <v>1751.9650440069267</v>
      </c>
      <c r="L54" s="619">
        <f t="shared" si="14"/>
        <v>3065.9388270121217</v>
      </c>
    </row>
    <row r="55" spans="4:12">
      <c r="D55" s="294">
        <v>0</v>
      </c>
      <c r="E55" s="618">
        <f t="shared" si="7"/>
        <v>0</v>
      </c>
      <c r="F55" s="619">
        <f t="shared" si="8"/>
        <v>0</v>
      </c>
      <c r="G55" s="619">
        <f t="shared" si="9"/>
        <v>0</v>
      </c>
      <c r="H55" s="619">
        <f t="shared" si="10"/>
        <v>0</v>
      </c>
      <c r="I55" s="619">
        <f t="shared" si="11"/>
        <v>0</v>
      </c>
      <c r="J55" s="619">
        <f t="shared" si="12"/>
        <v>2043.9592180080811</v>
      </c>
      <c r="K55" s="619">
        <f t="shared" si="13"/>
        <v>3503.9300880138535</v>
      </c>
      <c r="L55" s="619">
        <f t="shared" si="14"/>
        <v>4598.9082405181825</v>
      </c>
    </row>
    <row r="56" spans="4:12">
      <c r="D56" s="294">
        <v>0</v>
      </c>
      <c r="E56" s="618">
        <f t="shared" si="7"/>
        <v>0</v>
      </c>
      <c r="F56" s="619">
        <f t="shared" si="8"/>
        <v>0</v>
      </c>
      <c r="G56" s="619">
        <f t="shared" si="9"/>
        <v>0</v>
      </c>
      <c r="H56" s="619">
        <f t="shared" si="10"/>
        <v>0</v>
      </c>
      <c r="I56" s="619">
        <f t="shared" si="11"/>
        <v>2452.7510616096974</v>
      </c>
      <c r="J56" s="619">
        <f t="shared" si="12"/>
        <v>4087.9184360161621</v>
      </c>
      <c r="K56" s="619">
        <f t="shared" si="13"/>
        <v>5255.8951320207798</v>
      </c>
      <c r="L56" s="619">
        <f t="shared" si="14"/>
        <v>6131.8776540242434</v>
      </c>
    </row>
    <row r="57" spans="4:12">
      <c r="D57" s="294">
        <v>0</v>
      </c>
      <c r="E57" s="618">
        <f t="shared" si="7"/>
        <v>0</v>
      </c>
      <c r="F57" s="619">
        <f t="shared" si="8"/>
        <v>0</v>
      </c>
      <c r="G57" s="619">
        <f t="shared" si="9"/>
        <v>0</v>
      </c>
      <c r="H57" s="619">
        <f t="shared" si="10"/>
        <v>3065.9388270121217</v>
      </c>
      <c r="I57" s="619">
        <f t="shared" si="11"/>
        <v>4905.5021232193949</v>
      </c>
      <c r="J57" s="619">
        <f t="shared" si="12"/>
        <v>6131.8776540242434</v>
      </c>
      <c r="K57" s="619">
        <f t="shared" si="13"/>
        <v>7007.860176027707</v>
      </c>
      <c r="L57" s="619">
        <f t="shared" si="14"/>
        <v>7664.8470675303042</v>
      </c>
    </row>
    <row r="58" spans="4:12">
      <c r="D58" s="294">
        <v>0</v>
      </c>
      <c r="E58" s="618">
        <f t="shared" si="7"/>
        <v>0</v>
      </c>
      <c r="F58" s="619">
        <f t="shared" si="8"/>
        <v>0</v>
      </c>
      <c r="G58" s="619">
        <f t="shared" si="9"/>
        <v>4087.9184360161621</v>
      </c>
      <c r="H58" s="619">
        <f t="shared" si="10"/>
        <v>6131.8776540242434</v>
      </c>
      <c r="I58" s="619">
        <f t="shared" si="11"/>
        <v>7358.2531848290919</v>
      </c>
      <c r="J58" s="619">
        <f t="shared" si="12"/>
        <v>8175.8368720323242</v>
      </c>
      <c r="K58" s="619">
        <f t="shared" si="13"/>
        <v>8759.8252200346342</v>
      </c>
      <c r="L58" s="619">
        <f t="shared" si="14"/>
        <v>9197.8164810363651</v>
      </c>
    </row>
    <row r="59" spans="4:12">
      <c r="D59" s="294">
        <v>0</v>
      </c>
      <c r="E59" s="618">
        <f t="shared" si="7"/>
        <v>0</v>
      </c>
      <c r="F59" s="619">
        <f t="shared" si="8"/>
        <v>6131.8776540242434</v>
      </c>
      <c r="G59" s="619">
        <f t="shared" si="9"/>
        <v>8175.8368720323242</v>
      </c>
      <c r="H59" s="619">
        <f t="shared" si="10"/>
        <v>9197.8164810363651</v>
      </c>
      <c r="I59" s="619">
        <f t="shared" si="11"/>
        <v>9811.0042464387898</v>
      </c>
      <c r="J59" s="619">
        <f t="shared" si="12"/>
        <v>10219.796090040405</v>
      </c>
      <c r="K59" s="619">
        <f t="shared" si="13"/>
        <v>10511.79026404156</v>
      </c>
      <c r="L59" s="619">
        <f t="shared" si="14"/>
        <v>10730.785894542427</v>
      </c>
    </row>
    <row r="60" spans="4:12">
      <c r="D60" s="294">
        <v>0</v>
      </c>
      <c r="E60" s="618">
        <f t="shared" si="7"/>
        <v>12263.755308048487</v>
      </c>
      <c r="F60" s="619">
        <f t="shared" si="8"/>
        <v>12263.755308048487</v>
      </c>
      <c r="G60" s="619">
        <f t="shared" si="9"/>
        <v>12263.755308048487</v>
      </c>
      <c r="H60" s="619">
        <f t="shared" si="10"/>
        <v>12263.755308048487</v>
      </c>
      <c r="I60" s="619">
        <f t="shared" si="11"/>
        <v>12263.755308048487</v>
      </c>
      <c r="J60" s="619">
        <f t="shared" si="12"/>
        <v>12263.755308048487</v>
      </c>
      <c r="K60" s="619">
        <f t="shared" si="13"/>
        <v>12263.755308048487</v>
      </c>
      <c r="L60" s="619">
        <f t="shared" si="14"/>
        <v>12263.755308048487</v>
      </c>
    </row>
    <row r="61" spans="4:12">
      <c r="D61" s="294">
        <v>12263.755308048487</v>
      </c>
      <c r="E61" s="618">
        <f t="shared" si="7"/>
        <v>0</v>
      </c>
      <c r="F61" s="619">
        <f t="shared" si="8"/>
        <v>0</v>
      </c>
      <c r="G61" s="619">
        <f t="shared" si="9"/>
        <v>0</v>
      </c>
      <c r="H61" s="619">
        <f t="shared" si="10"/>
        <v>0</v>
      </c>
      <c r="I61" s="619">
        <f t="shared" si="11"/>
        <v>0</v>
      </c>
      <c r="J61" s="619">
        <f t="shared" si="12"/>
        <v>0</v>
      </c>
      <c r="K61" s="619">
        <f t="shared" si="13"/>
        <v>0</v>
      </c>
      <c r="L61" s="619">
        <f t="shared" si="14"/>
        <v>0</v>
      </c>
    </row>
    <row r="62" spans="4:12">
      <c r="D62" s="294">
        <v>0</v>
      </c>
      <c r="E62" s="618">
        <f t="shared" si="7"/>
        <v>0</v>
      </c>
      <c r="F62" s="619">
        <f t="shared" si="8"/>
        <v>0</v>
      </c>
      <c r="G62" s="619">
        <f t="shared" si="9"/>
        <v>0</v>
      </c>
      <c r="H62" s="619">
        <f t="shared" si="10"/>
        <v>0</v>
      </c>
      <c r="I62" s="619">
        <f t="shared" si="11"/>
        <v>0</v>
      </c>
      <c r="J62" s="619">
        <f t="shared" si="12"/>
        <v>0</v>
      </c>
      <c r="K62" s="619">
        <f t="shared" si="13"/>
        <v>0</v>
      </c>
      <c r="L62" s="619">
        <f t="shared" si="14"/>
        <v>0</v>
      </c>
    </row>
    <row r="63" spans="4:12">
      <c r="D63" s="294">
        <v>0</v>
      </c>
      <c r="E63" s="618">
        <f t="shared" si="7"/>
        <v>0</v>
      </c>
      <c r="F63" s="619">
        <f t="shared" si="8"/>
        <v>0</v>
      </c>
      <c r="G63" s="619">
        <f t="shared" si="9"/>
        <v>0</v>
      </c>
      <c r="H63" s="619">
        <f t="shared" si="10"/>
        <v>0</v>
      </c>
      <c r="I63" s="619">
        <f t="shared" si="11"/>
        <v>0</v>
      </c>
      <c r="J63" s="619">
        <f t="shared" si="12"/>
        <v>0</v>
      </c>
      <c r="K63" s="619">
        <f t="shared" si="13"/>
        <v>0</v>
      </c>
      <c r="L63" s="619">
        <f t="shared" si="14"/>
        <v>0</v>
      </c>
    </row>
    <row r="64" spans="4:12">
      <c r="E64" s="617">
        <f>MAX(E47:E63)</f>
        <v>12263.755308048487</v>
      </c>
      <c r="F64" s="617">
        <f t="shared" ref="F64:L64" si="15">MAX(F47:F63)</f>
        <v>12263.755308048487</v>
      </c>
      <c r="G64" s="617">
        <f t="shared" si="15"/>
        <v>12263.755308048487</v>
      </c>
      <c r="H64" s="617">
        <f t="shared" si="15"/>
        <v>12263.755308048487</v>
      </c>
      <c r="I64" s="617">
        <f t="shared" si="15"/>
        <v>12263.755308048487</v>
      </c>
      <c r="J64" s="617">
        <f t="shared" si="15"/>
        <v>12263.755308048487</v>
      </c>
      <c r="K64" s="617">
        <f t="shared" si="15"/>
        <v>12263.755308048487</v>
      </c>
      <c r="L64" s="617">
        <f t="shared" si="15"/>
        <v>12263.755308048487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2:X27"/>
  <sheetViews>
    <sheetView showGridLines="0" zoomScale="75" zoomScaleNormal="75" workbookViewId="0">
      <selection activeCell="B10" sqref="B10"/>
    </sheetView>
  </sheetViews>
  <sheetFormatPr defaultRowHeight="12.75"/>
  <cols>
    <col min="1" max="1" width="7.140625" style="14" customWidth="1"/>
    <col min="2" max="2" width="64" style="14" bestFit="1" customWidth="1"/>
    <col min="3" max="20" width="10.5703125" style="14" customWidth="1"/>
    <col min="21" max="22" width="10.85546875" style="14" customWidth="1"/>
    <col min="23" max="31" width="10.85546875" style="5" customWidth="1"/>
    <col min="32" max="16384" width="9.140625" style="5"/>
  </cols>
  <sheetData>
    <row r="2" spans="1:24" ht="18.75">
      <c r="A2" s="126" t="str">
        <f>Assum!A2</f>
        <v xml:space="preserve">PROJECT NAME: PLANO </v>
      </c>
    </row>
    <row r="4" spans="1:24" ht="18.75">
      <c r="A4" s="91" t="s">
        <v>1173</v>
      </c>
      <c r="B4" s="3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05"/>
      <c r="X4" s="105"/>
    </row>
    <row r="5" spans="1:24">
      <c r="A5" s="96"/>
      <c r="B5" s="119"/>
      <c r="C5" s="16"/>
      <c r="D5" s="16"/>
      <c r="E5" s="16"/>
      <c r="F5" s="16"/>
      <c r="G5" s="16"/>
      <c r="H5" s="116"/>
      <c r="I5" s="16"/>
      <c r="J5" s="16"/>
      <c r="K5" s="16"/>
      <c r="L5" s="16"/>
      <c r="M5" s="16"/>
      <c r="N5" s="116"/>
      <c r="O5" s="16"/>
      <c r="P5" s="16"/>
      <c r="Q5" s="16"/>
      <c r="R5" s="16"/>
      <c r="S5" s="16"/>
      <c r="T5" s="116"/>
      <c r="U5" s="16"/>
      <c r="V5" s="16"/>
      <c r="W5" s="130"/>
      <c r="X5" s="130"/>
    </row>
    <row r="6" spans="1:24">
      <c r="A6" s="58" t="s">
        <v>1177</v>
      </c>
      <c r="B6" s="58" t="s">
        <v>1174</v>
      </c>
      <c r="C6" s="58" t="s">
        <v>1175</v>
      </c>
      <c r="D6" s="58"/>
      <c r="E6" s="58" t="s">
        <v>1176</v>
      </c>
    </row>
    <row r="7" spans="1:24">
      <c r="B7" s="14" t="s">
        <v>943</v>
      </c>
      <c r="C7" s="14" t="s">
        <v>1221</v>
      </c>
      <c r="E7" s="236">
        <v>36617</v>
      </c>
    </row>
    <row r="8" spans="1:24">
      <c r="B8" s="14" t="s">
        <v>944</v>
      </c>
      <c r="E8" s="236"/>
    </row>
    <row r="9" spans="1:24">
      <c r="E9" s="236"/>
    </row>
    <row r="10" spans="1:24">
      <c r="E10" s="236"/>
    </row>
    <row r="11" spans="1:24">
      <c r="E11" s="236"/>
    </row>
    <row r="12" spans="1:24">
      <c r="C12" s="5"/>
      <c r="E12" s="5"/>
    </row>
    <row r="14" spans="1:24">
      <c r="E14" s="236"/>
    </row>
    <row r="15" spans="1:24">
      <c r="E15" s="236"/>
    </row>
    <row r="16" spans="1:24">
      <c r="E16" s="236"/>
    </row>
    <row r="18" spans="5:5">
      <c r="E18" s="236"/>
    </row>
    <row r="21" spans="5:5">
      <c r="E21" s="236"/>
    </row>
    <row r="24" spans="5:5">
      <c r="E24" s="236"/>
    </row>
    <row r="27" spans="5:5">
      <c r="E27" s="236"/>
    </row>
  </sheetData>
  <pageMargins left="0.45" right="0.45" top="0.5" bottom="0.5" header="0.25" footer="0.25"/>
  <pageSetup orientation="landscape" r:id="rId1"/>
  <headerFooter alignWithMargins="0">
    <oddFooter xml:space="preserve">&amp;L&amp;T, &amp;D&amp;C&amp;F&amp;R&amp;P </oddFooter>
  </headerFooter>
  <colBreaks count="1" manualBreakCount="1">
    <brk id="15" min="1" max="3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1" sqref="B1"/>
    </sheetView>
  </sheetViews>
  <sheetFormatPr defaultRowHeight="12.75"/>
  <cols>
    <col min="1" max="1" width="34.28515625" customWidth="1"/>
    <col min="2" max="2" width="12.85546875" customWidth="1"/>
    <col min="3" max="3" width="5.28515625" customWidth="1"/>
  </cols>
  <sheetData>
    <row r="1" spans="1:3">
      <c r="A1" s="717" t="s">
        <v>1490</v>
      </c>
      <c r="B1" s="714"/>
      <c r="C1" s="714"/>
    </row>
    <row r="2" spans="1:3">
      <c r="A2" s="717" t="s">
        <v>1491</v>
      </c>
      <c r="B2" s="714"/>
      <c r="C2" s="714"/>
    </row>
    <row r="3" spans="1:3">
      <c r="A3" s="714"/>
      <c r="B3" s="714"/>
      <c r="C3" s="714"/>
    </row>
    <row r="4" spans="1:3">
      <c r="A4" s="717" t="s">
        <v>1492</v>
      </c>
      <c r="B4" s="714"/>
      <c r="C4" s="714"/>
    </row>
    <row r="5" spans="1:3" ht="13.5" thickBot="1"/>
    <row r="6" spans="1:3">
      <c r="A6" s="702" t="s">
        <v>1344</v>
      </c>
      <c r="B6" s="729">
        <v>1889770</v>
      </c>
      <c r="C6" s="718"/>
    </row>
    <row r="7" spans="1:3">
      <c r="A7" s="704"/>
      <c r="B7" s="719"/>
      <c r="C7" s="543"/>
    </row>
    <row r="8" spans="1:3">
      <c r="A8" s="704" t="s">
        <v>1493</v>
      </c>
      <c r="B8" s="727">
        <v>2419813</v>
      </c>
      <c r="C8" s="543"/>
    </row>
    <row r="9" spans="1:3">
      <c r="A9" s="704"/>
      <c r="B9" s="719"/>
      <c r="C9" s="543"/>
    </row>
    <row r="10" spans="1:3">
      <c r="A10" s="704" t="s">
        <v>1494</v>
      </c>
      <c r="B10" s="727">
        <v>628728</v>
      </c>
      <c r="C10" s="543"/>
    </row>
    <row r="11" spans="1:3">
      <c r="A11" s="704"/>
      <c r="B11" s="719"/>
      <c r="C11" s="543"/>
    </row>
    <row r="12" spans="1:3">
      <c r="A12" s="704" t="s">
        <v>1491</v>
      </c>
      <c r="B12" s="727">
        <v>93651000</v>
      </c>
      <c r="C12" s="543"/>
    </row>
    <row r="13" spans="1:3">
      <c r="A13" s="704" t="s">
        <v>1495</v>
      </c>
      <c r="B13" s="727">
        <v>15329006</v>
      </c>
      <c r="C13" s="543"/>
    </row>
    <row r="14" spans="1:3">
      <c r="A14" s="720" t="s">
        <v>1496</v>
      </c>
      <c r="B14" s="728">
        <v>3202625</v>
      </c>
      <c r="C14" s="543"/>
    </row>
    <row r="15" spans="1:3">
      <c r="A15" s="721" t="s">
        <v>1497</v>
      </c>
      <c r="B15" s="722">
        <f>SUM(B12:B14)</f>
        <v>112182631</v>
      </c>
      <c r="C15" s="543"/>
    </row>
    <row r="16" spans="1:3">
      <c r="A16" s="704"/>
      <c r="B16" s="719"/>
      <c r="C16" s="543"/>
    </row>
    <row r="17" spans="1:3">
      <c r="A17" s="704" t="s">
        <v>1323</v>
      </c>
      <c r="B17" s="727">
        <v>10000000</v>
      </c>
      <c r="C17" s="543"/>
    </row>
    <row r="18" spans="1:3">
      <c r="A18" s="704"/>
      <c r="B18" s="719"/>
      <c r="C18" s="543"/>
    </row>
    <row r="19" spans="1:3">
      <c r="A19" s="704" t="s">
        <v>1498</v>
      </c>
      <c r="B19" s="727">
        <v>1460086</v>
      </c>
      <c r="C19" s="543"/>
    </row>
    <row r="20" spans="1:3">
      <c r="A20" s="704"/>
      <c r="B20" s="719"/>
      <c r="C20" s="543"/>
    </row>
    <row r="21" spans="1:3">
      <c r="A21" s="720" t="s">
        <v>1499</v>
      </c>
      <c r="B21" s="728">
        <v>100000</v>
      </c>
      <c r="C21" s="543"/>
    </row>
    <row r="22" spans="1:3">
      <c r="A22" s="721" t="s">
        <v>1500</v>
      </c>
      <c r="B22" s="722">
        <f>B6+B8+B10+B15+B17+B19+B21</f>
        <v>128681028</v>
      </c>
      <c r="C22" s="543"/>
    </row>
    <row r="23" spans="1:3">
      <c r="A23" s="704"/>
      <c r="B23" s="719"/>
      <c r="C23" s="543"/>
    </row>
    <row r="24" spans="1:3">
      <c r="A24" s="720" t="s">
        <v>1501</v>
      </c>
      <c r="B24" s="728">
        <f>0.02*B22</f>
        <v>2573620.56</v>
      </c>
      <c r="C24" s="543"/>
    </row>
    <row r="25" spans="1:3">
      <c r="A25" s="721" t="s">
        <v>1502</v>
      </c>
      <c r="B25" s="722">
        <f>B22+B24</f>
        <v>131254648.56</v>
      </c>
      <c r="C25" s="543"/>
    </row>
    <row r="26" spans="1:3">
      <c r="A26" s="704"/>
      <c r="B26" s="719"/>
      <c r="C26" s="543"/>
    </row>
    <row r="27" spans="1:3">
      <c r="A27" s="704" t="s">
        <v>1503</v>
      </c>
      <c r="B27" s="727">
        <f>0.015*B25</f>
        <v>1968819.7283999999</v>
      </c>
      <c r="C27" s="543"/>
    </row>
    <row r="28" spans="1:3">
      <c r="A28" s="720" t="s">
        <v>1504</v>
      </c>
      <c r="B28" s="728">
        <f>0.03*B25</f>
        <v>3937639.4567999998</v>
      </c>
      <c r="C28" s="543"/>
    </row>
    <row r="29" spans="1:3">
      <c r="A29" s="721" t="s">
        <v>1505</v>
      </c>
      <c r="B29" s="722">
        <f>B25+B27+B28</f>
        <v>137161107.74520001</v>
      </c>
      <c r="C29" s="543"/>
    </row>
    <row r="30" spans="1:3">
      <c r="A30" s="704"/>
      <c r="B30" s="719"/>
      <c r="C30" s="543"/>
    </row>
    <row r="31" spans="1:3">
      <c r="A31" s="704" t="s">
        <v>1506</v>
      </c>
      <c r="B31" s="719">
        <f>B29/6</f>
        <v>22860184.624200001</v>
      </c>
      <c r="C31" s="543"/>
    </row>
    <row r="32" spans="1:3">
      <c r="A32" s="704"/>
      <c r="B32" s="285"/>
      <c r="C32" s="543"/>
    </row>
    <row r="33" spans="1:3">
      <c r="A33" s="704" t="s">
        <v>1507</v>
      </c>
      <c r="B33" s="723">
        <f>B28/(B25-B12)</f>
        <v>0.10471429256438088</v>
      </c>
      <c r="C33" s="543"/>
    </row>
    <row r="34" spans="1:3">
      <c r="A34" s="704"/>
      <c r="B34" s="285"/>
      <c r="C34" s="543"/>
    </row>
    <row r="35" spans="1:3">
      <c r="A35" s="704" t="s">
        <v>1508</v>
      </c>
      <c r="B35" s="285">
        <v>277</v>
      </c>
      <c r="C35" s="543" t="s">
        <v>1509</v>
      </c>
    </row>
    <row r="36" spans="1:3">
      <c r="A36" s="704"/>
      <c r="B36" s="285"/>
      <c r="C36" s="543"/>
    </row>
    <row r="37" spans="1:3" ht="13.5" thickBot="1">
      <c r="A37" s="724" t="s">
        <v>1510</v>
      </c>
      <c r="B37" s="725">
        <f>B29/(B35*1000)</f>
        <v>495.16645395379066</v>
      </c>
      <c r="C37" s="726" t="s">
        <v>1511</v>
      </c>
    </row>
  </sheetData>
  <printOptions horizontalCentered="1"/>
  <pageMargins left="0.75" right="0.75" top="1" bottom="1" header="0.5" footer="0.5"/>
  <pageSetup orientation="portrait" r:id="rId1"/>
  <headerFooter alignWithMargins="0">
    <oddFooter>&amp;L&amp;F&amp;C&amp;D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showGridLines="0" zoomScale="75" workbookViewId="0">
      <selection activeCell="N11" sqref="N11"/>
    </sheetView>
  </sheetViews>
  <sheetFormatPr defaultRowHeight="12.75"/>
  <cols>
    <col min="7" max="7" width="14.140625" bestFit="1" customWidth="1"/>
  </cols>
  <sheetData>
    <row r="1" spans="1:12" ht="15.75">
      <c r="A1" s="730" t="s">
        <v>1514</v>
      </c>
      <c r="B1" s="730"/>
      <c r="C1" s="730"/>
      <c r="D1" s="730"/>
      <c r="E1" s="730"/>
      <c r="F1" s="730"/>
      <c r="G1" s="730"/>
      <c r="H1" s="730"/>
      <c r="I1" s="730"/>
      <c r="J1" s="730"/>
      <c r="K1" s="730"/>
      <c r="L1" s="730"/>
    </row>
    <row r="2" spans="1:12" ht="15.75">
      <c r="A2" s="731" t="s">
        <v>1515</v>
      </c>
      <c r="B2" s="731"/>
      <c r="C2" s="731"/>
      <c r="D2" s="731"/>
      <c r="E2" s="731"/>
      <c r="F2" s="731"/>
      <c r="G2" s="731"/>
      <c r="H2" s="731"/>
      <c r="I2" s="731"/>
      <c r="J2" s="731"/>
      <c r="K2" s="731"/>
      <c r="L2" s="731"/>
    </row>
    <row r="5" spans="1:12">
      <c r="A5" s="622" t="s">
        <v>1516</v>
      </c>
      <c r="D5" t="s">
        <v>1517</v>
      </c>
    </row>
    <row r="6" spans="1:12">
      <c r="D6" t="s">
        <v>1518</v>
      </c>
    </row>
    <row r="8" spans="1:12">
      <c r="A8" s="346" t="s">
        <v>1519</v>
      </c>
      <c r="D8" t="s">
        <v>1520</v>
      </c>
    </row>
    <row r="9" spans="1:12">
      <c r="A9" s="346"/>
    </row>
    <row r="10" spans="1:12">
      <c r="A10" s="622" t="s">
        <v>1521</v>
      </c>
      <c r="D10" t="s">
        <v>1522</v>
      </c>
    </row>
    <row r="12" spans="1:12">
      <c r="A12" s="346" t="s">
        <v>1523</v>
      </c>
      <c r="D12" s="732">
        <f>6*46.7</f>
        <v>280.20000000000005</v>
      </c>
      <c r="E12" t="s">
        <v>1524</v>
      </c>
    </row>
    <row r="14" spans="1:12">
      <c r="A14" s="346" t="s">
        <v>1525</v>
      </c>
      <c r="D14" t="s">
        <v>1526</v>
      </c>
    </row>
    <row r="15" spans="1:12">
      <c r="A15" s="346"/>
      <c r="D15" t="s">
        <v>1527</v>
      </c>
    </row>
    <row r="16" spans="1:12">
      <c r="D16" t="s">
        <v>1528</v>
      </c>
    </row>
    <row r="17" spans="1:4">
      <c r="D17" t="s">
        <v>1529</v>
      </c>
    </row>
    <row r="18" spans="1:4" ht="15" customHeight="1">
      <c r="D18" t="s">
        <v>1530</v>
      </c>
    </row>
    <row r="19" spans="1:4" ht="15" customHeight="1">
      <c r="D19" t="s">
        <v>1531</v>
      </c>
    </row>
    <row r="20" spans="1:4" ht="15" customHeight="1">
      <c r="D20" t="s">
        <v>1532</v>
      </c>
    </row>
    <row r="21" spans="1:4">
      <c r="D21" t="s">
        <v>1533</v>
      </c>
    </row>
    <row r="22" spans="1:4">
      <c r="D22" t="s">
        <v>1534</v>
      </c>
    </row>
    <row r="23" spans="1:4">
      <c r="D23" t="s">
        <v>1535</v>
      </c>
    </row>
    <row r="24" spans="1:4">
      <c r="D24" t="s">
        <v>1536</v>
      </c>
    </row>
    <row r="25" spans="1:4">
      <c r="D25" t="s">
        <v>1537</v>
      </c>
    </row>
    <row r="26" spans="1:4">
      <c r="D26" t="s">
        <v>1538</v>
      </c>
    </row>
    <row r="27" spans="1:4">
      <c r="D27" t="s">
        <v>1539</v>
      </c>
    </row>
    <row r="28" spans="1:4">
      <c r="D28" t="s">
        <v>1540</v>
      </c>
    </row>
    <row r="30" spans="1:4">
      <c r="A30" s="622" t="s">
        <v>1541</v>
      </c>
      <c r="D30" t="s">
        <v>1542</v>
      </c>
    </row>
    <row r="31" spans="1:4">
      <c r="A31" s="622"/>
      <c r="D31" t="s">
        <v>1543</v>
      </c>
    </row>
    <row r="32" spans="1:4">
      <c r="A32" s="622"/>
      <c r="D32" t="s">
        <v>1544</v>
      </c>
    </row>
    <row r="33" spans="1:7">
      <c r="D33" t="s">
        <v>1545</v>
      </c>
    </row>
    <row r="34" spans="1:7">
      <c r="D34" t="s">
        <v>1546</v>
      </c>
    </row>
    <row r="36" spans="1:7">
      <c r="A36" s="346" t="s">
        <v>1547</v>
      </c>
      <c r="D36" s="733" t="s">
        <v>1548</v>
      </c>
    </row>
    <row r="37" spans="1:7">
      <c r="D37" t="s">
        <v>1549</v>
      </c>
    </row>
    <row r="39" spans="1:7">
      <c r="A39" s="346" t="s">
        <v>1550</v>
      </c>
      <c r="D39" s="733" t="s">
        <v>1551</v>
      </c>
    </row>
    <row r="40" spans="1:7">
      <c r="D40" t="s">
        <v>1552</v>
      </c>
    </row>
    <row r="41" spans="1:7">
      <c r="D41" t="s">
        <v>1553</v>
      </c>
    </row>
    <row r="43" spans="1:7">
      <c r="A43" s="346" t="s">
        <v>1554</v>
      </c>
      <c r="D43" t="s">
        <v>1555</v>
      </c>
    </row>
    <row r="44" spans="1:7">
      <c r="D44" t="s">
        <v>1556</v>
      </c>
    </row>
    <row r="46" spans="1:7">
      <c r="A46" s="346" t="s">
        <v>1557</v>
      </c>
      <c r="D46" t="s">
        <v>1558</v>
      </c>
      <c r="G46" s="734">
        <v>36739</v>
      </c>
    </row>
    <row r="47" spans="1:7">
      <c r="D47" t="s">
        <v>1559</v>
      </c>
      <c r="G47" s="734">
        <v>37043</v>
      </c>
    </row>
    <row r="48" spans="1:7" hidden="1">
      <c r="A48" s="346" t="s">
        <v>1560</v>
      </c>
      <c r="D48" t="s">
        <v>1561</v>
      </c>
    </row>
    <row r="49" spans="1:4" hidden="1"/>
    <row r="50" spans="1:4" ht="12" hidden="1" customHeight="1">
      <c r="A50" s="346" t="s">
        <v>1562</v>
      </c>
      <c r="D50" t="s">
        <v>1563</v>
      </c>
    </row>
    <row r="51" spans="1:4" hidden="1">
      <c r="A51" s="622" t="s">
        <v>1564</v>
      </c>
      <c r="D51" t="s">
        <v>1561</v>
      </c>
    </row>
    <row r="52" spans="1:4" hidden="1"/>
  </sheetData>
  <printOptions horizontalCentered="1"/>
  <pageMargins left="0.75" right="0.75" top="1" bottom="1" header="0.5" footer="0.5"/>
  <pageSetup scale="79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06"/>
  <sheetViews>
    <sheetView zoomScale="80" workbookViewId="0">
      <selection activeCell="E21" sqref="E21"/>
    </sheetView>
  </sheetViews>
  <sheetFormatPr defaultRowHeight="12.75"/>
  <cols>
    <col min="1" max="1" width="4.7109375" style="816" customWidth="1"/>
    <col min="2" max="2" width="46.28515625" style="816" customWidth="1"/>
    <col min="3" max="3" width="9.140625" style="816"/>
    <col min="4" max="4" width="3.28515625" style="816" customWidth="1"/>
    <col min="5" max="5" width="11.140625" style="816" customWidth="1"/>
    <col min="6" max="8" width="11.28515625" style="816" customWidth="1"/>
    <col min="9" max="9" width="17.140625" style="816" bestFit="1" customWidth="1"/>
    <col min="10" max="10" width="14.42578125" style="816" bestFit="1" customWidth="1"/>
    <col min="11" max="11" width="14.85546875" style="816" bestFit="1" customWidth="1"/>
    <col min="12" max="12" width="14.42578125" style="816" bestFit="1" customWidth="1"/>
    <col min="13" max="13" width="9.140625" style="816"/>
    <col min="14" max="16384" width="9.140625" style="817"/>
  </cols>
  <sheetData>
    <row r="1" spans="1:13" s="755" customFormat="1" ht="15.75">
      <c r="A1" s="1167" t="str">
        <f>Scope!A1</f>
        <v>Plano, Illinois 6 x LM6000 Power Project, Rev 0</v>
      </c>
      <c r="B1" s="1167"/>
      <c r="C1" s="1167"/>
      <c r="D1" s="1167"/>
      <c r="E1" s="1167"/>
      <c r="F1" s="1167"/>
      <c r="G1" s="1167"/>
      <c r="H1" s="1167"/>
      <c r="I1" s="1167"/>
    </row>
    <row r="2" spans="1:13" s="755" customFormat="1" ht="15.75">
      <c r="A2" s="1167" t="s">
        <v>1619</v>
      </c>
      <c r="B2" s="1167"/>
      <c r="C2" s="1167"/>
      <c r="D2" s="1167"/>
      <c r="E2" s="1167"/>
      <c r="F2" s="1167"/>
      <c r="G2" s="1167"/>
      <c r="H2" s="1167"/>
      <c r="I2" s="1167"/>
    </row>
    <row r="3" spans="1:13" s="755" customFormat="1" ht="15.75">
      <c r="A3" s="1167" t="s">
        <v>1620</v>
      </c>
      <c r="B3" s="1167"/>
      <c r="C3" s="1167"/>
      <c r="D3" s="1167"/>
      <c r="E3" s="1167"/>
      <c r="F3" s="1167"/>
      <c r="G3" s="1167"/>
      <c r="H3" s="1167"/>
      <c r="I3" s="1167"/>
    </row>
    <row r="4" spans="1:13" s="755" customFormat="1" ht="15.75">
      <c r="A4" s="730"/>
      <c r="B4" s="730"/>
      <c r="C4" s="730"/>
      <c r="D4" s="730"/>
      <c r="E4" s="730"/>
      <c r="F4" s="730"/>
      <c r="G4" s="730"/>
      <c r="H4" s="730"/>
    </row>
    <row r="5" spans="1:13" s="755" customFormat="1" ht="16.5" thickBot="1">
      <c r="A5" s="756" t="s">
        <v>1621</v>
      </c>
      <c r="E5" s="757"/>
    </row>
    <row r="6" spans="1:13" s="755" customFormat="1" ht="13.5" thickBot="1">
      <c r="B6" s="758"/>
      <c r="C6" s="759"/>
      <c r="D6" s="758"/>
      <c r="E6" s="760" t="s">
        <v>1622</v>
      </c>
      <c r="F6" s="758"/>
      <c r="G6" s="760" t="s">
        <v>1623</v>
      </c>
    </row>
    <row r="7" spans="1:13" s="755" customFormat="1">
      <c r="A7" s="761" t="s">
        <v>1624</v>
      </c>
      <c r="B7" s="762"/>
      <c r="C7" s="763"/>
      <c r="D7" s="762"/>
      <c r="E7" s="764"/>
      <c r="F7" s="753"/>
      <c r="G7" s="764"/>
      <c r="H7" s="753"/>
      <c r="I7" s="753"/>
      <c r="J7" s="753"/>
    </row>
    <row r="8" spans="1:13" s="755" customFormat="1">
      <c r="A8" s="761"/>
      <c r="B8" s="762" t="s">
        <v>1625</v>
      </c>
      <c r="C8" s="762"/>
      <c r="D8" s="762"/>
      <c r="E8" s="765">
        <f>Mob_Estimate!D6</f>
        <v>20400.267076923075</v>
      </c>
      <c r="F8" s="766"/>
      <c r="G8" s="765"/>
      <c r="H8" s="753"/>
      <c r="I8" s="753"/>
      <c r="J8" s="753"/>
    </row>
    <row r="9" spans="1:13" s="755" customFormat="1">
      <c r="A9" s="761"/>
      <c r="B9" s="762" t="s">
        <v>1626</v>
      </c>
      <c r="C9" s="762"/>
      <c r="D9" s="762"/>
      <c r="E9" s="765">
        <f>Mob_Estimate!D8</f>
        <v>206512.06259999998</v>
      </c>
      <c r="F9" s="766"/>
      <c r="G9" s="765"/>
      <c r="H9" s="753"/>
      <c r="I9" s="753"/>
      <c r="J9" s="753"/>
    </row>
    <row r="10" spans="1:13" s="755" customFormat="1">
      <c r="A10" s="753"/>
      <c r="B10" s="762" t="s">
        <v>1627</v>
      </c>
      <c r="C10" s="762"/>
      <c r="D10" s="762"/>
      <c r="E10" s="765">
        <f ca="1">Mob_Estimate!D24</f>
        <v>259050.90570972618</v>
      </c>
      <c r="F10" s="766"/>
      <c r="G10" s="765"/>
      <c r="H10" s="753"/>
      <c r="I10" s="753"/>
      <c r="J10" s="753"/>
    </row>
    <row r="11" spans="1:13" s="755" customFormat="1">
      <c r="A11" s="753"/>
      <c r="B11" s="762" t="s">
        <v>1628</v>
      </c>
      <c r="C11" s="762"/>
      <c r="D11" s="762"/>
      <c r="E11" s="765">
        <f>Mob_Estimate!D36</f>
        <v>224790.25</v>
      </c>
      <c r="F11" s="766"/>
      <c r="G11" s="765"/>
      <c r="H11" s="753"/>
      <c r="I11" s="753"/>
      <c r="J11" s="753"/>
    </row>
    <row r="12" spans="1:13" s="755" customFormat="1">
      <c r="A12" s="753"/>
      <c r="B12" s="762"/>
      <c r="C12" s="762"/>
      <c r="D12" s="762"/>
      <c r="E12" s="765"/>
      <c r="F12" s="766"/>
      <c r="G12" s="765"/>
      <c r="H12" s="753"/>
      <c r="I12" s="753"/>
      <c r="J12" s="753"/>
    </row>
    <row r="13" spans="1:13" s="755" customFormat="1" ht="13.5" thickBot="1">
      <c r="A13" s="753"/>
      <c r="B13" s="767" t="s">
        <v>1629</v>
      </c>
      <c r="C13" s="762"/>
      <c r="D13" s="762"/>
      <c r="E13" s="768">
        <f ca="1">SUBTOTAL(9,E7:E11)</f>
        <v>710753.48538664926</v>
      </c>
      <c r="F13" s="766"/>
      <c r="G13" s="769">
        <f ca="1">E13/280000</f>
        <v>2.538405304952319</v>
      </c>
      <c r="H13" s="753"/>
      <c r="I13" s="753"/>
      <c r="J13" s="753"/>
    </row>
    <row r="14" spans="1:13" s="755" customFormat="1" ht="13.5" thickBot="1">
      <c r="A14" s="753"/>
      <c r="B14" s="767"/>
      <c r="C14" s="767"/>
      <c r="D14" s="767"/>
      <c r="E14" s="770"/>
      <c r="F14" s="771"/>
      <c r="G14" s="770"/>
      <c r="H14" s="758"/>
      <c r="I14" s="753"/>
      <c r="J14" s="753"/>
      <c r="K14" s="753"/>
      <c r="L14" s="753"/>
      <c r="M14" s="753"/>
    </row>
    <row r="15" spans="1:13" s="755" customFormat="1" hidden="1">
      <c r="A15" s="753"/>
      <c r="B15" s="761" t="s">
        <v>1630</v>
      </c>
      <c r="C15" s="767"/>
      <c r="D15" s="767"/>
      <c r="E15" s="772" t="s">
        <v>1631</v>
      </c>
      <c r="F15" s="771"/>
      <c r="G15" s="772"/>
      <c r="H15" s="758"/>
      <c r="I15" s="753"/>
      <c r="J15" s="753"/>
      <c r="K15" s="753"/>
      <c r="L15" s="753"/>
      <c r="M15" s="753"/>
    </row>
    <row r="16" spans="1:13" s="755" customFormat="1" ht="13.5" hidden="1" thickBot="1">
      <c r="A16" s="753"/>
      <c r="B16" s="761"/>
      <c r="C16" s="767"/>
      <c r="D16" s="767"/>
      <c r="E16" s="773"/>
      <c r="F16" s="771"/>
      <c r="G16" s="773"/>
      <c r="H16" s="758"/>
      <c r="I16" s="753"/>
      <c r="J16" s="753"/>
      <c r="K16" s="753"/>
      <c r="L16" s="753"/>
      <c r="M16" s="753"/>
    </row>
    <row r="17" spans="1:13" s="755" customFormat="1" hidden="1">
      <c r="A17" s="753"/>
      <c r="B17" s="761" t="s">
        <v>1632</v>
      </c>
      <c r="C17" s="767"/>
      <c r="D17" s="767"/>
      <c r="E17" s="772" t="s">
        <v>1631</v>
      </c>
      <c r="F17" s="771"/>
      <c r="G17" s="772"/>
      <c r="H17" s="758"/>
      <c r="I17" s="753"/>
      <c r="J17" s="753"/>
      <c r="K17" s="753"/>
      <c r="L17" s="753"/>
      <c r="M17" s="753"/>
    </row>
    <row r="18" spans="1:13" s="755" customFormat="1" hidden="1">
      <c r="A18" s="753"/>
      <c r="B18" s="761"/>
      <c r="C18" s="767"/>
      <c r="D18" s="767"/>
      <c r="E18" s="773"/>
      <c r="F18" s="771"/>
      <c r="G18" s="773"/>
      <c r="H18" s="758"/>
      <c r="I18" s="753"/>
      <c r="J18" s="753"/>
      <c r="K18" s="753"/>
      <c r="L18" s="753"/>
      <c r="M18" s="753"/>
    </row>
    <row r="19" spans="1:13" s="755" customFormat="1" ht="13.5" hidden="1" thickBot="1">
      <c r="A19" s="753"/>
      <c r="B19" s="761" t="s">
        <v>1633</v>
      </c>
      <c r="C19" s="767"/>
      <c r="D19" s="767"/>
      <c r="E19" s="774" t="str">
        <f>Mob_Estimate!D45</f>
        <v>NA</v>
      </c>
      <c r="F19" s="771"/>
      <c r="G19" s="774"/>
      <c r="H19" s="758"/>
      <c r="I19" s="753"/>
      <c r="J19" s="753"/>
      <c r="K19" s="753"/>
      <c r="L19" s="753"/>
      <c r="M19" s="753"/>
    </row>
    <row r="20" spans="1:13" s="755" customFormat="1" ht="13.5" hidden="1" thickBot="1">
      <c r="A20" s="753"/>
      <c r="B20" s="761"/>
      <c r="C20" s="767"/>
      <c r="D20" s="767"/>
      <c r="E20" s="775"/>
      <c r="F20" s="771"/>
      <c r="G20" s="775"/>
      <c r="H20" s="758"/>
      <c r="I20" s="753"/>
      <c r="J20" s="753"/>
      <c r="K20" s="753"/>
      <c r="L20" s="753"/>
      <c r="M20" s="753"/>
    </row>
    <row r="21" spans="1:13" s="755" customFormat="1" ht="13.5" thickBot="1">
      <c r="A21" s="753"/>
      <c r="B21" s="767" t="s">
        <v>1634</v>
      </c>
      <c r="C21" s="776"/>
      <c r="D21" s="767"/>
      <c r="E21" s="777">
        <f>Mob_Estimate!D47</f>
        <v>1341562.5</v>
      </c>
      <c r="F21" s="771"/>
      <c r="G21" s="778">
        <f>E21/280000</f>
        <v>4.7912946428571432</v>
      </c>
      <c r="K21" s="753"/>
      <c r="L21" s="753"/>
      <c r="M21" s="753"/>
    </row>
    <row r="22" spans="1:13" s="755" customFormat="1" ht="13.5" thickBot="1">
      <c r="A22" s="753"/>
      <c r="E22" s="757"/>
      <c r="F22" s="771"/>
      <c r="G22" s="757"/>
      <c r="K22" s="753"/>
      <c r="L22" s="753"/>
      <c r="M22" s="753"/>
    </row>
    <row r="23" spans="1:13" s="755" customFormat="1" ht="13.5" thickBot="1">
      <c r="A23" s="753"/>
      <c r="B23" s="761" t="s">
        <v>1635</v>
      </c>
      <c r="C23" s="767"/>
      <c r="D23" s="767"/>
      <c r="E23" s="779">
        <f>Mob_Estimate!D50</f>
        <v>250000</v>
      </c>
      <c r="F23" s="771"/>
      <c r="G23" s="780">
        <f>E23/280000</f>
        <v>0.8928571428571429</v>
      </c>
      <c r="H23" s="758"/>
      <c r="I23" s="753"/>
      <c r="J23" s="753"/>
      <c r="K23" s="753"/>
      <c r="L23" s="753"/>
      <c r="M23" s="753"/>
    </row>
    <row r="24" spans="1:13" s="755" customFormat="1" ht="13.5" hidden="1" thickBot="1">
      <c r="A24" s="753"/>
      <c r="B24" s="767" t="s">
        <v>1636</v>
      </c>
      <c r="C24" s="767"/>
      <c r="D24" s="767"/>
      <c r="E24" s="781"/>
      <c r="F24" s="771"/>
      <c r="G24" s="781"/>
      <c r="H24" s="758"/>
      <c r="I24" s="753"/>
      <c r="J24" s="753"/>
      <c r="K24" s="753"/>
      <c r="L24" s="753"/>
      <c r="M24" s="753"/>
    </row>
    <row r="25" spans="1:13" s="755" customFormat="1" ht="13.5" thickBot="1">
      <c r="A25" s="753"/>
      <c r="B25" s="767"/>
      <c r="C25" s="767"/>
      <c r="D25" s="767"/>
      <c r="E25" s="782"/>
      <c r="F25" s="771"/>
      <c r="G25" s="782"/>
      <c r="H25" s="758"/>
      <c r="I25" s="753"/>
      <c r="J25" s="753"/>
      <c r="K25" s="753"/>
      <c r="L25" s="753"/>
      <c r="M25" s="753"/>
    </row>
    <row r="26" spans="1:13" s="755" customFormat="1" ht="13.5" thickBot="1">
      <c r="A26" s="753"/>
      <c r="B26" s="767" t="s">
        <v>1637</v>
      </c>
      <c r="C26" s="767"/>
      <c r="D26" s="767"/>
      <c r="E26" s="777">
        <f ca="1">E13+E21+E23</f>
        <v>2302315.9853866491</v>
      </c>
      <c r="F26" s="771"/>
      <c r="G26" s="778">
        <f ca="1">SUM(G13:G23)</f>
        <v>8.222557090666605</v>
      </c>
      <c r="H26" s="783"/>
      <c r="I26" s="753"/>
      <c r="J26" s="753"/>
      <c r="K26" s="753"/>
      <c r="L26" s="753"/>
      <c r="M26" s="753"/>
    </row>
    <row r="27" spans="1:13" s="755" customFormat="1">
      <c r="A27" s="753"/>
      <c r="B27" s="767"/>
      <c r="C27" s="776"/>
      <c r="D27" s="767"/>
      <c r="E27" s="771"/>
      <c r="F27" s="771"/>
      <c r="G27" s="758"/>
      <c r="H27" s="758"/>
      <c r="I27" s="753"/>
      <c r="J27" s="753"/>
      <c r="K27" s="753"/>
      <c r="L27" s="753"/>
      <c r="M27" s="753"/>
    </row>
    <row r="28" spans="1:13" s="755" customFormat="1" ht="16.5" thickBot="1">
      <c r="A28" s="756" t="s">
        <v>1638</v>
      </c>
      <c r="B28" s="767"/>
      <c r="C28" s="767"/>
      <c r="D28" s="767"/>
      <c r="E28" s="770"/>
      <c r="F28" s="771"/>
      <c r="G28" s="758"/>
      <c r="H28" s="758"/>
      <c r="I28" s="753"/>
      <c r="J28" s="753"/>
      <c r="K28" s="753"/>
      <c r="L28" s="753"/>
      <c r="M28" s="753"/>
    </row>
    <row r="29" spans="1:13" s="755" customFormat="1">
      <c r="A29" s="753"/>
      <c r="B29" s="762"/>
      <c r="C29" s="762"/>
      <c r="D29" s="762"/>
      <c r="E29" s="784"/>
      <c r="F29" s="785"/>
      <c r="G29" s="786" t="s">
        <v>1639</v>
      </c>
      <c r="H29" s="786" t="s">
        <v>1640</v>
      </c>
      <c r="I29" s="1165" t="s">
        <v>1639</v>
      </c>
      <c r="J29" s="1166"/>
      <c r="K29" s="1165" t="s">
        <v>1640</v>
      </c>
      <c r="L29" s="1166"/>
    </row>
    <row r="30" spans="1:13" s="755" customFormat="1" ht="13.5" thickBot="1">
      <c r="A30" s="753"/>
      <c r="B30" s="762"/>
      <c r="C30" s="762"/>
      <c r="D30" s="762"/>
      <c r="E30" s="787" t="s">
        <v>1641</v>
      </c>
      <c r="F30" s="788" t="s">
        <v>1642</v>
      </c>
      <c r="G30" s="789" t="s">
        <v>1643</v>
      </c>
      <c r="H30" s="789" t="s">
        <v>1643</v>
      </c>
      <c r="I30" s="790" t="s">
        <v>1644</v>
      </c>
      <c r="J30" s="791" t="s">
        <v>1645</v>
      </c>
      <c r="K30" s="790" t="s">
        <v>1644</v>
      </c>
      <c r="L30" s="791" t="s">
        <v>1645</v>
      </c>
    </row>
    <row r="31" spans="1:13" s="755" customFormat="1">
      <c r="A31" s="761" t="s">
        <v>1646</v>
      </c>
      <c r="B31" s="762"/>
      <c r="C31" s="763"/>
      <c r="D31" s="762"/>
      <c r="E31" s="785"/>
      <c r="F31" s="785"/>
      <c r="G31" s="785"/>
      <c r="H31" s="784"/>
      <c r="I31" s="792"/>
      <c r="J31" s="793"/>
      <c r="K31" s="792"/>
      <c r="L31" s="793"/>
    </row>
    <row r="32" spans="1:13" s="755" customFormat="1">
      <c r="A32" s="753"/>
      <c r="B32" s="762" t="s">
        <v>1207</v>
      </c>
      <c r="C32" s="762"/>
      <c r="D32" s="762"/>
      <c r="E32" s="765">
        <f>'O&amp;M_Estimate'!D8</f>
        <v>723989.44980000006</v>
      </c>
      <c r="F32" s="765">
        <f>'O&amp;M_Estimate'!E8</f>
        <v>723989.44980000006</v>
      </c>
      <c r="G32" s="765">
        <f>'O&amp;M_Estimate'!F8</f>
        <v>723989.44980000006</v>
      </c>
      <c r="H32" s="794">
        <f>'O&amp;M_Estimate'!G8</f>
        <v>723989.44980000006</v>
      </c>
      <c r="I32" s="795">
        <f>G32/280000</f>
        <v>2.5856766064285717</v>
      </c>
      <c r="J32" s="796"/>
      <c r="K32" s="795">
        <f>H32/280000</f>
        <v>2.5856766064285717</v>
      </c>
      <c r="L32" s="796"/>
    </row>
    <row r="33" spans="1:12" s="755" customFormat="1">
      <c r="A33" s="753"/>
      <c r="B33" s="762" t="s">
        <v>1647</v>
      </c>
      <c r="C33" s="762"/>
      <c r="D33" s="762"/>
      <c r="E33" s="765">
        <f ca="1">'O&amp;M_Estimate'!D22</f>
        <v>250686.77600983263</v>
      </c>
      <c r="F33" s="765">
        <f ca="1">'O&amp;M_Estimate'!E22</f>
        <v>235436.77600983263</v>
      </c>
      <c r="G33" s="765">
        <f ca="1">'O&amp;M_Estimate'!F22</f>
        <v>240520.10934316597</v>
      </c>
      <c r="H33" s="794">
        <f ca="1">'O&amp;M_Estimate'!G22</f>
        <v>236199.27600983263</v>
      </c>
      <c r="I33" s="795">
        <f ca="1">G33/280000</f>
        <v>0.85900039051130705</v>
      </c>
      <c r="J33" s="796"/>
      <c r="K33" s="795">
        <f ca="1">H33/280000</f>
        <v>0.84356884289225942</v>
      </c>
      <c r="L33" s="796"/>
    </row>
    <row r="34" spans="1:12" s="755" customFormat="1" hidden="1">
      <c r="A34" s="753"/>
      <c r="B34" s="762" t="s">
        <v>1648</v>
      </c>
      <c r="C34" s="762"/>
      <c r="D34" s="762"/>
      <c r="E34" s="765">
        <f>'O&amp;M_Estimate'!D24</f>
        <v>0</v>
      </c>
      <c r="F34" s="765">
        <f>'O&amp;M_Estimate'!E24</f>
        <v>0</v>
      </c>
      <c r="G34" s="765">
        <f>'O&amp;M_Estimate'!F24</f>
        <v>0</v>
      </c>
      <c r="H34" s="765">
        <f>'O&amp;M_Estimate'!G24</f>
        <v>0</v>
      </c>
      <c r="I34" s="795"/>
      <c r="J34" s="797">
        <f>G34/180/1300</f>
        <v>0</v>
      </c>
      <c r="K34" s="795"/>
      <c r="L34" s="797">
        <f>H34/180/1300</f>
        <v>0</v>
      </c>
    </row>
    <row r="35" spans="1:12" s="755" customFormat="1">
      <c r="A35" s="753"/>
      <c r="B35" s="762" t="s">
        <v>1649</v>
      </c>
      <c r="C35" s="762"/>
      <c r="D35" s="762"/>
      <c r="E35" s="765">
        <f>'O&amp;M_Estimate'!D25</f>
        <v>108279.9</v>
      </c>
      <c r="F35" s="765">
        <f>'O&amp;M_Estimate'!E25</f>
        <v>108279.9</v>
      </c>
      <c r="G35" s="765">
        <f>'O&amp;M_Estimate'!F25</f>
        <v>108279.89999999998</v>
      </c>
      <c r="H35" s="794">
        <f>'O&amp;M_Estimate'!G25</f>
        <v>108279.9</v>
      </c>
      <c r="I35" s="798"/>
      <c r="J35" s="797">
        <f>G35/280/1800</f>
        <v>0.21484107142857137</v>
      </c>
      <c r="K35" s="798"/>
      <c r="L35" s="797">
        <f>H35/280/1800</f>
        <v>0.21484107142857142</v>
      </c>
    </row>
    <row r="36" spans="1:12" s="755" customFormat="1" hidden="1">
      <c r="A36" s="753"/>
      <c r="B36" s="762" t="s">
        <v>1650</v>
      </c>
      <c r="C36" s="762"/>
      <c r="D36" s="762"/>
      <c r="E36" s="765">
        <f>'O&amp;M_Estimate'!D26</f>
        <v>0</v>
      </c>
      <c r="F36" s="765">
        <f>'O&amp;M_Estimate'!E26</f>
        <v>0</v>
      </c>
      <c r="G36" s="765">
        <f>'O&amp;M_Estimate'!F26</f>
        <v>0</v>
      </c>
      <c r="H36" s="794">
        <f>'O&amp;M_Estimate'!G26</f>
        <v>0</v>
      </c>
      <c r="I36" s="798"/>
      <c r="J36" s="797">
        <f>G36/180/1300</f>
        <v>0</v>
      </c>
      <c r="K36" s="798"/>
      <c r="L36" s="797">
        <f>H36/180/1300</f>
        <v>0</v>
      </c>
    </row>
    <row r="37" spans="1:12" s="755" customFormat="1">
      <c r="A37" s="753"/>
      <c r="B37" s="762" t="s">
        <v>1651</v>
      </c>
      <c r="C37" s="762"/>
      <c r="D37" s="762"/>
      <c r="E37" s="765">
        <f>'O&amp;M_Estimate'!D41</f>
        <v>422527.87260048394</v>
      </c>
      <c r="F37" s="765">
        <f>'O&amp;M_Estimate'!E41</f>
        <v>750231.8297207813</v>
      </c>
      <c r="G37" s="765">
        <f>'O&amp;M_Estimate'!F41</f>
        <v>640997.17734734889</v>
      </c>
      <c r="H37" s="794">
        <f>'O&amp;M_Estimate'!G41</f>
        <v>733846.63186476636</v>
      </c>
      <c r="I37" s="795">
        <f>G37/280000*0.75</f>
        <v>1.7169567250375417</v>
      </c>
      <c r="J37" s="797">
        <f>G37*0.25/280/1800</f>
        <v>0.31795494908102628</v>
      </c>
      <c r="K37" s="795">
        <f>H37/280000*0.75</f>
        <v>1.9656606210663385</v>
      </c>
      <c r="L37" s="797">
        <f>H37*0.25/280/1800</f>
        <v>0.36401122612339604</v>
      </c>
    </row>
    <row r="38" spans="1:12" s="755" customFormat="1">
      <c r="A38" s="753"/>
      <c r="B38" s="762" t="s">
        <v>1652</v>
      </c>
      <c r="C38" s="762"/>
      <c r="D38" s="762"/>
      <c r="E38" s="765">
        <f>'O&amp;M_Estimate'!D43</f>
        <v>22479.025000000001</v>
      </c>
      <c r="F38" s="765">
        <f>'O&amp;M_Estimate'!E43</f>
        <v>22479.025000000001</v>
      </c>
      <c r="G38" s="765">
        <f>'O&amp;M_Estimate'!F43</f>
        <v>22479.025000000005</v>
      </c>
      <c r="H38" s="794">
        <f>'O&amp;M_Estimate'!G43</f>
        <v>22479.025000000001</v>
      </c>
      <c r="I38" s="795">
        <f>G38/280000</f>
        <v>8.0282232142857166E-2</v>
      </c>
      <c r="J38" s="796"/>
      <c r="K38" s="795">
        <f>H38/280000</f>
        <v>8.0282232142857152E-2</v>
      </c>
      <c r="L38" s="796"/>
    </row>
    <row r="39" spans="1:12" s="755" customFormat="1" hidden="1">
      <c r="A39" s="753"/>
      <c r="B39" s="762" t="s">
        <v>1349</v>
      </c>
      <c r="C39" s="762"/>
      <c r="D39" s="762"/>
      <c r="E39" s="765">
        <f>'O&amp;M_Estimate'!D45</f>
        <v>0</v>
      </c>
      <c r="F39" s="765">
        <f>'O&amp;M_Estimate'!E45</f>
        <v>0</v>
      </c>
      <c r="G39" s="765">
        <f>'O&amp;M_Estimate'!F45</f>
        <v>0</v>
      </c>
      <c r="H39" s="765">
        <f>'O&amp;M_Estimate'!G45</f>
        <v>0</v>
      </c>
      <c r="I39" s="795">
        <f>G39/180000</f>
        <v>0</v>
      </c>
      <c r="J39" s="796"/>
      <c r="K39" s="795">
        <f>H39/180000</f>
        <v>0</v>
      </c>
      <c r="L39" s="796"/>
    </row>
    <row r="40" spans="1:12" s="755" customFormat="1">
      <c r="A40" s="753"/>
      <c r="B40" s="762"/>
      <c r="C40" s="762"/>
      <c r="D40" s="762"/>
      <c r="E40" s="765"/>
      <c r="F40" s="765"/>
      <c r="G40" s="765"/>
      <c r="H40" s="794"/>
      <c r="I40" s="799"/>
      <c r="J40" s="796"/>
      <c r="K40" s="799"/>
      <c r="L40" s="796"/>
    </row>
    <row r="41" spans="1:12" s="755" customFormat="1" ht="13.5" thickBot="1">
      <c r="A41" s="753"/>
      <c r="B41" s="767" t="s">
        <v>1653</v>
      </c>
      <c r="C41" s="762"/>
      <c r="D41" s="762"/>
      <c r="E41" s="768">
        <f ca="1">SUM(E32:E40)</f>
        <v>1527963.0234103166</v>
      </c>
      <c r="F41" s="768">
        <f ca="1">SUM(F32:F40)</f>
        <v>1840416.980530614</v>
      </c>
      <c r="G41" s="768">
        <f ca="1">SUM(G32:G40)</f>
        <v>1736265.6614905149</v>
      </c>
      <c r="H41" s="768">
        <f ca="1">SUM(H32:H38)</f>
        <v>1824794.282674599</v>
      </c>
      <c r="I41" s="800">
        <f ca="1">SUM(I32:I39)</f>
        <v>5.2419159541202776</v>
      </c>
      <c r="J41" s="801">
        <f>SUM(J32:J38)</f>
        <v>0.53279602050959762</v>
      </c>
      <c r="K41" s="800">
        <f ca="1">SUM(K32:K39)</f>
        <v>5.475188302530027</v>
      </c>
      <c r="L41" s="801">
        <f>SUM(L32:L38)</f>
        <v>0.57885229755196743</v>
      </c>
    </row>
    <row r="42" spans="1:12" s="755" customFormat="1" ht="13.5" thickBot="1">
      <c r="A42" s="753"/>
      <c r="B42" s="767"/>
      <c r="C42" s="767"/>
      <c r="D42" s="767"/>
      <c r="E42" s="758"/>
      <c r="F42" s="758"/>
      <c r="G42" s="758"/>
      <c r="H42" s="758"/>
      <c r="I42" s="753"/>
      <c r="J42" s="753"/>
      <c r="K42" s="753"/>
      <c r="L42" s="753"/>
    </row>
    <row r="43" spans="1:12" s="755" customFormat="1" ht="13.5" thickBot="1">
      <c r="A43" s="802" t="s">
        <v>1654</v>
      </c>
      <c r="B43" s="762"/>
      <c r="C43" s="762"/>
      <c r="D43" s="762"/>
      <c r="E43" s="803">
        <f>'O&amp;M_Estimate'!D59</f>
        <v>300000</v>
      </c>
      <c r="F43" s="803">
        <f>'O&amp;M_Estimate'!E59</f>
        <v>300000</v>
      </c>
      <c r="G43" s="803">
        <f>'O&amp;M_Estimate'!F59</f>
        <v>300000</v>
      </c>
      <c r="H43" s="803">
        <f>'O&amp;M_Estimate'!G59</f>
        <v>300000</v>
      </c>
      <c r="I43" s="804">
        <f>G43/280000</f>
        <v>1.0714285714285714</v>
      </c>
      <c r="J43" s="805"/>
      <c r="K43" s="804">
        <f>H43/280000</f>
        <v>1.0714285714285714</v>
      </c>
      <c r="L43" s="805"/>
    </row>
    <row r="44" spans="1:12" s="755" customFormat="1" ht="13.5" thickBot="1">
      <c r="A44" s="753"/>
      <c r="B44" s="762"/>
      <c r="C44" s="762"/>
      <c r="D44" s="762"/>
      <c r="E44" s="762"/>
      <c r="F44" s="762"/>
      <c r="G44" s="762"/>
      <c r="H44" s="753"/>
      <c r="I44" s="753"/>
      <c r="J44" s="806"/>
      <c r="K44" s="753"/>
      <c r="L44" s="753"/>
    </row>
    <row r="45" spans="1:12" s="755" customFormat="1" ht="13.5" thickBot="1">
      <c r="A45" s="761" t="s">
        <v>1655</v>
      </c>
      <c r="B45" s="762"/>
      <c r="D45" s="807"/>
      <c r="F45" s="758"/>
      <c r="G45" s="758"/>
      <c r="H45" s="808">
        <f>LM6000PC_MMR_Gas!H9</f>
        <v>39.25</v>
      </c>
      <c r="I45" s="753"/>
      <c r="J45" s="753"/>
    </row>
    <row r="46" spans="1:12" s="755" customFormat="1" ht="13.5" hidden="1" thickBot="1">
      <c r="A46" s="761" t="s">
        <v>1656</v>
      </c>
      <c r="B46" s="762"/>
      <c r="D46" s="807"/>
      <c r="F46" s="758"/>
      <c r="G46" s="758"/>
      <c r="H46" s="808">
        <f>'O&amp;M_Estimate'!D51</f>
        <v>0</v>
      </c>
      <c r="I46" s="753"/>
      <c r="J46" s="753"/>
    </row>
    <row r="47" spans="1:12" s="755" customFormat="1">
      <c r="A47" s="761"/>
      <c r="B47" s="762"/>
      <c r="D47" s="807"/>
      <c r="E47" s="809"/>
      <c r="F47" s="758"/>
      <c r="G47" s="758"/>
      <c r="H47" s="753"/>
      <c r="I47" s="753"/>
      <c r="J47" s="753"/>
    </row>
    <row r="48" spans="1:12" s="755" customFormat="1" ht="13.5" hidden="1" thickBot="1">
      <c r="A48" s="761" t="s">
        <v>1657</v>
      </c>
      <c r="B48" s="753"/>
      <c r="C48" s="766"/>
      <c r="E48" s="779">
        <f>'O&amp;M_Estimate'!D53</f>
        <v>0</v>
      </c>
      <c r="F48" s="779">
        <f>'O&amp;M_Estimate'!E53</f>
        <v>0</v>
      </c>
      <c r="G48" s="779">
        <f>'O&amp;M_Estimate'!F53</f>
        <v>0</v>
      </c>
      <c r="H48" s="779">
        <f>'O&amp;M_Estimate'!G53</f>
        <v>0</v>
      </c>
      <c r="I48" s="753"/>
      <c r="J48" s="753"/>
    </row>
    <row r="49" spans="1:13" s="755" customFormat="1" ht="13.5" hidden="1" thickBot="1">
      <c r="A49" s="761"/>
      <c r="B49" s="762"/>
      <c r="C49" s="763"/>
      <c r="D49" s="762"/>
      <c r="E49" s="758"/>
      <c r="F49" s="758"/>
      <c r="G49" s="758"/>
      <c r="H49" s="753"/>
      <c r="I49" s="753"/>
      <c r="J49" s="753"/>
    </row>
    <row r="50" spans="1:13" s="755" customFormat="1" ht="13.5" hidden="1" thickBot="1">
      <c r="A50" s="761" t="s">
        <v>1658</v>
      </c>
      <c r="B50" s="810"/>
      <c r="C50" s="770"/>
      <c r="D50" s="767"/>
      <c r="E50" s="811" t="s">
        <v>1631</v>
      </c>
      <c r="F50" s="811" t="s">
        <v>1631</v>
      </c>
      <c r="G50" s="753"/>
      <c r="H50" s="753"/>
      <c r="I50" s="753"/>
      <c r="J50" s="753"/>
    </row>
    <row r="51" spans="1:13" s="755" customFormat="1" ht="13.5" hidden="1" thickBot="1">
      <c r="A51" s="753"/>
      <c r="B51" s="767"/>
      <c r="C51" s="767"/>
      <c r="D51" s="767"/>
      <c r="E51" s="753"/>
      <c r="F51" s="753"/>
      <c r="G51" s="753"/>
      <c r="H51" s="753"/>
      <c r="I51" s="753"/>
      <c r="J51" s="753"/>
    </row>
    <row r="52" spans="1:13" s="755" customFormat="1" ht="13.5" hidden="1" thickBot="1">
      <c r="A52" s="761" t="s">
        <v>1659</v>
      </c>
      <c r="B52"/>
      <c r="C52" s="763"/>
      <c r="D52"/>
      <c r="E52" s="811" t="s">
        <v>1631</v>
      </c>
      <c r="F52" s="811" t="s">
        <v>1631</v>
      </c>
      <c r="G52" s="811" t="s">
        <v>1631</v>
      </c>
      <c r="H52" s="811" t="s">
        <v>1631</v>
      </c>
      <c r="I52" s="753"/>
      <c r="J52" s="753"/>
      <c r="K52" s="753"/>
    </row>
    <row r="53" spans="1:13" s="755" customFormat="1" hidden="1">
      <c r="A53" s="761"/>
      <c r="B53"/>
      <c r="C53" s="763"/>
      <c r="D53"/>
      <c r="E53" s="758"/>
      <c r="F53" s="758"/>
      <c r="G53" s="753"/>
      <c r="H53" s="753"/>
      <c r="I53" s="753"/>
      <c r="J53" s="753"/>
      <c r="K53" s="753"/>
    </row>
    <row r="54" spans="1:13" s="755" customFormat="1" hidden="1"/>
    <row r="55" spans="1:13" s="755" customFormat="1" ht="13.5" hidden="1" thickBot="1">
      <c r="A55" s="802" t="s">
        <v>1636</v>
      </c>
      <c r="B55" s="762"/>
      <c r="C55" s="762"/>
      <c r="D55" s="762"/>
      <c r="E55" s="812" t="e">
        <f>#REF!</f>
        <v>#REF!</v>
      </c>
      <c r="F55" s="813" t="e">
        <f>#REF!</f>
        <v>#REF!</v>
      </c>
      <c r="G55" s="813" t="e">
        <f>#REF!</f>
        <v>#REF!</v>
      </c>
      <c r="H55" s="814" t="e">
        <f>#REF!</f>
        <v>#REF!</v>
      </c>
      <c r="I55" s="753"/>
      <c r="J55" s="753"/>
      <c r="K55" s="753"/>
      <c r="L55" s="753"/>
      <c r="M55" s="753"/>
    </row>
    <row r="56" spans="1:13" s="755" customFormat="1">
      <c r="A56" s="753"/>
      <c r="B56" s="762"/>
      <c r="C56" s="762"/>
      <c r="D56" s="762"/>
      <c r="E56" s="762"/>
      <c r="F56" s="753"/>
      <c r="G56" s="753"/>
      <c r="H56" s="753"/>
      <c r="I56" s="753"/>
      <c r="J56" s="753"/>
      <c r="K56" s="753"/>
      <c r="L56" s="753"/>
      <c r="M56" s="753"/>
    </row>
    <row r="57" spans="1:13" s="755" customFormat="1">
      <c r="A57" s="753"/>
      <c r="B57" s="762"/>
      <c r="C57" s="762"/>
      <c r="D57" s="762"/>
      <c r="E57" s="762"/>
      <c r="F57" s="753"/>
      <c r="G57" s="753"/>
      <c r="H57" s="753"/>
      <c r="I57" s="753"/>
      <c r="J57" s="753"/>
      <c r="K57" s="753"/>
      <c r="L57" s="753"/>
      <c r="M57" s="753"/>
    </row>
    <row r="58" spans="1:13" s="755" customFormat="1">
      <c r="A58" s="753"/>
      <c r="B58" s="762"/>
      <c r="C58" s="762"/>
      <c r="D58" s="762"/>
      <c r="E58" s="762"/>
      <c r="F58" s="753"/>
      <c r="G58" s="753"/>
      <c r="H58" s="753"/>
      <c r="I58" s="815"/>
      <c r="J58" s="753"/>
      <c r="K58" s="753"/>
      <c r="L58" s="753"/>
      <c r="M58" s="753"/>
    </row>
    <row r="59" spans="1:13" s="755" customFormat="1">
      <c r="A59" s="753"/>
      <c r="B59" s="762"/>
      <c r="C59" s="762"/>
      <c r="D59" s="762"/>
      <c r="E59" s="762"/>
      <c r="F59" s="753"/>
      <c r="G59" s="753"/>
      <c r="H59" s="753"/>
      <c r="I59" s="753"/>
      <c r="J59" s="753"/>
      <c r="K59" s="753"/>
      <c r="L59" s="753"/>
      <c r="M59" s="753"/>
    </row>
    <row r="60" spans="1:13" s="755" customFormat="1">
      <c r="A60" s="753"/>
      <c r="B60" s="762"/>
      <c r="C60" s="762"/>
      <c r="D60" s="762"/>
      <c r="E60" s="762"/>
      <c r="F60" s="753"/>
      <c r="G60" s="753"/>
      <c r="H60" s="753"/>
      <c r="I60" s="753"/>
      <c r="J60" s="753"/>
      <c r="K60" s="753"/>
      <c r="L60" s="753"/>
      <c r="M60" s="753"/>
    </row>
    <row r="61" spans="1:13" s="755" customFormat="1">
      <c r="A61" s="753"/>
      <c r="B61" s="762"/>
      <c r="C61" s="762"/>
      <c r="D61" s="762"/>
      <c r="E61" s="762"/>
      <c r="F61" s="753"/>
      <c r="G61" s="753"/>
      <c r="H61" s="753"/>
      <c r="I61" s="753"/>
      <c r="J61" s="753"/>
      <c r="K61" s="753"/>
      <c r="L61" s="753"/>
      <c r="M61" s="753"/>
    </row>
    <row r="62" spans="1:13" s="755" customFormat="1">
      <c r="A62" s="753"/>
      <c r="B62" s="762"/>
      <c r="C62" s="762"/>
      <c r="D62" s="762"/>
      <c r="E62" s="762"/>
      <c r="F62" s="753"/>
      <c r="G62" s="753"/>
      <c r="H62" s="753"/>
      <c r="I62" s="753"/>
      <c r="J62" s="753"/>
      <c r="K62" s="753"/>
      <c r="L62" s="753"/>
      <c r="M62" s="753"/>
    </row>
    <row r="63" spans="1:13" s="755" customFormat="1">
      <c r="A63" s="753"/>
      <c r="B63" s="762"/>
      <c r="C63" s="762"/>
      <c r="D63" s="762"/>
      <c r="E63" s="753"/>
      <c r="F63" s="753"/>
      <c r="G63" s="753"/>
      <c r="H63" s="753"/>
      <c r="I63" s="753"/>
      <c r="J63" s="753"/>
      <c r="K63" s="753"/>
      <c r="L63" s="753"/>
      <c r="M63" s="753"/>
    </row>
    <row r="64" spans="1:13" s="755" customFormat="1">
      <c r="A64" s="753"/>
      <c r="B64" s="762"/>
      <c r="C64" s="762"/>
      <c r="D64" s="762"/>
      <c r="E64" s="753"/>
      <c r="F64" s="753"/>
      <c r="G64" s="753"/>
      <c r="H64" s="753"/>
      <c r="I64" s="753"/>
      <c r="J64" s="753"/>
      <c r="K64" s="753"/>
      <c r="L64" s="753"/>
      <c r="M64" s="753"/>
    </row>
    <row r="65" spans="1:13" s="755" customFormat="1">
      <c r="A65" s="753"/>
      <c r="B65" s="762"/>
      <c r="C65" s="762"/>
      <c r="D65" s="762"/>
      <c r="E65" s="753"/>
      <c r="F65" s="753"/>
      <c r="G65" s="753"/>
      <c r="H65" s="753"/>
      <c r="I65" s="753"/>
      <c r="J65" s="753"/>
      <c r="K65" s="753"/>
      <c r="L65" s="753"/>
      <c r="M65" s="753"/>
    </row>
    <row r="66" spans="1:13" s="755" customFormat="1">
      <c r="A66" s="753"/>
      <c r="B66" s="762"/>
      <c r="C66" s="762"/>
      <c r="D66" s="762"/>
      <c r="E66" s="753"/>
      <c r="F66" s="753"/>
      <c r="G66" s="753"/>
      <c r="H66" s="753"/>
      <c r="I66" s="753"/>
      <c r="J66" s="753"/>
      <c r="K66" s="753"/>
      <c r="L66" s="753"/>
      <c r="M66" s="753"/>
    </row>
    <row r="67" spans="1:13" s="755" customFormat="1">
      <c r="A67" s="753"/>
      <c r="B67" s="762"/>
      <c r="C67" s="762"/>
      <c r="D67" s="762"/>
      <c r="E67" s="753"/>
      <c r="F67" s="753"/>
      <c r="G67" s="753"/>
      <c r="H67" s="753"/>
      <c r="I67" s="753"/>
      <c r="J67" s="753"/>
      <c r="K67" s="753"/>
      <c r="L67" s="753"/>
      <c r="M67" s="753"/>
    </row>
    <row r="68" spans="1:13" s="755" customFormat="1">
      <c r="A68" s="753"/>
      <c r="B68" s="762"/>
      <c r="C68" s="762"/>
      <c r="D68" s="762"/>
      <c r="E68" s="753"/>
      <c r="F68" s="753"/>
      <c r="G68" s="753"/>
      <c r="H68" s="753"/>
      <c r="I68" s="753"/>
      <c r="J68" s="753"/>
      <c r="K68" s="753"/>
      <c r="L68" s="753"/>
      <c r="M68" s="753"/>
    </row>
    <row r="69" spans="1:13" s="755" customFormat="1">
      <c r="A69" s="753"/>
      <c r="B69" s="762"/>
      <c r="C69" s="762"/>
      <c r="D69" s="762"/>
      <c r="E69" s="753"/>
      <c r="F69" s="753"/>
      <c r="G69" s="753"/>
      <c r="H69" s="753"/>
      <c r="I69" s="753"/>
      <c r="J69" s="753"/>
      <c r="K69" s="753"/>
      <c r="L69" s="753"/>
      <c r="M69" s="753"/>
    </row>
    <row r="70" spans="1:13" s="755" customFormat="1">
      <c r="A70" s="753"/>
      <c r="B70" s="762"/>
      <c r="C70" s="762"/>
      <c r="D70" s="762"/>
      <c r="E70" s="753"/>
      <c r="F70" s="753"/>
      <c r="G70" s="753"/>
      <c r="H70" s="753"/>
      <c r="I70" s="753"/>
      <c r="J70" s="753"/>
      <c r="K70" s="753"/>
      <c r="L70" s="753"/>
      <c r="M70" s="753"/>
    </row>
    <row r="71" spans="1:13" s="755" customFormat="1">
      <c r="A71" s="753"/>
      <c r="B71" s="762"/>
      <c r="C71" s="762"/>
      <c r="D71" s="762"/>
      <c r="E71" s="753"/>
      <c r="F71" s="753"/>
      <c r="G71" s="753"/>
      <c r="H71" s="753"/>
      <c r="I71" s="753"/>
      <c r="J71" s="753"/>
      <c r="K71" s="753"/>
      <c r="L71" s="753"/>
      <c r="M71" s="753"/>
    </row>
    <row r="72" spans="1:13" s="755" customFormat="1">
      <c r="A72" s="753"/>
      <c r="B72" s="762"/>
      <c r="C72" s="762"/>
      <c r="D72" s="762"/>
      <c r="E72" s="753"/>
      <c r="F72" s="753"/>
      <c r="G72" s="753"/>
      <c r="H72" s="753"/>
      <c r="I72" s="753"/>
      <c r="J72" s="753"/>
      <c r="K72" s="753"/>
      <c r="L72" s="753"/>
      <c r="M72" s="753"/>
    </row>
    <row r="73" spans="1:13" s="755" customFormat="1">
      <c r="A73" s="753"/>
      <c r="B73" s="762"/>
      <c r="C73" s="762"/>
      <c r="D73" s="762"/>
      <c r="E73" s="753"/>
      <c r="F73" s="753"/>
      <c r="G73" s="753"/>
      <c r="H73" s="753"/>
      <c r="I73" s="753"/>
      <c r="J73" s="753"/>
      <c r="K73" s="753"/>
      <c r="L73" s="753"/>
      <c r="M73" s="753"/>
    </row>
    <row r="74" spans="1:13" s="755" customFormat="1">
      <c r="A74" s="753"/>
      <c r="B74" s="762"/>
      <c r="C74" s="762"/>
      <c r="D74" s="762"/>
      <c r="E74" s="753"/>
      <c r="F74" s="753"/>
      <c r="G74" s="753"/>
      <c r="H74" s="753"/>
      <c r="I74" s="753"/>
      <c r="J74" s="753"/>
      <c r="K74" s="753"/>
      <c r="L74" s="753"/>
      <c r="M74" s="753"/>
    </row>
    <row r="75" spans="1:13" s="755" customFormat="1">
      <c r="A75" s="753"/>
      <c r="B75" s="762"/>
      <c r="C75" s="762"/>
      <c r="D75" s="762"/>
      <c r="E75" s="753"/>
      <c r="F75" s="753"/>
      <c r="G75" s="753"/>
      <c r="H75" s="753"/>
      <c r="I75" s="753"/>
      <c r="J75" s="753"/>
      <c r="K75" s="753"/>
      <c r="L75" s="753"/>
      <c r="M75" s="753"/>
    </row>
    <row r="76" spans="1:13" s="755" customFormat="1">
      <c r="A76" s="753"/>
      <c r="B76" s="762"/>
      <c r="C76" s="762"/>
      <c r="D76" s="762"/>
      <c r="E76" s="753"/>
      <c r="F76" s="753"/>
      <c r="G76" s="753"/>
      <c r="H76" s="753"/>
      <c r="I76" s="753"/>
      <c r="J76" s="753"/>
      <c r="K76" s="753"/>
      <c r="L76" s="753"/>
      <c r="M76" s="753"/>
    </row>
    <row r="77" spans="1:13" s="755" customFormat="1">
      <c r="A77" s="753"/>
      <c r="B77" s="762"/>
      <c r="C77" s="762"/>
      <c r="D77" s="762"/>
      <c r="E77" s="753"/>
      <c r="F77" s="753"/>
      <c r="G77" s="753"/>
      <c r="H77" s="753"/>
      <c r="I77" s="753"/>
      <c r="J77" s="753"/>
      <c r="K77" s="753"/>
      <c r="L77" s="753"/>
      <c r="M77" s="753"/>
    </row>
    <row r="78" spans="1:13" s="755" customFormat="1">
      <c r="A78" s="753"/>
      <c r="B78" s="762"/>
      <c r="C78" s="762"/>
      <c r="D78" s="762"/>
      <c r="E78" s="753"/>
      <c r="F78" s="753"/>
      <c r="G78" s="753"/>
      <c r="H78" s="753"/>
      <c r="I78" s="753"/>
      <c r="J78" s="753"/>
      <c r="K78" s="753"/>
      <c r="L78" s="753"/>
      <c r="M78" s="753"/>
    </row>
    <row r="79" spans="1:13" s="755" customFormat="1">
      <c r="A79" s="753"/>
      <c r="B79" s="762"/>
      <c r="C79" s="762"/>
      <c r="D79" s="762"/>
      <c r="E79" s="753"/>
      <c r="F79" s="753"/>
      <c r="G79" s="753"/>
      <c r="H79" s="753"/>
      <c r="I79" s="753"/>
      <c r="J79" s="753"/>
      <c r="K79" s="753"/>
      <c r="L79" s="753"/>
      <c r="M79" s="753"/>
    </row>
    <row r="80" spans="1:13" s="755" customFormat="1">
      <c r="A80" s="753"/>
      <c r="B80" s="762"/>
      <c r="C80" s="762"/>
      <c r="D80" s="762"/>
      <c r="E80" s="753"/>
      <c r="F80" s="753"/>
      <c r="G80" s="753"/>
      <c r="H80" s="753"/>
      <c r="I80" s="753"/>
      <c r="J80" s="753"/>
      <c r="K80" s="753"/>
      <c r="L80" s="753"/>
      <c r="M80" s="753"/>
    </row>
    <row r="81" spans="1:13" s="755" customFormat="1">
      <c r="A81" s="753"/>
      <c r="B81" s="762"/>
      <c r="C81" s="762"/>
      <c r="D81" s="762"/>
      <c r="E81" s="753"/>
      <c r="F81" s="753"/>
      <c r="G81" s="753"/>
      <c r="H81" s="753"/>
      <c r="I81" s="753"/>
      <c r="J81" s="753"/>
      <c r="K81" s="753"/>
      <c r="L81" s="753"/>
      <c r="M81" s="753"/>
    </row>
    <row r="82" spans="1:13" s="755" customFormat="1">
      <c r="A82" s="753"/>
      <c r="B82" s="762"/>
      <c r="C82" s="762"/>
      <c r="D82" s="762"/>
      <c r="E82" s="753"/>
      <c r="F82" s="753"/>
      <c r="G82" s="753"/>
      <c r="H82" s="753"/>
      <c r="I82" s="753"/>
      <c r="J82" s="753"/>
      <c r="K82" s="753"/>
      <c r="L82" s="753"/>
      <c r="M82" s="753"/>
    </row>
    <row r="83" spans="1:13" s="755" customFormat="1">
      <c r="A83" s="753"/>
      <c r="B83" s="762"/>
      <c r="C83" s="762"/>
      <c r="D83" s="762"/>
      <c r="E83" s="753"/>
      <c r="F83" s="753"/>
      <c r="G83" s="753"/>
      <c r="H83" s="753"/>
      <c r="I83" s="753"/>
      <c r="J83" s="753"/>
      <c r="K83" s="753"/>
      <c r="L83" s="753"/>
      <c r="M83" s="753"/>
    </row>
    <row r="84" spans="1:13" s="755" customFormat="1">
      <c r="A84" s="753"/>
      <c r="B84" s="762"/>
      <c r="C84" s="762"/>
      <c r="D84" s="762"/>
      <c r="E84" s="753"/>
      <c r="F84" s="753"/>
      <c r="G84" s="753"/>
      <c r="H84" s="753"/>
      <c r="I84" s="753"/>
      <c r="J84" s="753"/>
      <c r="K84" s="753"/>
      <c r="L84" s="753"/>
      <c r="M84" s="753"/>
    </row>
    <row r="85" spans="1:13" s="755" customFormat="1">
      <c r="A85" s="753"/>
      <c r="B85" s="762"/>
      <c r="C85" s="762"/>
      <c r="D85" s="762"/>
      <c r="E85" s="753"/>
      <c r="F85" s="753"/>
      <c r="G85" s="753"/>
      <c r="H85" s="753"/>
      <c r="I85" s="753"/>
      <c r="J85" s="753"/>
      <c r="K85" s="753"/>
      <c r="L85" s="753"/>
      <c r="M85" s="753"/>
    </row>
    <row r="86" spans="1:13" s="755" customFormat="1">
      <c r="A86" s="753"/>
      <c r="B86" s="762"/>
      <c r="C86" s="762"/>
      <c r="D86" s="762"/>
      <c r="E86" s="753"/>
      <c r="F86" s="753"/>
      <c r="G86" s="753"/>
      <c r="H86" s="753"/>
      <c r="I86" s="753"/>
      <c r="J86" s="753"/>
      <c r="K86" s="753"/>
      <c r="L86" s="753"/>
      <c r="M86" s="753"/>
    </row>
    <row r="87" spans="1:13" s="755" customFormat="1">
      <c r="A87" s="753"/>
      <c r="B87" s="762"/>
      <c r="C87" s="762"/>
      <c r="D87" s="762"/>
      <c r="E87" s="753"/>
      <c r="F87" s="753"/>
      <c r="G87" s="753"/>
      <c r="H87" s="753"/>
      <c r="I87" s="753"/>
      <c r="J87" s="753"/>
      <c r="K87" s="753"/>
      <c r="L87" s="753"/>
      <c r="M87" s="753"/>
    </row>
    <row r="88" spans="1:13" s="755" customFormat="1">
      <c r="A88" s="753"/>
      <c r="B88" s="762"/>
      <c r="C88" s="762"/>
      <c r="D88" s="762"/>
      <c r="E88" s="753"/>
      <c r="F88" s="753"/>
      <c r="G88" s="753"/>
      <c r="H88" s="753"/>
      <c r="I88" s="753"/>
      <c r="J88" s="753"/>
      <c r="K88" s="753"/>
      <c r="L88" s="753"/>
      <c r="M88" s="753"/>
    </row>
    <row r="89" spans="1:13" s="755" customFormat="1">
      <c r="A89" s="753"/>
      <c r="B89" s="762"/>
      <c r="C89" s="762"/>
      <c r="D89" s="762"/>
      <c r="E89" s="753"/>
      <c r="F89" s="753"/>
      <c r="G89" s="753"/>
      <c r="H89" s="753"/>
      <c r="I89" s="753"/>
      <c r="J89" s="753"/>
      <c r="K89" s="753"/>
      <c r="L89" s="753"/>
      <c r="M89" s="753"/>
    </row>
    <row r="90" spans="1:13" s="755" customFormat="1">
      <c r="A90" s="753"/>
      <c r="B90" s="762"/>
      <c r="C90" s="762"/>
      <c r="D90" s="762"/>
      <c r="E90" s="753"/>
      <c r="F90" s="753"/>
      <c r="G90" s="753"/>
      <c r="H90" s="753"/>
      <c r="I90" s="753"/>
      <c r="J90" s="753"/>
      <c r="K90" s="753"/>
      <c r="L90" s="753"/>
      <c r="M90" s="753"/>
    </row>
    <row r="91" spans="1:13" s="755" customFormat="1">
      <c r="A91" s="753"/>
      <c r="B91" s="762"/>
      <c r="C91" s="762"/>
      <c r="D91" s="762"/>
      <c r="E91" s="753"/>
      <c r="F91" s="753"/>
      <c r="G91" s="753"/>
      <c r="H91" s="753"/>
      <c r="I91" s="753"/>
      <c r="J91" s="753"/>
      <c r="K91" s="753"/>
      <c r="L91" s="753"/>
      <c r="M91" s="753"/>
    </row>
    <row r="92" spans="1:13" s="755" customFormat="1">
      <c r="A92" s="753"/>
      <c r="B92" s="762"/>
      <c r="C92" s="762"/>
      <c r="D92" s="762"/>
      <c r="E92" s="753"/>
      <c r="F92" s="753"/>
      <c r="G92" s="753"/>
      <c r="H92" s="753"/>
      <c r="I92" s="753"/>
      <c r="J92" s="753"/>
      <c r="K92" s="753"/>
      <c r="L92" s="753"/>
      <c r="M92" s="753"/>
    </row>
    <row r="93" spans="1:13" s="755" customFormat="1">
      <c r="A93" s="753"/>
      <c r="B93" s="762"/>
      <c r="C93" s="762"/>
      <c r="D93" s="762"/>
      <c r="E93" s="753"/>
      <c r="F93" s="753"/>
      <c r="G93" s="753"/>
      <c r="H93" s="753"/>
      <c r="I93" s="753"/>
      <c r="J93" s="753"/>
      <c r="K93" s="753"/>
      <c r="L93" s="753"/>
      <c r="M93" s="753"/>
    </row>
    <row r="94" spans="1:13" s="755" customFormat="1">
      <c r="A94" s="753"/>
      <c r="B94" s="762"/>
      <c r="C94" s="762"/>
      <c r="D94" s="762"/>
      <c r="E94" s="753"/>
      <c r="F94" s="753"/>
      <c r="G94" s="753"/>
      <c r="H94" s="753"/>
      <c r="I94" s="753"/>
      <c r="J94" s="753"/>
      <c r="K94" s="753"/>
      <c r="L94" s="753"/>
      <c r="M94" s="753"/>
    </row>
    <row r="95" spans="1:13" s="755" customFormat="1">
      <c r="A95" s="753"/>
      <c r="B95" s="762"/>
      <c r="C95" s="762"/>
      <c r="D95" s="762"/>
      <c r="E95" s="753"/>
      <c r="F95" s="753"/>
      <c r="G95" s="753"/>
      <c r="H95" s="753"/>
      <c r="I95" s="753"/>
      <c r="J95" s="753"/>
      <c r="K95" s="753"/>
      <c r="L95" s="753"/>
      <c r="M95" s="753"/>
    </row>
    <row r="96" spans="1:13" s="755" customFormat="1">
      <c r="A96" s="753"/>
      <c r="B96" s="762"/>
      <c r="C96" s="762"/>
      <c r="D96" s="762"/>
      <c r="E96" s="753"/>
      <c r="F96" s="753"/>
      <c r="G96" s="753"/>
      <c r="H96" s="753"/>
      <c r="I96" s="753"/>
      <c r="J96" s="753"/>
      <c r="K96" s="753"/>
      <c r="L96" s="753"/>
      <c r="M96" s="753"/>
    </row>
    <row r="97" spans="1:13" s="755" customFormat="1">
      <c r="A97" s="753"/>
      <c r="B97" s="762"/>
      <c r="C97" s="762"/>
      <c r="D97" s="762"/>
      <c r="E97" s="753"/>
      <c r="F97" s="753"/>
      <c r="G97" s="753"/>
      <c r="H97" s="753"/>
      <c r="I97" s="753"/>
      <c r="J97" s="753"/>
      <c r="K97" s="753"/>
      <c r="L97" s="753"/>
      <c r="M97" s="753"/>
    </row>
    <row r="98" spans="1:13" s="755" customFormat="1">
      <c r="A98" s="753"/>
      <c r="B98" s="762"/>
      <c r="C98" s="762"/>
      <c r="D98" s="762"/>
      <c r="E98" s="753"/>
      <c r="F98" s="753"/>
      <c r="G98" s="753"/>
      <c r="H98" s="753"/>
      <c r="I98" s="753"/>
      <c r="J98" s="753"/>
      <c r="K98" s="753"/>
      <c r="L98" s="753"/>
      <c r="M98" s="753"/>
    </row>
    <row r="99" spans="1:13" s="755" customFormat="1">
      <c r="A99" s="753"/>
      <c r="B99" s="762"/>
      <c r="C99" s="762"/>
      <c r="D99" s="762"/>
      <c r="E99" s="753"/>
      <c r="F99" s="753"/>
      <c r="G99" s="753"/>
      <c r="H99" s="753"/>
      <c r="I99" s="753"/>
      <c r="J99" s="753"/>
      <c r="K99" s="753"/>
      <c r="L99" s="753"/>
      <c r="M99" s="753"/>
    </row>
    <row r="100" spans="1:13" s="755" customFormat="1">
      <c r="A100" s="753"/>
      <c r="B100" s="762"/>
      <c r="C100" s="762"/>
      <c r="D100" s="762"/>
      <c r="E100" s="753"/>
      <c r="F100" s="753"/>
      <c r="G100" s="753"/>
      <c r="H100" s="753"/>
      <c r="I100" s="753"/>
      <c r="J100" s="753"/>
      <c r="K100" s="753"/>
      <c r="L100" s="753"/>
      <c r="M100" s="753"/>
    </row>
    <row r="101" spans="1:13" s="755" customFormat="1">
      <c r="A101" s="753"/>
      <c r="B101" s="762"/>
      <c r="C101" s="762"/>
      <c r="D101" s="762"/>
      <c r="E101" s="753"/>
      <c r="F101" s="753"/>
      <c r="G101" s="753"/>
      <c r="H101" s="753"/>
      <c r="I101" s="753"/>
      <c r="J101" s="753"/>
      <c r="K101" s="753"/>
      <c r="L101" s="753"/>
      <c r="M101" s="753"/>
    </row>
    <row r="102" spans="1:13" s="755" customFormat="1">
      <c r="A102" s="753"/>
      <c r="B102" s="762"/>
      <c r="C102" s="762"/>
      <c r="D102" s="762"/>
      <c r="E102" s="753"/>
      <c r="F102" s="753"/>
      <c r="G102" s="753"/>
      <c r="H102" s="753"/>
      <c r="I102" s="753"/>
      <c r="J102" s="753"/>
      <c r="K102" s="753"/>
      <c r="L102" s="753"/>
      <c r="M102" s="753"/>
    </row>
    <row r="103" spans="1:13" s="755" customFormat="1">
      <c r="A103" s="753"/>
      <c r="B103" s="762"/>
      <c r="C103" s="762"/>
      <c r="D103" s="762"/>
      <c r="E103" s="753"/>
      <c r="F103" s="753"/>
      <c r="G103" s="753"/>
      <c r="H103" s="753"/>
      <c r="I103" s="753"/>
      <c r="J103" s="753"/>
      <c r="K103" s="753"/>
      <c r="L103" s="753"/>
      <c r="M103" s="753"/>
    </row>
    <row r="104" spans="1:13" s="755" customFormat="1">
      <c r="A104" s="753"/>
      <c r="B104" s="762"/>
      <c r="C104" s="762"/>
      <c r="D104" s="762"/>
      <c r="E104" s="753"/>
      <c r="F104" s="753"/>
      <c r="G104" s="753"/>
      <c r="H104" s="753"/>
      <c r="I104" s="753"/>
      <c r="J104" s="753"/>
      <c r="K104" s="753"/>
      <c r="L104" s="753"/>
      <c r="M104" s="753"/>
    </row>
    <row r="105" spans="1:13" s="755" customFormat="1">
      <c r="A105" s="753"/>
      <c r="B105" s="762"/>
      <c r="C105" s="762"/>
      <c r="D105" s="762"/>
      <c r="E105" s="753"/>
      <c r="F105" s="753"/>
      <c r="G105" s="753"/>
      <c r="H105" s="753"/>
      <c r="I105" s="753"/>
      <c r="J105" s="753"/>
      <c r="K105" s="753"/>
      <c r="L105" s="753"/>
      <c r="M105" s="753"/>
    </row>
    <row r="106" spans="1:13" s="755" customFormat="1">
      <c r="A106" s="753"/>
      <c r="B106" s="762"/>
      <c r="C106" s="762"/>
      <c r="D106" s="762"/>
      <c r="E106" s="753"/>
      <c r="F106" s="753"/>
      <c r="G106" s="753"/>
      <c r="H106" s="753"/>
      <c r="I106" s="753"/>
      <c r="J106" s="753"/>
      <c r="K106" s="753"/>
      <c r="L106" s="753"/>
      <c r="M106" s="753"/>
    </row>
    <row r="107" spans="1:13" s="755" customFormat="1">
      <c r="A107" s="753"/>
      <c r="B107" s="762"/>
      <c r="C107" s="762"/>
      <c r="D107" s="762"/>
      <c r="E107" s="753"/>
      <c r="F107" s="753"/>
      <c r="G107" s="753"/>
      <c r="H107" s="753"/>
      <c r="I107" s="753"/>
      <c r="J107" s="753"/>
      <c r="K107" s="753"/>
      <c r="L107" s="753"/>
      <c r="M107" s="753"/>
    </row>
    <row r="108" spans="1:13" s="755" customFormat="1">
      <c r="A108" s="753"/>
      <c r="B108" s="762"/>
      <c r="C108" s="762"/>
      <c r="D108" s="762"/>
      <c r="E108" s="753"/>
      <c r="F108" s="753"/>
      <c r="G108" s="753"/>
      <c r="H108" s="753"/>
      <c r="I108" s="753"/>
      <c r="J108" s="753"/>
      <c r="K108" s="753"/>
      <c r="L108" s="753"/>
      <c r="M108" s="753"/>
    </row>
    <row r="109" spans="1:13" s="755" customFormat="1">
      <c r="A109" s="753"/>
      <c r="B109" s="762"/>
      <c r="C109" s="762"/>
      <c r="D109" s="762"/>
      <c r="E109" s="753"/>
      <c r="F109" s="753"/>
      <c r="G109" s="753"/>
      <c r="H109" s="753"/>
      <c r="I109" s="753"/>
      <c r="J109" s="753"/>
      <c r="K109" s="753"/>
      <c r="L109" s="753"/>
      <c r="M109" s="753"/>
    </row>
    <row r="110" spans="1:13" s="755" customFormat="1">
      <c r="A110" s="753"/>
      <c r="B110" s="762"/>
      <c r="C110" s="762"/>
      <c r="D110" s="762"/>
      <c r="E110" s="753"/>
      <c r="F110" s="753"/>
      <c r="G110" s="753"/>
      <c r="H110" s="753"/>
      <c r="I110" s="753"/>
      <c r="J110" s="753"/>
      <c r="K110" s="753"/>
      <c r="L110" s="753"/>
      <c r="M110" s="753"/>
    </row>
    <row r="111" spans="1:13" s="755" customFormat="1">
      <c r="A111" s="753"/>
      <c r="B111" s="762"/>
      <c r="C111" s="762"/>
      <c r="D111" s="762"/>
      <c r="E111" s="753"/>
      <c r="F111" s="753"/>
      <c r="G111" s="753"/>
      <c r="H111" s="753"/>
      <c r="I111" s="753"/>
      <c r="J111" s="753"/>
      <c r="K111" s="753"/>
      <c r="L111" s="753"/>
      <c r="M111" s="753"/>
    </row>
    <row r="112" spans="1:13" s="755" customFormat="1">
      <c r="A112" s="753"/>
      <c r="B112" s="762"/>
      <c r="C112" s="762"/>
      <c r="D112" s="762"/>
      <c r="E112" s="753"/>
      <c r="F112" s="753"/>
      <c r="G112" s="753"/>
      <c r="H112" s="753"/>
      <c r="I112" s="753"/>
      <c r="J112" s="753"/>
      <c r="K112" s="753"/>
      <c r="L112" s="753"/>
      <c r="M112" s="753"/>
    </row>
    <row r="113" spans="1:13" s="755" customFormat="1">
      <c r="A113" s="753"/>
      <c r="B113" s="762"/>
      <c r="C113" s="762"/>
      <c r="D113" s="762"/>
      <c r="E113" s="753"/>
      <c r="F113" s="753"/>
      <c r="G113" s="753"/>
      <c r="H113" s="753"/>
      <c r="I113" s="753"/>
      <c r="J113" s="753"/>
      <c r="K113" s="753"/>
      <c r="L113" s="753"/>
      <c r="M113" s="753"/>
    </row>
    <row r="114" spans="1:13" s="755" customFormat="1">
      <c r="A114" s="753"/>
      <c r="B114" s="762"/>
      <c r="C114" s="762"/>
      <c r="D114" s="762"/>
      <c r="E114" s="753"/>
      <c r="F114" s="753"/>
      <c r="G114" s="753"/>
      <c r="H114" s="753"/>
      <c r="I114" s="753"/>
      <c r="J114" s="753"/>
      <c r="K114" s="753"/>
      <c r="L114" s="753"/>
      <c r="M114" s="753"/>
    </row>
    <row r="115" spans="1:13" s="755" customFormat="1">
      <c r="A115" s="753"/>
      <c r="B115" s="762"/>
      <c r="C115" s="762"/>
      <c r="D115" s="762"/>
      <c r="E115" s="753"/>
      <c r="F115" s="753"/>
      <c r="G115" s="753"/>
      <c r="H115" s="753"/>
      <c r="I115" s="753"/>
      <c r="J115" s="753"/>
      <c r="K115" s="753"/>
      <c r="L115" s="753"/>
      <c r="M115" s="753"/>
    </row>
    <row r="116" spans="1:13" s="755" customFormat="1">
      <c r="A116" s="753"/>
      <c r="B116" s="762"/>
      <c r="C116" s="762"/>
      <c r="D116" s="762"/>
      <c r="E116" s="753"/>
      <c r="F116" s="753"/>
      <c r="G116" s="753"/>
      <c r="H116" s="753"/>
      <c r="I116" s="753"/>
      <c r="J116" s="753"/>
      <c r="K116" s="753"/>
      <c r="L116" s="753"/>
      <c r="M116" s="753"/>
    </row>
    <row r="117" spans="1:13" s="755" customFormat="1">
      <c r="A117" s="753"/>
      <c r="B117" s="762"/>
      <c r="C117" s="762"/>
      <c r="D117" s="762"/>
      <c r="E117" s="753"/>
      <c r="F117" s="753"/>
      <c r="G117" s="753"/>
      <c r="H117" s="753"/>
      <c r="I117" s="753"/>
      <c r="J117" s="753"/>
      <c r="K117" s="753"/>
      <c r="L117" s="753"/>
      <c r="M117" s="753"/>
    </row>
    <row r="118" spans="1:13" s="755" customFormat="1">
      <c r="A118" s="753"/>
      <c r="B118" s="762"/>
      <c r="C118" s="762"/>
      <c r="D118" s="762"/>
      <c r="E118" s="753"/>
      <c r="F118" s="753"/>
      <c r="G118" s="753"/>
      <c r="H118" s="753"/>
      <c r="I118" s="753"/>
      <c r="J118" s="753"/>
      <c r="K118" s="753"/>
      <c r="L118" s="753"/>
      <c r="M118" s="753"/>
    </row>
    <row r="119" spans="1:13" s="755" customFormat="1">
      <c r="A119" s="753"/>
      <c r="B119" s="762"/>
      <c r="C119" s="762"/>
      <c r="D119" s="762"/>
      <c r="E119" s="753"/>
      <c r="F119" s="753"/>
      <c r="G119" s="753"/>
      <c r="H119" s="753"/>
      <c r="I119" s="753"/>
      <c r="J119" s="753"/>
      <c r="K119" s="753"/>
      <c r="L119" s="753"/>
      <c r="M119" s="753"/>
    </row>
    <row r="120" spans="1:13" s="755" customFormat="1">
      <c r="A120" s="753"/>
      <c r="B120" s="762"/>
      <c r="C120" s="762"/>
      <c r="D120" s="762"/>
      <c r="E120" s="753"/>
      <c r="F120" s="753"/>
      <c r="G120" s="753"/>
      <c r="H120" s="753"/>
      <c r="I120" s="753"/>
      <c r="J120" s="753"/>
      <c r="K120" s="753"/>
      <c r="L120" s="753"/>
      <c r="M120" s="753"/>
    </row>
    <row r="121" spans="1:13" s="755" customFormat="1">
      <c r="A121" s="753"/>
      <c r="B121" s="762"/>
      <c r="C121" s="762"/>
      <c r="D121" s="762"/>
      <c r="E121" s="753"/>
      <c r="F121" s="753"/>
      <c r="G121" s="753"/>
      <c r="H121" s="753"/>
      <c r="I121" s="753"/>
      <c r="J121" s="753"/>
      <c r="K121" s="753"/>
      <c r="L121" s="753"/>
      <c r="M121" s="753"/>
    </row>
    <row r="122" spans="1:13" s="755" customFormat="1">
      <c r="A122" s="753"/>
      <c r="B122" s="762"/>
      <c r="C122" s="762"/>
      <c r="D122" s="762"/>
      <c r="E122" s="753"/>
      <c r="F122" s="753"/>
      <c r="G122" s="753"/>
      <c r="H122" s="753"/>
      <c r="I122" s="753"/>
      <c r="J122" s="753"/>
      <c r="K122" s="753"/>
      <c r="L122" s="753"/>
      <c r="M122" s="753"/>
    </row>
    <row r="123" spans="1:13" s="755" customFormat="1">
      <c r="A123" s="753"/>
      <c r="B123" s="762"/>
      <c r="C123" s="762"/>
      <c r="D123" s="762"/>
      <c r="E123" s="753"/>
      <c r="F123" s="753"/>
      <c r="G123" s="753"/>
      <c r="H123" s="753"/>
      <c r="I123" s="753"/>
      <c r="J123" s="753"/>
      <c r="K123" s="753"/>
      <c r="L123" s="753"/>
      <c r="M123" s="753"/>
    </row>
    <row r="124" spans="1:13" s="755" customFormat="1">
      <c r="A124" s="753"/>
      <c r="B124" s="762"/>
      <c r="C124" s="762"/>
      <c r="D124" s="762"/>
      <c r="E124" s="753"/>
      <c r="F124" s="753"/>
      <c r="G124" s="753"/>
      <c r="H124" s="753"/>
      <c r="I124" s="753"/>
      <c r="J124" s="753"/>
      <c r="K124" s="753"/>
      <c r="L124" s="753"/>
      <c r="M124" s="753"/>
    </row>
    <row r="125" spans="1:13" s="755" customFormat="1">
      <c r="A125" s="753"/>
      <c r="B125" s="762"/>
      <c r="C125" s="762"/>
      <c r="D125" s="762"/>
      <c r="E125" s="753"/>
      <c r="F125" s="753"/>
      <c r="G125" s="753"/>
      <c r="H125" s="753"/>
      <c r="I125" s="753"/>
      <c r="J125" s="753"/>
      <c r="K125" s="753"/>
      <c r="L125" s="753"/>
      <c r="M125" s="753"/>
    </row>
    <row r="126" spans="1:13" s="755" customFormat="1">
      <c r="A126" s="753"/>
      <c r="B126" s="762"/>
      <c r="C126" s="762"/>
      <c r="D126" s="762"/>
      <c r="E126" s="753"/>
      <c r="F126" s="753"/>
      <c r="G126" s="753"/>
      <c r="H126" s="753"/>
      <c r="I126" s="753"/>
      <c r="J126" s="753"/>
      <c r="K126" s="753"/>
      <c r="L126" s="753"/>
      <c r="M126" s="753"/>
    </row>
    <row r="127" spans="1:13" s="755" customFormat="1">
      <c r="A127" s="753"/>
      <c r="B127" s="762"/>
      <c r="C127" s="762"/>
      <c r="D127" s="762"/>
      <c r="E127" s="753"/>
      <c r="F127" s="753"/>
      <c r="G127" s="753"/>
      <c r="H127" s="753"/>
      <c r="I127" s="753"/>
      <c r="J127" s="753"/>
      <c r="K127" s="753"/>
      <c r="L127" s="753"/>
      <c r="M127" s="753"/>
    </row>
    <row r="128" spans="1:13" s="755" customFormat="1">
      <c r="A128" s="753"/>
      <c r="B128" s="762"/>
      <c r="C128" s="762"/>
      <c r="D128" s="762"/>
      <c r="E128" s="753"/>
      <c r="F128" s="753"/>
      <c r="G128" s="753"/>
      <c r="H128" s="753"/>
      <c r="I128" s="753"/>
      <c r="J128" s="753"/>
      <c r="K128" s="753"/>
      <c r="L128" s="753"/>
      <c r="M128" s="753"/>
    </row>
    <row r="129" spans="1:13" s="755" customFormat="1">
      <c r="A129" s="753"/>
      <c r="B129" s="762"/>
      <c r="C129" s="762"/>
      <c r="D129" s="762"/>
      <c r="E129" s="753"/>
      <c r="F129" s="753"/>
      <c r="G129" s="753"/>
      <c r="H129" s="753"/>
      <c r="I129" s="753"/>
      <c r="J129" s="753"/>
      <c r="K129" s="753"/>
      <c r="L129" s="753"/>
      <c r="M129" s="753"/>
    </row>
    <row r="130" spans="1:13" s="755" customFormat="1">
      <c r="A130" s="753"/>
      <c r="B130" s="762"/>
      <c r="C130" s="762"/>
      <c r="D130" s="762"/>
      <c r="E130" s="753"/>
      <c r="F130" s="753"/>
      <c r="G130" s="753"/>
      <c r="H130" s="753"/>
      <c r="I130" s="753"/>
      <c r="J130" s="753"/>
      <c r="K130" s="753"/>
      <c r="L130" s="753"/>
      <c r="M130" s="753"/>
    </row>
    <row r="131" spans="1:13" s="755" customFormat="1">
      <c r="A131" s="753"/>
      <c r="B131" s="762"/>
      <c r="C131" s="762"/>
      <c r="D131" s="762"/>
      <c r="E131" s="753"/>
      <c r="F131" s="753"/>
      <c r="G131" s="753"/>
      <c r="H131" s="753"/>
      <c r="I131" s="753"/>
      <c r="J131" s="753"/>
      <c r="K131" s="753"/>
      <c r="L131" s="753"/>
      <c r="M131" s="753"/>
    </row>
    <row r="132" spans="1:13" s="755" customFormat="1">
      <c r="A132" s="753"/>
      <c r="B132" s="762"/>
      <c r="C132" s="762"/>
      <c r="D132" s="762"/>
      <c r="E132" s="753"/>
      <c r="F132" s="753"/>
      <c r="G132" s="753"/>
      <c r="H132" s="753"/>
      <c r="I132" s="753"/>
      <c r="J132" s="753"/>
      <c r="K132" s="753"/>
      <c r="L132" s="753"/>
      <c r="M132" s="753"/>
    </row>
    <row r="133" spans="1:13" s="755" customFormat="1">
      <c r="A133" s="753"/>
      <c r="B133" s="762"/>
      <c r="C133" s="762"/>
      <c r="D133" s="762"/>
      <c r="E133" s="753"/>
      <c r="F133" s="753"/>
      <c r="G133" s="753"/>
      <c r="H133" s="753"/>
      <c r="I133" s="753"/>
      <c r="J133" s="753"/>
      <c r="K133" s="753"/>
      <c r="L133" s="753"/>
      <c r="M133" s="753"/>
    </row>
    <row r="134" spans="1:13" s="755" customFormat="1">
      <c r="A134" s="753"/>
      <c r="B134" s="762"/>
      <c r="C134" s="762"/>
      <c r="D134" s="762"/>
      <c r="E134" s="753"/>
      <c r="F134" s="753"/>
      <c r="G134" s="753"/>
      <c r="H134" s="753"/>
      <c r="I134" s="753"/>
      <c r="J134" s="753"/>
      <c r="K134" s="753"/>
      <c r="L134" s="753"/>
      <c r="M134" s="753"/>
    </row>
    <row r="135" spans="1:13" s="755" customFormat="1">
      <c r="A135" s="753"/>
      <c r="B135" s="762"/>
      <c r="C135" s="762"/>
      <c r="D135" s="762"/>
      <c r="E135" s="753"/>
      <c r="F135" s="753"/>
      <c r="G135" s="753"/>
      <c r="H135" s="753"/>
      <c r="I135" s="753"/>
      <c r="J135" s="753"/>
      <c r="K135" s="753"/>
      <c r="L135" s="753"/>
      <c r="M135" s="753"/>
    </row>
    <row r="136" spans="1:13" s="755" customFormat="1">
      <c r="A136" s="753"/>
      <c r="B136" s="762"/>
      <c r="C136" s="762"/>
      <c r="D136" s="762"/>
      <c r="E136" s="753"/>
      <c r="F136" s="753"/>
      <c r="G136" s="753"/>
      <c r="H136" s="753"/>
      <c r="I136" s="753"/>
      <c r="J136" s="753"/>
      <c r="K136" s="753"/>
      <c r="L136" s="753"/>
      <c r="M136" s="753"/>
    </row>
    <row r="137" spans="1:13" s="755" customFormat="1">
      <c r="A137" s="753"/>
      <c r="B137" s="762"/>
      <c r="C137" s="762"/>
      <c r="D137" s="762"/>
      <c r="E137" s="753"/>
      <c r="F137" s="753"/>
      <c r="G137" s="753"/>
      <c r="H137" s="753"/>
      <c r="I137" s="753"/>
      <c r="J137" s="753"/>
      <c r="K137" s="753"/>
      <c r="L137" s="753"/>
      <c r="M137" s="753"/>
    </row>
    <row r="138" spans="1:13" s="755" customFormat="1">
      <c r="A138" s="753"/>
      <c r="B138" s="762"/>
      <c r="C138" s="762"/>
      <c r="D138" s="762"/>
      <c r="E138" s="753"/>
      <c r="F138" s="753"/>
      <c r="G138" s="753"/>
      <c r="H138" s="753"/>
      <c r="I138" s="753"/>
      <c r="J138" s="753"/>
      <c r="K138" s="753"/>
      <c r="L138" s="753"/>
      <c r="M138" s="753"/>
    </row>
    <row r="139" spans="1:13" s="755" customFormat="1">
      <c r="A139" s="753"/>
      <c r="B139" s="762"/>
      <c r="C139" s="762"/>
      <c r="D139" s="762"/>
      <c r="E139" s="753"/>
      <c r="F139" s="753"/>
      <c r="G139" s="753"/>
      <c r="H139" s="753"/>
      <c r="I139" s="753"/>
      <c r="J139" s="753"/>
      <c r="K139" s="753"/>
      <c r="L139" s="753"/>
      <c r="M139" s="753"/>
    </row>
    <row r="140" spans="1:13" s="755" customFormat="1">
      <c r="A140" s="753"/>
      <c r="B140" s="762"/>
      <c r="C140" s="762"/>
      <c r="D140" s="762"/>
      <c r="E140" s="753"/>
      <c r="F140" s="753"/>
      <c r="G140" s="753"/>
      <c r="H140" s="753"/>
      <c r="I140" s="753"/>
      <c r="J140" s="753"/>
      <c r="K140" s="753"/>
      <c r="L140" s="753"/>
      <c r="M140" s="753"/>
    </row>
    <row r="141" spans="1:13" s="755" customFormat="1">
      <c r="A141" s="753"/>
      <c r="B141" s="762"/>
      <c r="C141" s="762"/>
      <c r="D141" s="762"/>
      <c r="E141" s="753"/>
      <c r="F141" s="753"/>
      <c r="G141" s="753"/>
      <c r="H141" s="753"/>
      <c r="I141" s="753"/>
      <c r="J141" s="753"/>
      <c r="K141" s="753"/>
      <c r="L141" s="753"/>
      <c r="M141" s="753"/>
    </row>
    <row r="142" spans="1:13" s="755" customFormat="1">
      <c r="A142" s="753"/>
      <c r="B142" s="762"/>
      <c r="C142" s="762"/>
      <c r="D142" s="762"/>
      <c r="E142" s="753"/>
      <c r="F142" s="753"/>
      <c r="G142" s="753"/>
      <c r="H142" s="753"/>
      <c r="I142" s="753"/>
      <c r="J142" s="753"/>
      <c r="K142" s="753"/>
      <c r="L142" s="753"/>
      <c r="M142" s="753"/>
    </row>
    <row r="143" spans="1:13" s="755" customFormat="1">
      <c r="A143" s="753"/>
      <c r="B143" s="762"/>
      <c r="C143" s="762"/>
      <c r="D143" s="762"/>
      <c r="E143" s="753"/>
      <c r="F143" s="753"/>
      <c r="G143" s="753"/>
      <c r="H143" s="753"/>
      <c r="I143" s="753"/>
      <c r="J143" s="753"/>
      <c r="K143" s="753"/>
      <c r="L143" s="753"/>
      <c r="M143" s="753"/>
    </row>
    <row r="144" spans="1:13" s="755" customFormat="1">
      <c r="A144" s="753"/>
      <c r="B144" s="762"/>
      <c r="C144" s="762"/>
      <c r="D144" s="762"/>
      <c r="E144" s="753"/>
      <c r="F144" s="753"/>
      <c r="G144" s="753"/>
      <c r="H144" s="753"/>
      <c r="I144" s="753"/>
      <c r="J144" s="753"/>
      <c r="K144" s="753"/>
      <c r="L144" s="753"/>
      <c r="M144" s="753"/>
    </row>
    <row r="145" spans="1:13" s="755" customFormat="1">
      <c r="A145" s="753"/>
      <c r="B145" s="762"/>
      <c r="C145" s="762"/>
      <c r="D145" s="762"/>
      <c r="E145" s="753"/>
      <c r="F145" s="753"/>
      <c r="G145" s="753"/>
      <c r="H145" s="753"/>
      <c r="I145" s="753"/>
      <c r="J145" s="753"/>
      <c r="K145" s="753"/>
      <c r="L145" s="753"/>
      <c r="M145" s="753"/>
    </row>
    <row r="146" spans="1:13" s="755" customFormat="1">
      <c r="A146" s="753"/>
      <c r="B146" s="762"/>
      <c r="C146" s="762"/>
      <c r="D146" s="762"/>
      <c r="E146" s="753"/>
      <c r="F146" s="753"/>
      <c r="G146" s="753"/>
      <c r="H146" s="753"/>
      <c r="I146" s="753"/>
      <c r="J146" s="753"/>
      <c r="K146" s="753"/>
      <c r="L146" s="753"/>
      <c r="M146" s="753"/>
    </row>
    <row r="147" spans="1:13" s="755" customFormat="1">
      <c r="A147" s="753"/>
      <c r="B147" s="762"/>
      <c r="C147" s="762"/>
      <c r="D147" s="762"/>
      <c r="E147" s="753"/>
      <c r="F147" s="753"/>
      <c r="G147" s="753"/>
      <c r="H147" s="753"/>
      <c r="I147" s="753"/>
      <c r="J147" s="753"/>
      <c r="K147" s="753"/>
      <c r="L147" s="753"/>
      <c r="M147" s="753"/>
    </row>
    <row r="148" spans="1:13" s="755" customFormat="1">
      <c r="A148" s="753"/>
      <c r="B148" s="762"/>
      <c r="C148" s="762"/>
      <c r="D148" s="762"/>
      <c r="E148" s="753"/>
      <c r="F148" s="753"/>
      <c r="G148" s="753"/>
      <c r="H148" s="753"/>
      <c r="I148" s="753"/>
      <c r="J148" s="753"/>
      <c r="K148" s="753"/>
      <c r="L148" s="753"/>
      <c r="M148" s="753"/>
    </row>
    <row r="149" spans="1:13" s="755" customFormat="1">
      <c r="A149" s="753"/>
      <c r="B149" s="762"/>
      <c r="C149" s="762"/>
      <c r="D149" s="762"/>
      <c r="E149" s="753"/>
      <c r="F149" s="753"/>
      <c r="G149" s="753"/>
      <c r="H149" s="753"/>
      <c r="I149" s="753"/>
      <c r="J149" s="753"/>
      <c r="K149" s="753"/>
      <c r="L149" s="753"/>
      <c r="M149" s="753"/>
    </row>
    <row r="150" spans="1:13" s="755" customFormat="1">
      <c r="A150" s="753"/>
      <c r="B150" s="762"/>
      <c r="C150" s="762"/>
      <c r="D150" s="762"/>
      <c r="E150" s="753"/>
      <c r="F150" s="753"/>
      <c r="G150" s="753"/>
      <c r="H150" s="753"/>
      <c r="I150" s="753"/>
      <c r="J150" s="753"/>
      <c r="K150" s="753"/>
      <c r="L150" s="753"/>
      <c r="M150" s="753"/>
    </row>
    <row r="151" spans="1:13" s="755" customFormat="1">
      <c r="A151" s="753"/>
      <c r="B151" s="762"/>
      <c r="C151" s="762"/>
      <c r="D151" s="762"/>
      <c r="E151" s="753"/>
      <c r="F151" s="753"/>
      <c r="G151" s="753"/>
      <c r="H151" s="753"/>
      <c r="I151" s="753"/>
      <c r="J151" s="753"/>
      <c r="K151" s="753"/>
      <c r="L151" s="753"/>
      <c r="M151" s="753"/>
    </row>
    <row r="152" spans="1:13" s="755" customFormat="1">
      <c r="A152" s="753"/>
      <c r="B152" s="762"/>
      <c r="C152" s="762"/>
      <c r="D152" s="762"/>
      <c r="E152" s="753"/>
      <c r="F152" s="753"/>
      <c r="G152" s="753"/>
      <c r="H152" s="753"/>
      <c r="I152" s="753"/>
      <c r="J152" s="753"/>
      <c r="K152" s="753"/>
      <c r="L152" s="753"/>
      <c r="M152" s="753"/>
    </row>
    <row r="153" spans="1:13" s="755" customFormat="1">
      <c r="A153" s="753"/>
      <c r="B153" s="762"/>
      <c r="C153" s="762"/>
      <c r="D153" s="762"/>
      <c r="E153" s="753"/>
      <c r="F153" s="753"/>
      <c r="G153" s="753"/>
      <c r="H153" s="753"/>
      <c r="I153" s="753"/>
      <c r="J153" s="753"/>
      <c r="K153" s="753"/>
      <c r="L153" s="753"/>
      <c r="M153" s="753"/>
    </row>
    <row r="154" spans="1:13" s="755" customFormat="1">
      <c r="A154" s="753"/>
      <c r="B154" s="762"/>
      <c r="C154" s="762"/>
      <c r="D154" s="762"/>
      <c r="E154" s="753"/>
      <c r="F154" s="753"/>
      <c r="G154" s="753"/>
      <c r="H154" s="753"/>
      <c r="I154" s="753"/>
      <c r="J154" s="753"/>
      <c r="K154" s="753"/>
      <c r="L154" s="753"/>
      <c r="M154" s="753"/>
    </row>
    <row r="155" spans="1:13" s="755" customFormat="1">
      <c r="A155" s="753"/>
      <c r="B155" s="762"/>
      <c r="C155" s="762"/>
      <c r="D155" s="762"/>
      <c r="E155" s="753"/>
      <c r="F155" s="753"/>
      <c r="G155" s="753"/>
      <c r="H155" s="753"/>
      <c r="I155" s="753"/>
      <c r="J155" s="753"/>
      <c r="K155" s="753"/>
      <c r="L155" s="753"/>
      <c r="M155" s="753"/>
    </row>
    <row r="156" spans="1:13" s="755" customFormat="1">
      <c r="A156" s="753"/>
      <c r="B156" s="762"/>
      <c r="C156" s="762"/>
      <c r="D156" s="762"/>
      <c r="E156" s="753"/>
      <c r="F156" s="753"/>
      <c r="G156" s="753"/>
      <c r="H156" s="753"/>
      <c r="I156" s="753"/>
      <c r="J156" s="753"/>
      <c r="K156" s="753"/>
      <c r="L156" s="753"/>
      <c r="M156" s="753"/>
    </row>
    <row r="157" spans="1:13" s="755" customFormat="1">
      <c r="A157" s="753"/>
      <c r="B157" s="762"/>
      <c r="C157" s="762"/>
      <c r="D157" s="762"/>
      <c r="E157" s="753"/>
      <c r="F157" s="753"/>
      <c r="G157" s="753"/>
      <c r="H157" s="753"/>
      <c r="I157" s="753"/>
      <c r="J157" s="753"/>
      <c r="K157" s="753"/>
      <c r="L157" s="753"/>
      <c r="M157" s="753"/>
    </row>
    <row r="158" spans="1:13" s="755" customFormat="1">
      <c r="A158" s="753"/>
      <c r="B158" s="762"/>
      <c r="C158" s="762"/>
      <c r="D158" s="762"/>
      <c r="E158" s="753"/>
      <c r="F158" s="753"/>
      <c r="G158" s="753"/>
      <c r="H158" s="753"/>
      <c r="I158" s="753"/>
      <c r="J158" s="753"/>
      <c r="K158" s="753"/>
      <c r="L158" s="753"/>
      <c r="M158" s="753"/>
    </row>
    <row r="159" spans="1:13" s="755" customFormat="1">
      <c r="A159" s="753"/>
      <c r="B159" s="762"/>
      <c r="C159" s="762"/>
      <c r="D159" s="762"/>
      <c r="E159" s="753"/>
      <c r="F159" s="753"/>
      <c r="G159" s="753"/>
      <c r="H159" s="753"/>
      <c r="I159" s="753"/>
      <c r="J159" s="753"/>
      <c r="K159" s="753"/>
      <c r="L159" s="753"/>
      <c r="M159" s="753"/>
    </row>
    <row r="160" spans="1:13" s="755" customFormat="1">
      <c r="A160" s="753"/>
      <c r="B160" s="762"/>
      <c r="C160" s="762"/>
      <c r="D160" s="762"/>
      <c r="E160" s="753"/>
      <c r="F160" s="753"/>
      <c r="G160" s="753"/>
      <c r="H160" s="753"/>
      <c r="I160" s="753"/>
      <c r="J160" s="753"/>
      <c r="K160" s="753"/>
      <c r="L160" s="753"/>
      <c r="M160" s="753"/>
    </row>
    <row r="161" spans="1:13" s="755" customFormat="1">
      <c r="A161" s="753"/>
      <c r="B161" s="762"/>
      <c r="C161" s="762"/>
      <c r="D161" s="762"/>
      <c r="E161" s="753"/>
      <c r="F161" s="753"/>
      <c r="G161" s="753"/>
      <c r="H161" s="753"/>
      <c r="I161" s="753"/>
      <c r="J161" s="753"/>
      <c r="K161" s="753"/>
      <c r="L161" s="753"/>
      <c r="M161" s="753"/>
    </row>
    <row r="162" spans="1:13" s="755" customFormat="1">
      <c r="A162" s="753"/>
      <c r="B162" s="762"/>
      <c r="C162" s="762"/>
      <c r="D162" s="762"/>
      <c r="E162" s="753"/>
      <c r="F162" s="753"/>
      <c r="G162" s="753"/>
      <c r="H162" s="753"/>
      <c r="I162" s="753"/>
      <c r="J162" s="753"/>
      <c r="K162" s="753"/>
      <c r="L162" s="753"/>
      <c r="M162" s="753"/>
    </row>
    <row r="163" spans="1:13" s="755" customFormat="1">
      <c r="A163" s="753"/>
      <c r="B163" s="762"/>
      <c r="C163" s="762"/>
      <c r="D163" s="762"/>
      <c r="E163" s="753"/>
      <c r="F163" s="753"/>
      <c r="G163" s="753"/>
      <c r="H163" s="753"/>
      <c r="I163" s="753"/>
      <c r="J163" s="753"/>
      <c r="K163" s="753"/>
      <c r="L163" s="753"/>
      <c r="M163" s="753"/>
    </row>
    <row r="164" spans="1:13" s="755" customFormat="1">
      <c r="A164" s="753"/>
      <c r="B164" s="762"/>
      <c r="C164" s="762"/>
      <c r="D164" s="762"/>
      <c r="E164" s="753"/>
      <c r="F164" s="753"/>
      <c r="G164" s="753"/>
      <c r="H164" s="753"/>
      <c r="I164" s="753"/>
      <c r="J164" s="753"/>
      <c r="K164" s="753"/>
      <c r="L164" s="753"/>
      <c r="M164" s="753"/>
    </row>
    <row r="165" spans="1:13" s="755" customFormat="1">
      <c r="A165" s="753"/>
      <c r="B165" s="762"/>
      <c r="C165" s="762"/>
      <c r="D165" s="762"/>
      <c r="E165" s="753"/>
      <c r="F165" s="753"/>
      <c r="G165" s="753"/>
      <c r="H165" s="753"/>
      <c r="I165" s="753"/>
      <c r="J165" s="753"/>
      <c r="K165" s="753"/>
      <c r="L165" s="753"/>
      <c r="M165" s="753"/>
    </row>
    <row r="166" spans="1:13" s="755" customFormat="1">
      <c r="A166" s="753"/>
      <c r="B166" s="762"/>
      <c r="C166" s="762"/>
      <c r="D166" s="762"/>
      <c r="E166" s="753"/>
      <c r="F166" s="753"/>
      <c r="G166" s="753"/>
      <c r="H166" s="753"/>
      <c r="I166" s="753"/>
      <c r="J166" s="753"/>
      <c r="K166" s="753"/>
      <c r="L166" s="753"/>
      <c r="M166" s="753"/>
    </row>
    <row r="167" spans="1:13" s="755" customFormat="1">
      <c r="A167" s="753"/>
      <c r="B167" s="762"/>
      <c r="C167" s="762"/>
      <c r="D167" s="762"/>
      <c r="E167" s="753"/>
      <c r="F167" s="753"/>
      <c r="G167" s="753"/>
      <c r="H167" s="753"/>
      <c r="I167" s="753"/>
      <c r="J167" s="753"/>
      <c r="K167" s="753"/>
      <c r="L167" s="753"/>
      <c r="M167" s="753"/>
    </row>
    <row r="168" spans="1:13" s="755" customFormat="1">
      <c r="A168" s="753"/>
      <c r="B168" s="762"/>
      <c r="C168" s="762"/>
      <c r="D168" s="762"/>
      <c r="E168" s="753"/>
      <c r="F168" s="753"/>
      <c r="G168" s="753"/>
      <c r="H168" s="753"/>
      <c r="I168" s="753"/>
      <c r="J168" s="753"/>
      <c r="K168" s="753"/>
      <c r="L168" s="753"/>
      <c r="M168" s="753"/>
    </row>
    <row r="169" spans="1:13" s="755" customFormat="1">
      <c r="A169" s="753"/>
      <c r="B169" s="762"/>
      <c r="C169" s="762"/>
      <c r="D169" s="762"/>
      <c r="E169" s="753"/>
      <c r="F169" s="753"/>
      <c r="G169" s="753"/>
      <c r="H169" s="753"/>
      <c r="I169" s="753"/>
      <c r="J169" s="753"/>
      <c r="K169" s="753"/>
      <c r="L169" s="753"/>
      <c r="M169" s="753"/>
    </row>
    <row r="170" spans="1:13" s="755" customFormat="1">
      <c r="A170" s="753"/>
      <c r="B170" s="762"/>
      <c r="C170" s="762"/>
      <c r="D170" s="762"/>
      <c r="E170" s="753"/>
      <c r="F170" s="753"/>
      <c r="G170" s="753"/>
      <c r="H170" s="753"/>
      <c r="I170" s="753"/>
      <c r="J170" s="753"/>
      <c r="K170" s="753"/>
      <c r="L170" s="753"/>
      <c r="M170" s="753"/>
    </row>
    <row r="171" spans="1:13" s="755" customFormat="1">
      <c r="A171" s="753"/>
      <c r="B171" s="762"/>
      <c r="C171" s="762"/>
      <c r="D171" s="762"/>
      <c r="E171" s="753"/>
      <c r="F171" s="753"/>
      <c r="G171" s="753"/>
      <c r="H171" s="753"/>
      <c r="I171" s="753"/>
      <c r="J171" s="753"/>
      <c r="K171" s="753"/>
      <c r="L171" s="753"/>
      <c r="M171" s="753"/>
    </row>
    <row r="172" spans="1:13" s="755" customFormat="1">
      <c r="A172" s="753"/>
      <c r="B172" s="762"/>
      <c r="C172" s="762"/>
      <c r="D172" s="762"/>
      <c r="E172" s="753"/>
      <c r="F172" s="753"/>
      <c r="G172" s="753"/>
      <c r="H172" s="753"/>
      <c r="I172" s="753"/>
      <c r="J172" s="753"/>
      <c r="K172" s="753"/>
      <c r="L172" s="753"/>
      <c r="M172" s="753"/>
    </row>
    <row r="173" spans="1:13" s="755" customFormat="1">
      <c r="A173" s="753"/>
      <c r="B173" s="762"/>
      <c r="C173" s="762"/>
      <c r="D173" s="762"/>
      <c r="E173" s="753"/>
      <c r="F173" s="753"/>
      <c r="G173" s="753"/>
      <c r="H173" s="753"/>
      <c r="I173" s="753"/>
      <c r="J173" s="753"/>
      <c r="K173" s="753"/>
      <c r="L173" s="753"/>
      <c r="M173" s="753"/>
    </row>
    <row r="174" spans="1:13" s="755" customFormat="1">
      <c r="A174" s="753"/>
      <c r="B174" s="762"/>
      <c r="C174" s="762"/>
      <c r="D174" s="762"/>
      <c r="E174" s="753"/>
      <c r="F174" s="753"/>
      <c r="G174" s="753"/>
      <c r="H174" s="753"/>
      <c r="I174" s="753"/>
      <c r="J174" s="753"/>
      <c r="K174" s="753"/>
      <c r="L174" s="753"/>
      <c r="M174" s="753"/>
    </row>
    <row r="175" spans="1:13" s="755" customFormat="1">
      <c r="A175" s="753"/>
      <c r="B175" s="762"/>
      <c r="C175" s="762"/>
      <c r="D175" s="762"/>
      <c r="E175" s="753"/>
      <c r="F175" s="753"/>
      <c r="G175" s="753"/>
      <c r="H175" s="753"/>
      <c r="I175" s="753"/>
      <c r="J175" s="753"/>
      <c r="K175" s="753"/>
      <c r="L175" s="753"/>
      <c r="M175" s="753"/>
    </row>
    <row r="176" spans="1:13" s="755" customFormat="1">
      <c r="A176" s="753"/>
      <c r="B176" s="762"/>
      <c r="C176" s="762"/>
      <c r="D176" s="762"/>
      <c r="E176" s="753"/>
      <c r="F176" s="753"/>
      <c r="G176" s="753"/>
      <c r="H176" s="753"/>
      <c r="I176" s="753"/>
      <c r="J176" s="753"/>
      <c r="K176" s="753"/>
      <c r="L176" s="753"/>
      <c r="M176" s="753"/>
    </row>
    <row r="177" spans="1:13" s="755" customFormat="1">
      <c r="A177" s="753"/>
      <c r="B177" s="762"/>
      <c r="C177" s="762"/>
      <c r="D177" s="762"/>
      <c r="E177" s="753"/>
      <c r="F177" s="753"/>
      <c r="G177" s="753"/>
      <c r="H177" s="753"/>
      <c r="I177" s="753"/>
      <c r="J177" s="753"/>
      <c r="K177" s="753"/>
      <c r="L177" s="753"/>
      <c r="M177" s="753"/>
    </row>
    <row r="178" spans="1:13" s="755" customFormat="1">
      <c r="A178" s="753"/>
      <c r="B178" s="762"/>
      <c r="C178" s="762"/>
      <c r="D178" s="762"/>
      <c r="E178" s="753"/>
      <c r="F178" s="753"/>
      <c r="G178" s="753"/>
      <c r="H178" s="753"/>
      <c r="I178" s="753"/>
      <c r="J178" s="753"/>
      <c r="K178" s="753"/>
      <c r="L178" s="753"/>
      <c r="M178" s="753"/>
    </row>
    <row r="179" spans="1:13" s="755" customFormat="1">
      <c r="A179" s="753"/>
      <c r="B179" s="762"/>
      <c r="C179" s="762"/>
      <c r="D179" s="762"/>
      <c r="E179" s="753"/>
      <c r="F179" s="753"/>
      <c r="G179" s="753"/>
      <c r="H179" s="753"/>
      <c r="I179" s="753"/>
      <c r="J179" s="753"/>
      <c r="K179" s="753"/>
      <c r="L179" s="753"/>
      <c r="M179" s="753"/>
    </row>
    <row r="180" spans="1:13" s="755" customFormat="1">
      <c r="A180" s="753"/>
      <c r="B180" s="762"/>
      <c r="C180" s="762"/>
      <c r="D180" s="762"/>
      <c r="E180" s="753"/>
      <c r="F180" s="753"/>
      <c r="G180" s="753"/>
      <c r="H180" s="753"/>
      <c r="I180" s="753"/>
      <c r="J180" s="753"/>
      <c r="K180" s="753"/>
      <c r="L180" s="753"/>
      <c r="M180" s="753"/>
    </row>
    <row r="181" spans="1:13" s="755" customFormat="1">
      <c r="A181" s="753"/>
      <c r="B181" s="762"/>
      <c r="C181" s="762"/>
      <c r="D181" s="762"/>
      <c r="E181" s="753"/>
      <c r="F181" s="753"/>
      <c r="G181" s="753"/>
      <c r="H181" s="753"/>
      <c r="I181" s="753"/>
      <c r="J181" s="753"/>
      <c r="K181" s="753"/>
      <c r="L181" s="753"/>
      <c r="M181" s="753"/>
    </row>
    <row r="182" spans="1:13" s="755" customFormat="1">
      <c r="A182" s="753"/>
      <c r="B182" s="762"/>
      <c r="C182" s="762"/>
      <c r="D182" s="762"/>
      <c r="E182" s="753"/>
      <c r="F182" s="753"/>
      <c r="G182" s="753"/>
      <c r="H182" s="753"/>
      <c r="I182" s="753"/>
      <c r="J182" s="753"/>
      <c r="K182" s="753"/>
      <c r="L182" s="753"/>
      <c r="M182" s="753"/>
    </row>
    <row r="183" spans="1:13" s="755" customFormat="1">
      <c r="A183" s="753"/>
      <c r="B183" s="762"/>
      <c r="C183" s="762"/>
      <c r="D183" s="762"/>
      <c r="E183" s="753"/>
      <c r="F183" s="753"/>
      <c r="G183" s="753"/>
      <c r="H183" s="753"/>
      <c r="I183" s="753"/>
      <c r="J183" s="753"/>
      <c r="K183" s="753"/>
      <c r="L183" s="753"/>
      <c r="M183" s="753"/>
    </row>
    <row r="184" spans="1:13" s="755" customFormat="1">
      <c r="A184" s="753"/>
      <c r="B184" s="762"/>
      <c r="C184" s="762"/>
      <c r="D184" s="762"/>
      <c r="E184" s="753"/>
      <c r="F184" s="753"/>
      <c r="G184" s="753"/>
      <c r="H184" s="753"/>
      <c r="I184" s="753"/>
      <c r="J184" s="753"/>
      <c r="K184" s="753"/>
      <c r="L184" s="753"/>
      <c r="M184" s="753"/>
    </row>
    <row r="185" spans="1:13" s="755" customFormat="1">
      <c r="A185" s="753"/>
      <c r="B185" s="762"/>
      <c r="C185" s="762"/>
      <c r="D185" s="762"/>
      <c r="E185" s="753"/>
      <c r="F185" s="753"/>
      <c r="G185" s="753"/>
      <c r="H185" s="753"/>
      <c r="I185" s="753"/>
      <c r="J185" s="753"/>
      <c r="K185" s="753"/>
      <c r="L185" s="753"/>
      <c r="M185" s="753"/>
    </row>
    <row r="186" spans="1:13" s="755" customFormat="1">
      <c r="A186" s="753"/>
      <c r="B186" s="762"/>
      <c r="C186" s="762"/>
      <c r="D186" s="762"/>
      <c r="E186" s="753"/>
      <c r="F186" s="753"/>
      <c r="G186" s="753"/>
      <c r="H186" s="753"/>
      <c r="I186" s="753"/>
      <c r="J186" s="753"/>
      <c r="K186" s="753"/>
      <c r="L186" s="753"/>
      <c r="M186" s="753"/>
    </row>
    <row r="187" spans="1:13" s="755" customFormat="1">
      <c r="A187" s="753"/>
      <c r="B187" s="762"/>
      <c r="C187" s="762"/>
      <c r="D187" s="762"/>
      <c r="E187" s="753"/>
      <c r="F187" s="753"/>
      <c r="G187" s="753"/>
      <c r="H187" s="753"/>
      <c r="I187" s="753"/>
      <c r="J187" s="753"/>
      <c r="K187" s="753"/>
      <c r="L187" s="753"/>
      <c r="M187" s="753"/>
    </row>
    <row r="188" spans="1:13" s="755" customFormat="1">
      <c r="A188" s="753"/>
      <c r="B188" s="762"/>
      <c r="C188" s="762"/>
      <c r="D188" s="762"/>
      <c r="E188" s="753"/>
      <c r="F188" s="753"/>
      <c r="G188" s="753"/>
      <c r="H188" s="753"/>
      <c r="I188" s="753"/>
      <c r="J188" s="753"/>
      <c r="K188" s="753"/>
      <c r="L188" s="753"/>
      <c r="M188" s="753"/>
    </row>
    <row r="189" spans="1:13" s="755" customFormat="1">
      <c r="A189" s="753"/>
      <c r="B189" s="762"/>
      <c r="C189" s="762"/>
      <c r="D189" s="762"/>
      <c r="E189" s="753"/>
      <c r="F189" s="753"/>
      <c r="G189" s="753"/>
      <c r="H189" s="753"/>
      <c r="I189" s="753"/>
      <c r="J189" s="753"/>
      <c r="K189" s="753"/>
      <c r="L189" s="753"/>
      <c r="M189" s="753"/>
    </row>
    <row r="190" spans="1:13" s="755" customFormat="1">
      <c r="A190" s="753"/>
      <c r="B190" s="762"/>
      <c r="C190" s="762"/>
      <c r="D190" s="762"/>
      <c r="E190" s="753"/>
      <c r="F190" s="753"/>
      <c r="G190" s="753"/>
      <c r="H190" s="753"/>
      <c r="I190" s="753"/>
      <c r="J190" s="753"/>
      <c r="K190" s="753"/>
      <c r="L190" s="753"/>
      <c r="M190" s="753"/>
    </row>
    <row r="191" spans="1:13" s="755" customFormat="1">
      <c r="A191" s="753"/>
      <c r="B191" s="762"/>
      <c r="C191" s="762"/>
      <c r="D191" s="762"/>
      <c r="E191" s="753"/>
      <c r="F191" s="753"/>
      <c r="G191" s="753"/>
      <c r="H191" s="753"/>
      <c r="I191" s="753"/>
      <c r="J191" s="753"/>
      <c r="K191" s="753"/>
      <c r="L191" s="753"/>
      <c r="M191" s="753"/>
    </row>
    <row r="192" spans="1:13" s="755" customFormat="1">
      <c r="A192" s="753"/>
      <c r="B192" s="762"/>
      <c r="C192" s="762"/>
      <c r="D192" s="762"/>
      <c r="E192" s="753"/>
      <c r="F192" s="753"/>
      <c r="G192" s="753"/>
      <c r="H192" s="753"/>
      <c r="I192" s="753"/>
      <c r="J192" s="753"/>
      <c r="K192" s="753"/>
      <c r="L192" s="753"/>
      <c r="M192" s="753"/>
    </row>
    <row r="193" spans="1:13" s="755" customFormat="1">
      <c r="A193" s="753"/>
      <c r="B193" s="762"/>
      <c r="C193" s="762"/>
      <c r="D193" s="762"/>
      <c r="E193" s="753"/>
      <c r="F193" s="753"/>
      <c r="G193" s="753"/>
      <c r="H193" s="753"/>
      <c r="I193" s="753"/>
      <c r="J193" s="753"/>
      <c r="K193" s="753"/>
      <c r="L193" s="753"/>
      <c r="M193" s="753"/>
    </row>
    <row r="194" spans="1:13" s="755" customFormat="1">
      <c r="A194" s="753"/>
      <c r="B194" s="753"/>
      <c r="C194" s="753"/>
      <c r="D194" s="753"/>
      <c r="E194" s="753"/>
      <c r="F194" s="753"/>
      <c r="G194" s="753"/>
      <c r="H194" s="753"/>
      <c r="I194" s="753"/>
      <c r="J194" s="753"/>
      <c r="K194" s="753"/>
      <c r="L194" s="753"/>
      <c r="M194" s="753"/>
    </row>
    <row r="195" spans="1:13" s="755" customFormat="1">
      <c r="A195" s="753"/>
      <c r="B195" s="753"/>
      <c r="C195" s="753"/>
      <c r="D195" s="753"/>
      <c r="E195" s="753"/>
      <c r="F195" s="753"/>
      <c r="G195" s="753"/>
      <c r="H195" s="753"/>
      <c r="I195" s="753"/>
      <c r="J195" s="753"/>
      <c r="K195" s="753"/>
      <c r="L195" s="753"/>
      <c r="M195" s="753"/>
    </row>
    <row r="196" spans="1:13" s="755" customFormat="1">
      <c r="A196" s="753"/>
      <c r="B196" s="753"/>
      <c r="C196" s="753"/>
      <c r="D196" s="753"/>
      <c r="E196" s="753"/>
      <c r="F196" s="753"/>
      <c r="G196" s="753"/>
      <c r="H196" s="753"/>
      <c r="I196" s="753"/>
      <c r="J196" s="753"/>
      <c r="K196" s="753"/>
      <c r="L196" s="753"/>
      <c r="M196" s="753"/>
    </row>
    <row r="197" spans="1:13" s="755" customFormat="1">
      <c r="A197" s="753"/>
      <c r="B197" s="753"/>
      <c r="C197" s="753"/>
      <c r="D197" s="753"/>
      <c r="E197" s="753"/>
      <c r="F197" s="753"/>
      <c r="G197" s="753"/>
      <c r="H197" s="753"/>
      <c r="I197" s="753"/>
      <c r="J197" s="753"/>
      <c r="K197" s="753"/>
      <c r="L197" s="753"/>
      <c r="M197" s="753"/>
    </row>
    <row r="198" spans="1:13" s="755" customFormat="1">
      <c r="A198" s="753"/>
      <c r="B198" s="753"/>
      <c r="C198" s="753"/>
      <c r="D198" s="753"/>
      <c r="E198" s="753"/>
      <c r="F198" s="753"/>
      <c r="G198" s="753"/>
      <c r="H198" s="753"/>
      <c r="I198" s="753"/>
      <c r="J198" s="753"/>
      <c r="K198" s="753"/>
      <c r="L198" s="753"/>
      <c r="M198" s="753"/>
    </row>
    <row r="199" spans="1:13" s="755" customFormat="1">
      <c r="A199" s="753"/>
      <c r="B199" s="753"/>
      <c r="C199" s="753"/>
      <c r="D199" s="753"/>
      <c r="E199" s="753"/>
      <c r="F199" s="753"/>
      <c r="G199" s="753"/>
      <c r="H199" s="753"/>
      <c r="I199" s="753"/>
      <c r="J199" s="753"/>
      <c r="K199" s="753"/>
      <c r="L199" s="753"/>
      <c r="M199" s="753"/>
    </row>
    <row r="200" spans="1:13" s="755" customFormat="1">
      <c r="A200" s="753"/>
      <c r="B200" s="753"/>
      <c r="C200" s="753"/>
      <c r="D200" s="753"/>
      <c r="E200" s="753"/>
      <c r="F200" s="753"/>
      <c r="G200" s="753"/>
      <c r="H200" s="753"/>
      <c r="I200" s="753"/>
      <c r="J200" s="753"/>
      <c r="K200" s="753"/>
      <c r="L200" s="753"/>
      <c r="M200" s="753"/>
    </row>
    <row r="201" spans="1:13" s="755" customFormat="1">
      <c r="A201" s="753"/>
      <c r="B201" s="753"/>
      <c r="C201" s="753"/>
      <c r="D201" s="753"/>
      <c r="E201" s="753"/>
      <c r="F201" s="753"/>
      <c r="G201" s="753"/>
      <c r="H201" s="753"/>
      <c r="I201" s="753"/>
      <c r="J201" s="753"/>
      <c r="K201" s="753"/>
      <c r="L201" s="753"/>
      <c r="M201" s="753"/>
    </row>
    <row r="202" spans="1:13" s="755" customFormat="1">
      <c r="A202" s="753"/>
      <c r="B202" s="753"/>
      <c r="C202" s="753"/>
      <c r="D202" s="753"/>
      <c r="E202" s="753"/>
      <c r="F202" s="753"/>
      <c r="G202" s="753"/>
      <c r="H202" s="753"/>
      <c r="I202" s="753"/>
      <c r="J202" s="753"/>
      <c r="K202" s="753"/>
      <c r="L202" s="753"/>
      <c r="M202" s="753"/>
    </row>
    <row r="203" spans="1:13" s="755" customFormat="1">
      <c r="A203" s="753"/>
      <c r="B203" s="753"/>
      <c r="C203" s="753"/>
      <c r="D203" s="753"/>
      <c r="E203" s="753"/>
      <c r="F203" s="753"/>
      <c r="G203" s="753"/>
      <c r="H203" s="753"/>
      <c r="I203" s="753"/>
      <c r="J203" s="753"/>
      <c r="K203" s="753"/>
      <c r="L203" s="753"/>
      <c r="M203" s="753"/>
    </row>
    <row r="204" spans="1:13" s="755" customFormat="1">
      <c r="A204" s="753"/>
      <c r="B204" s="753"/>
      <c r="C204" s="753"/>
      <c r="D204" s="753"/>
      <c r="E204" s="753"/>
      <c r="F204" s="753"/>
      <c r="G204" s="753"/>
      <c r="H204" s="753"/>
      <c r="I204" s="753"/>
      <c r="J204" s="753"/>
      <c r="K204" s="753"/>
      <c r="L204" s="753"/>
      <c r="M204" s="753"/>
    </row>
    <row r="205" spans="1:13" s="755" customFormat="1">
      <c r="A205" s="753"/>
      <c r="B205" s="753"/>
      <c r="C205" s="753"/>
      <c r="D205" s="753"/>
      <c r="E205" s="753"/>
      <c r="F205" s="753"/>
      <c r="G205" s="753"/>
      <c r="H205" s="753"/>
      <c r="I205" s="753"/>
      <c r="J205" s="753"/>
      <c r="K205" s="753"/>
      <c r="L205" s="753"/>
      <c r="M205" s="753"/>
    </row>
    <row r="206" spans="1:13" s="755" customFormat="1">
      <c r="A206" s="753"/>
      <c r="B206" s="753"/>
      <c r="C206" s="753"/>
      <c r="D206" s="753"/>
      <c r="E206" s="753"/>
      <c r="F206" s="753"/>
      <c r="G206" s="753"/>
      <c r="H206" s="753"/>
      <c r="I206" s="753"/>
      <c r="J206" s="753"/>
      <c r="K206" s="753"/>
      <c r="L206" s="753"/>
      <c r="M206" s="753"/>
    </row>
    <row r="207" spans="1:13" s="755" customFormat="1">
      <c r="A207" s="753"/>
      <c r="B207" s="753"/>
      <c r="C207" s="753"/>
      <c r="D207" s="753"/>
      <c r="E207" s="753"/>
      <c r="F207" s="753"/>
      <c r="G207" s="753"/>
      <c r="H207" s="753"/>
      <c r="I207" s="753"/>
      <c r="J207" s="753"/>
      <c r="K207" s="753"/>
      <c r="L207" s="753"/>
      <c r="M207" s="753"/>
    </row>
    <row r="208" spans="1:13" s="755" customFormat="1">
      <c r="A208" s="753"/>
      <c r="B208" s="753"/>
      <c r="C208" s="753"/>
      <c r="D208" s="753"/>
      <c r="E208" s="753"/>
      <c r="F208" s="753"/>
      <c r="G208" s="753"/>
      <c r="H208" s="753"/>
      <c r="I208" s="753"/>
      <c r="J208" s="753"/>
      <c r="K208" s="753"/>
      <c r="L208" s="753"/>
      <c r="M208" s="753"/>
    </row>
    <row r="209" spans="1:13" s="755" customFormat="1">
      <c r="A209" s="753"/>
      <c r="B209" s="753"/>
      <c r="C209" s="753"/>
      <c r="D209" s="753"/>
      <c r="E209" s="753"/>
      <c r="F209" s="753"/>
      <c r="G209" s="753"/>
      <c r="H209" s="753"/>
      <c r="I209" s="753"/>
      <c r="J209" s="753"/>
      <c r="K209" s="753"/>
      <c r="L209" s="753"/>
      <c r="M209" s="753"/>
    </row>
    <row r="210" spans="1:13" s="755" customFormat="1">
      <c r="A210" s="753"/>
      <c r="B210" s="753"/>
      <c r="C210" s="753"/>
      <c r="D210" s="753"/>
      <c r="E210" s="753"/>
      <c r="F210" s="753"/>
      <c r="G210" s="753"/>
      <c r="H210" s="753"/>
      <c r="I210" s="753"/>
      <c r="J210" s="753"/>
      <c r="K210" s="753"/>
      <c r="L210" s="753"/>
      <c r="M210" s="753"/>
    </row>
    <row r="211" spans="1:13" s="755" customFormat="1">
      <c r="A211" s="753"/>
      <c r="B211" s="753"/>
      <c r="C211" s="753"/>
      <c r="D211" s="753"/>
      <c r="E211" s="753"/>
      <c r="F211" s="753"/>
      <c r="G211" s="753"/>
      <c r="H211" s="753"/>
      <c r="I211" s="753"/>
      <c r="J211" s="753"/>
      <c r="K211" s="753"/>
      <c r="L211" s="753"/>
      <c r="M211" s="753"/>
    </row>
    <row r="212" spans="1:13" s="755" customFormat="1">
      <c r="A212" s="753"/>
      <c r="B212" s="753"/>
      <c r="C212" s="753"/>
      <c r="D212" s="753"/>
      <c r="E212" s="753"/>
      <c r="F212" s="753"/>
      <c r="G212" s="753"/>
      <c r="H212" s="753"/>
      <c r="I212" s="753"/>
      <c r="J212" s="753"/>
      <c r="K212" s="753"/>
      <c r="L212" s="753"/>
      <c r="M212" s="753"/>
    </row>
    <row r="213" spans="1:13" s="755" customFormat="1">
      <c r="A213" s="753"/>
      <c r="B213" s="753"/>
      <c r="C213" s="753"/>
      <c r="D213" s="753"/>
      <c r="E213" s="753"/>
      <c r="F213" s="753"/>
      <c r="G213" s="753"/>
      <c r="H213" s="753"/>
      <c r="I213" s="753"/>
      <c r="J213" s="753"/>
      <c r="K213" s="753"/>
      <c r="L213" s="753"/>
      <c r="M213" s="753"/>
    </row>
    <row r="214" spans="1:13" s="755" customFormat="1">
      <c r="A214" s="753"/>
      <c r="B214" s="753"/>
      <c r="C214" s="753"/>
      <c r="D214" s="753"/>
      <c r="E214" s="753"/>
      <c r="F214" s="753"/>
      <c r="G214" s="753"/>
      <c r="H214" s="753"/>
      <c r="I214" s="753"/>
      <c r="J214" s="753"/>
      <c r="K214" s="753"/>
      <c r="L214" s="753"/>
      <c r="M214" s="753"/>
    </row>
    <row r="215" spans="1:13" s="755" customFormat="1">
      <c r="A215" s="753"/>
      <c r="B215" s="753"/>
      <c r="C215" s="753"/>
      <c r="D215" s="753"/>
      <c r="E215" s="753"/>
      <c r="F215" s="753"/>
      <c r="G215" s="753"/>
      <c r="H215" s="753"/>
      <c r="I215" s="753"/>
      <c r="J215" s="753"/>
      <c r="K215" s="753"/>
      <c r="L215" s="753"/>
      <c r="M215" s="753"/>
    </row>
    <row r="216" spans="1:13" s="755" customFormat="1">
      <c r="A216" s="753"/>
      <c r="B216" s="753"/>
      <c r="C216" s="753"/>
      <c r="D216" s="753"/>
      <c r="E216" s="753"/>
      <c r="F216" s="753"/>
      <c r="G216" s="753"/>
      <c r="H216" s="753"/>
      <c r="I216" s="753"/>
      <c r="J216" s="753"/>
      <c r="K216" s="753"/>
      <c r="L216" s="753"/>
      <c r="M216" s="753"/>
    </row>
    <row r="217" spans="1:13" s="755" customFormat="1">
      <c r="A217" s="753"/>
      <c r="B217" s="753"/>
      <c r="C217" s="753"/>
      <c r="D217" s="753"/>
      <c r="E217" s="753"/>
      <c r="F217" s="753"/>
      <c r="G217" s="753"/>
      <c r="H217" s="753"/>
      <c r="I217" s="753"/>
      <c r="J217" s="753"/>
      <c r="K217" s="753"/>
      <c r="L217" s="753"/>
      <c r="M217" s="753"/>
    </row>
    <row r="218" spans="1:13" s="755" customFormat="1">
      <c r="A218" s="753"/>
      <c r="B218" s="753"/>
      <c r="C218" s="753"/>
      <c r="D218" s="753"/>
      <c r="E218" s="753"/>
      <c r="F218" s="753"/>
      <c r="G218" s="753"/>
      <c r="H218" s="753"/>
      <c r="I218" s="753"/>
      <c r="J218" s="753"/>
      <c r="K218" s="753"/>
      <c r="L218" s="753"/>
      <c r="M218" s="753"/>
    </row>
    <row r="219" spans="1:13" s="755" customFormat="1">
      <c r="A219" s="753"/>
      <c r="B219" s="753"/>
      <c r="C219" s="753"/>
      <c r="D219" s="753"/>
      <c r="E219" s="753"/>
      <c r="F219" s="753"/>
      <c r="G219" s="753"/>
      <c r="H219" s="753"/>
      <c r="I219" s="753"/>
      <c r="J219" s="753"/>
      <c r="K219" s="753"/>
      <c r="L219" s="753"/>
      <c r="M219" s="753"/>
    </row>
    <row r="220" spans="1:13" s="755" customFormat="1">
      <c r="A220" s="753"/>
      <c r="B220" s="753"/>
      <c r="C220" s="753"/>
      <c r="D220" s="753"/>
      <c r="E220" s="753"/>
      <c r="F220" s="753"/>
      <c r="G220" s="753"/>
      <c r="H220" s="753"/>
      <c r="I220" s="753"/>
      <c r="J220" s="753"/>
      <c r="K220" s="753"/>
      <c r="L220" s="753"/>
      <c r="M220" s="753"/>
    </row>
    <row r="221" spans="1:13" s="755" customFormat="1">
      <c r="A221" s="753"/>
      <c r="B221" s="753"/>
      <c r="C221" s="753"/>
      <c r="D221" s="753"/>
      <c r="E221" s="753"/>
      <c r="F221" s="753"/>
      <c r="G221" s="753"/>
      <c r="H221" s="753"/>
      <c r="I221" s="753"/>
      <c r="J221" s="753"/>
      <c r="K221" s="753"/>
      <c r="L221" s="753"/>
      <c r="M221" s="753"/>
    </row>
    <row r="222" spans="1:13" s="755" customFormat="1">
      <c r="A222" s="753"/>
      <c r="B222" s="753"/>
      <c r="C222" s="753"/>
      <c r="D222" s="753"/>
      <c r="E222" s="753"/>
      <c r="F222" s="753"/>
      <c r="G222" s="753"/>
      <c r="H222" s="753"/>
      <c r="I222" s="753"/>
      <c r="J222" s="753"/>
      <c r="K222" s="753"/>
      <c r="L222" s="753"/>
      <c r="M222" s="753"/>
    </row>
    <row r="223" spans="1:13" s="755" customFormat="1">
      <c r="A223" s="753"/>
      <c r="B223" s="753"/>
      <c r="C223" s="753"/>
      <c r="D223" s="753"/>
      <c r="E223" s="753"/>
      <c r="F223" s="753"/>
      <c r="G223" s="753"/>
      <c r="H223" s="753"/>
      <c r="I223" s="753"/>
      <c r="J223" s="753"/>
      <c r="K223" s="753"/>
      <c r="L223" s="753"/>
      <c r="M223" s="753"/>
    </row>
    <row r="224" spans="1:13" s="755" customFormat="1">
      <c r="A224" s="753"/>
      <c r="B224" s="753"/>
      <c r="C224" s="753"/>
      <c r="D224" s="753"/>
      <c r="E224" s="753"/>
      <c r="F224" s="753"/>
      <c r="G224" s="753"/>
      <c r="H224" s="753"/>
      <c r="I224" s="753"/>
      <c r="J224" s="753"/>
      <c r="K224" s="753"/>
      <c r="L224" s="753"/>
      <c r="M224" s="753"/>
    </row>
    <row r="225" spans="1:13" s="755" customFormat="1">
      <c r="A225" s="753"/>
      <c r="B225" s="753"/>
      <c r="C225" s="753"/>
      <c r="D225" s="753"/>
      <c r="E225" s="753"/>
      <c r="F225" s="753"/>
      <c r="G225" s="753"/>
      <c r="H225" s="753"/>
      <c r="I225" s="753"/>
      <c r="J225" s="753"/>
      <c r="K225" s="753"/>
      <c r="L225" s="753"/>
      <c r="M225" s="753"/>
    </row>
    <row r="226" spans="1:13" s="755" customFormat="1">
      <c r="A226" s="753"/>
      <c r="B226" s="753"/>
      <c r="C226" s="753"/>
      <c r="D226" s="753"/>
      <c r="E226" s="753"/>
      <c r="F226" s="753"/>
      <c r="G226" s="753"/>
      <c r="H226" s="753"/>
      <c r="I226" s="753"/>
      <c r="J226" s="753"/>
      <c r="K226" s="753"/>
      <c r="L226" s="753"/>
      <c r="M226" s="753"/>
    </row>
    <row r="227" spans="1:13" s="755" customFormat="1">
      <c r="A227" s="753"/>
      <c r="B227" s="753"/>
      <c r="C227" s="753"/>
      <c r="D227" s="753"/>
      <c r="E227" s="753"/>
      <c r="F227" s="753"/>
      <c r="G227" s="753"/>
      <c r="H227" s="753"/>
      <c r="I227" s="753"/>
      <c r="J227" s="753"/>
      <c r="K227" s="753"/>
      <c r="L227" s="753"/>
      <c r="M227" s="753"/>
    </row>
    <row r="228" spans="1:13" s="755" customFormat="1">
      <c r="A228" s="753"/>
      <c r="B228" s="753"/>
      <c r="C228" s="753"/>
      <c r="D228" s="753"/>
      <c r="E228" s="753"/>
      <c r="F228" s="753"/>
      <c r="G228" s="753"/>
      <c r="H228" s="753"/>
      <c r="I228" s="753"/>
      <c r="J228" s="753"/>
      <c r="K228" s="753"/>
      <c r="L228" s="753"/>
      <c r="M228" s="753"/>
    </row>
    <row r="229" spans="1:13" s="755" customFormat="1">
      <c r="A229" s="753"/>
      <c r="B229" s="753"/>
      <c r="C229" s="753"/>
      <c r="D229" s="753"/>
      <c r="E229" s="753"/>
      <c r="F229" s="753"/>
      <c r="G229" s="753"/>
      <c r="H229" s="753"/>
      <c r="I229" s="753"/>
      <c r="J229" s="753"/>
      <c r="K229" s="753"/>
      <c r="L229" s="753"/>
      <c r="M229" s="753"/>
    </row>
    <row r="230" spans="1:13" s="755" customFormat="1">
      <c r="A230" s="753"/>
      <c r="B230" s="753"/>
      <c r="C230" s="753"/>
      <c r="D230" s="753"/>
      <c r="E230" s="753"/>
      <c r="F230" s="753"/>
      <c r="G230" s="753"/>
      <c r="H230" s="753"/>
      <c r="I230" s="753"/>
      <c r="J230" s="753"/>
      <c r="K230" s="753"/>
      <c r="L230" s="753"/>
      <c r="M230" s="753"/>
    </row>
    <row r="231" spans="1:13" s="755" customFormat="1">
      <c r="A231" s="753"/>
      <c r="B231" s="753"/>
      <c r="C231" s="753"/>
      <c r="D231" s="753"/>
      <c r="E231" s="753"/>
      <c r="F231" s="753"/>
      <c r="G231" s="753"/>
      <c r="H231" s="753"/>
      <c r="I231" s="753"/>
      <c r="J231" s="753"/>
      <c r="K231" s="753"/>
      <c r="L231" s="753"/>
      <c r="M231" s="753"/>
    </row>
    <row r="232" spans="1:13" s="755" customFormat="1">
      <c r="A232" s="753"/>
      <c r="B232" s="753"/>
      <c r="C232" s="753"/>
      <c r="D232" s="753"/>
      <c r="E232" s="753"/>
      <c r="F232" s="753"/>
      <c r="G232" s="753"/>
      <c r="H232" s="753"/>
      <c r="I232" s="753"/>
      <c r="J232" s="753"/>
      <c r="K232" s="753"/>
      <c r="L232" s="753"/>
      <c r="M232" s="753"/>
    </row>
    <row r="233" spans="1:13" s="755" customFormat="1">
      <c r="A233" s="753"/>
      <c r="B233" s="753"/>
      <c r="C233" s="753"/>
      <c r="D233" s="753"/>
      <c r="E233" s="753"/>
      <c r="F233" s="753"/>
      <c r="G233" s="753"/>
      <c r="H233" s="753"/>
      <c r="I233" s="753"/>
      <c r="J233" s="753"/>
      <c r="K233" s="753"/>
      <c r="L233" s="753"/>
      <c r="M233" s="753"/>
    </row>
    <row r="234" spans="1:13" s="755" customFormat="1">
      <c r="A234" s="753"/>
      <c r="B234" s="753"/>
      <c r="C234" s="753"/>
      <c r="D234" s="753"/>
      <c r="E234" s="753"/>
      <c r="F234" s="753"/>
      <c r="G234" s="753"/>
      <c r="H234" s="753"/>
      <c r="I234" s="753"/>
      <c r="J234" s="753"/>
      <c r="K234" s="753"/>
      <c r="L234" s="753"/>
      <c r="M234" s="753"/>
    </row>
    <row r="235" spans="1:13" s="755" customFormat="1">
      <c r="A235" s="753"/>
      <c r="B235" s="753"/>
      <c r="C235" s="753"/>
      <c r="D235" s="753"/>
      <c r="E235" s="753"/>
      <c r="F235" s="753"/>
      <c r="G235" s="753"/>
      <c r="H235" s="753"/>
      <c r="I235" s="753"/>
      <c r="J235" s="753"/>
      <c r="K235" s="753"/>
      <c r="L235" s="753"/>
      <c r="M235" s="753"/>
    </row>
    <row r="236" spans="1:13" s="755" customFormat="1">
      <c r="A236" s="753"/>
      <c r="B236" s="753"/>
      <c r="C236" s="753"/>
      <c r="D236" s="753"/>
      <c r="E236" s="753"/>
      <c r="F236" s="753"/>
      <c r="G236" s="753"/>
      <c r="H236" s="753"/>
      <c r="I236" s="753"/>
      <c r="J236" s="753"/>
      <c r="K236" s="753"/>
      <c r="L236" s="753"/>
      <c r="M236" s="753"/>
    </row>
    <row r="237" spans="1:13" s="755" customFormat="1">
      <c r="A237" s="753"/>
      <c r="B237" s="753"/>
      <c r="C237" s="753"/>
      <c r="D237" s="753"/>
      <c r="E237" s="753"/>
      <c r="F237" s="753"/>
      <c r="G237" s="753"/>
      <c r="H237" s="753"/>
      <c r="I237" s="753"/>
      <c r="J237" s="753"/>
      <c r="K237" s="753"/>
      <c r="L237" s="753"/>
      <c r="M237" s="753"/>
    </row>
    <row r="238" spans="1:13" s="755" customFormat="1">
      <c r="A238" s="753"/>
      <c r="B238" s="753"/>
      <c r="C238" s="753"/>
      <c r="D238" s="753"/>
      <c r="E238" s="753"/>
      <c r="F238" s="753"/>
      <c r="G238" s="753"/>
      <c r="H238" s="753"/>
      <c r="I238" s="753"/>
      <c r="J238" s="753"/>
      <c r="K238" s="753"/>
      <c r="L238" s="753"/>
      <c r="M238" s="753"/>
    </row>
    <row r="239" spans="1:13" s="755" customFormat="1">
      <c r="A239" s="753"/>
      <c r="B239" s="753"/>
      <c r="C239" s="753"/>
      <c r="D239" s="753"/>
      <c r="E239" s="753"/>
      <c r="F239" s="753"/>
      <c r="G239" s="753"/>
      <c r="H239" s="753"/>
      <c r="I239" s="753"/>
      <c r="J239" s="753"/>
      <c r="K239" s="753"/>
      <c r="L239" s="753"/>
      <c r="M239" s="753"/>
    </row>
    <row r="240" spans="1:13" s="755" customFormat="1">
      <c r="A240" s="753"/>
      <c r="B240" s="753"/>
      <c r="C240" s="753"/>
      <c r="D240" s="753"/>
      <c r="E240" s="753"/>
      <c r="F240" s="753"/>
      <c r="G240" s="753"/>
      <c r="H240" s="753"/>
      <c r="I240" s="753"/>
      <c r="J240" s="753"/>
      <c r="K240" s="753"/>
      <c r="L240" s="753"/>
      <c r="M240" s="753"/>
    </row>
    <row r="241" spans="1:13" s="755" customFormat="1">
      <c r="A241" s="753"/>
      <c r="B241" s="753"/>
      <c r="C241" s="753"/>
      <c r="D241" s="753"/>
      <c r="E241" s="753"/>
      <c r="F241" s="753"/>
      <c r="G241" s="753"/>
      <c r="H241" s="753"/>
      <c r="I241" s="753"/>
      <c r="J241" s="753"/>
      <c r="K241" s="753"/>
      <c r="L241" s="753"/>
      <c r="M241" s="753"/>
    </row>
    <row r="242" spans="1:13" s="755" customFormat="1">
      <c r="A242" s="753"/>
      <c r="B242" s="753"/>
      <c r="C242" s="753"/>
      <c r="D242" s="753"/>
      <c r="E242" s="753"/>
      <c r="F242" s="753"/>
      <c r="G242" s="753"/>
      <c r="H242" s="753"/>
      <c r="I242" s="753"/>
      <c r="J242" s="753"/>
      <c r="K242" s="753"/>
      <c r="L242" s="753"/>
      <c r="M242" s="753"/>
    </row>
    <row r="243" spans="1:13" s="755" customFormat="1">
      <c r="A243" s="753"/>
      <c r="B243" s="753"/>
      <c r="C243" s="753"/>
      <c r="D243" s="753"/>
      <c r="E243" s="753"/>
      <c r="F243" s="753"/>
      <c r="G243" s="753"/>
      <c r="H243" s="753"/>
      <c r="I243" s="753"/>
      <c r="J243" s="753"/>
      <c r="K243" s="753"/>
      <c r="L243" s="753"/>
      <c r="M243" s="753"/>
    </row>
    <row r="244" spans="1:13" s="755" customFormat="1">
      <c r="A244" s="753"/>
      <c r="B244" s="753"/>
      <c r="C244" s="753"/>
      <c r="D244" s="753"/>
      <c r="E244" s="753"/>
      <c r="F244" s="753"/>
      <c r="G244" s="753"/>
      <c r="H244" s="753"/>
      <c r="I244" s="753"/>
      <c r="J244" s="753"/>
      <c r="K244" s="753"/>
      <c r="L244" s="753"/>
      <c r="M244" s="753"/>
    </row>
    <row r="245" spans="1:13" s="755" customFormat="1">
      <c r="A245" s="753"/>
      <c r="B245" s="753"/>
      <c r="C245" s="753"/>
      <c r="D245" s="753"/>
      <c r="E245" s="753"/>
      <c r="F245" s="753"/>
      <c r="G245" s="753"/>
      <c r="H245" s="753"/>
      <c r="I245" s="753"/>
      <c r="J245" s="753"/>
      <c r="K245" s="753"/>
      <c r="L245" s="753"/>
      <c r="M245" s="753"/>
    </row>
    <row r="246" spans="1:13" s="755" customFormat="1">
      <c r="A246" s="753"/>
      <c r="B246" s="753"/>
      <c r="C246" s="753"/>
      <c r="D246" s="753"/>
      <c r="E246" s="753"/>
      <c r="F246" s="753"/>
      <c r="G246" s="753"/>
      <c r="H246" s="753"/>
      <c r="I246" s="753"/>
      <c r="J246" s="753"/>
      <c r="K246" s="753"/>
      <c r="L246" s="753"/>
      <c r="M246" s="753"/>
    </row>
    <row r="247" spans="1:13" s="755" customFormat="1">
      <c r="A247" s="753"/>
      <c r="B247" s="753"/>
      <c r="C247" s="753"/>
      <c r="D247" s="753"/>
      <c r="E247" s="753"/>
      <c r="F247" s="753"/>
      <c r="G247" s="753"/>
      <c r="H247" s="753"/>
      <c r="I247" s="753"/>
      <c r="J247" s="753"/>
      <c r="K247" s="753"/>
      <c r="L247" s="753"/>
      <c r="M247" s="753"/>
    </row>
    <row r="248" spans="1:13" s="755" customFormat="1">
      <c r="A248" s="753"/>
      <c r="B248" s="753"/>
      <c r="C248" s="753"/>
      <c r="D248" s="753"/>
      <c r="E248" s="753"/>
      <c r="F248" s="753"/>
      <c r="G248" s="753"/>
      <c r="H248" s="753"/>
      <c r="I248" s="753"/>
      <c r="J248" s="753"/>
      <c r="K248" s="753"/>
      <c r="L248" s="753"/>
      <c r="M248" s="753"/>
    </row>
    <row r="249" spans="1:13" s="755" customFormat="1">
      <c r="A249" s="753"/>
      <c r="B249" s="753"/>
      <c r="C249" s="753"/>
      <c r="D249" s="753"/>
      <c r="E249" s="753"/>
      <c r="F249" s="753"/>
      <c r="G249" s="753"/>
      <c r="H249" s="753"/>
      <c r="I249" s="753"/>
      <c r="J249" s="753"/>
      <c r="K249" s="753"/>
      <c r="L249" s="753"/>
      <c r="M249" s="753"/>
    </row>
    <row r="250" spans="1:13" s="755" customFormat="1">
      <c r="A250" s="753"/>
      <c r="B250" s="753"/>
      <c r="C250" s="753"/>
      <c r="D250" s="753"/>
      <c r="E250" s="753"/>
      <c r="F250" s="753"/>
      <c r="G250" s="753"/>
      <c r="H250" s="753"/>
      <c r="I250" s="753"/>
      <c r="J250" s="753"/>
      <c r="K250" s="753"/>
      <c r="L250" s="753"/>
      <c r="M250" s="753"/>
    </row>
    <row r="251" spans="1:13" s="755" customFormat="1">
      <c r="A251" s="753"/>
      <c r="B251" s="753"/>
      <c r="C251" s="753"/>
      <c r="D251" s="753"/>
      <c r="E251" s="753"/>
      <c r="F251" s="753"/>
      <c r="G251" s="753"/>
      <c r="H251" s="753"/>
      <c r="I251" s="753"/>
      <c r="J251" s="753"/>
      <c r="K251" s="753"/>
      <c r="L251" s="753"/>
      <c r="M251" s="753"/>
    </row>
    <row r="252" spans="1:13" s="755" customFormat="1">
      <c r="A252" s="753"/>
      <c r="B252" s="753"/>
      <c r="C252" s="753"/>
      <c r="D252" s="753"/>
      <c r="E252" s="753"/>
      <c r="F252" s="753"/>
      <c r="G252" s="753"/>
      <c r="H252" s="753"/>
      <c r="I252" s="753"/>
      <c r="J252" s="753"/>
      <c r="K252" s="753"/>
      <c r="L252" s="753"/>
      <c r="M252" s="753"/>
    </row>
    <row r="253" spans="1:13" s="755" customFormat="1">
      <c r="A253" s="753"/>
      <c r="B253" s="753"/>
      <c r="C253" s="753"/>
      <c r="D253" s="753"/>
      <c r="E253" s="753"/>
      <c r="F253" s="753"/>
      <c r="G253" s="753"/>
      <c r="H253" s="753"/>
      <c r="I253" s="753"/>
      <c r="J253" s="753"/>
      <c r="K253" s="753"/>
      <c r="L253" s="753"/>
      <c r="M253" s="753"/>
    </row>
    <row r="254" spans="1:13" s="755" customFormat="1">
      <c r="A254" s="753"/>
      <c r="B254" s="753"/>
      <c r="C254" s="753"/>
      <c r="D254" s="753"/>
      <c r="E254" s="753"/>
      <c r="F254" s="753"/>
      <c r="G254" s="753"/>
      <c r="H254" s="753"/>
      <c r="I254" s="753"/>
      <c r="J254" s="753"/>
      <c r="K254" s="753"/>
      <c r="L254" s="753"/>
      <c r="M254" s="753"/>
    </row>
    <row r="255" spans="1:13" s="755" customFormat="1">
      <c r="A255" s="753"/>
      <c r="B255" s="753"/>
      <c r="C255" s="753"/>
      <c r="D255" s="753"/>
      <c r="E255" s="753"/>
      <c r="F255" s="753"/>
      <c r="G255" s="753"/>
      <c r="H255" s="753"/>
      <c r="I255" s="753"/>
      <c r="J255" s="753"/>
      <c r="K255" s="753"/>
      <c r="L255" s="753"/>
      <c r="M255" s="753"/>
    </row>
    <row r="256" spans="1:13" s="755" customFormat="1">
      <c r="A256" s="753"/>
      <c r="B256" s="753"/>
      <c r="C256" s="753"/>
      <c r="D256" s="753"/>
      <c r="E256" s="753"/>
      <c r="F256" s="753"/>
      <c r="G256" s="753"/>
      <c r="H256" s="753"/>
      <c r="I256" s="753"/>
      <c r="J256" s="753"/>
      <c r="K256" s="753"/>
      <c r="L256" s="753"/>
      <c r="M256" s="753"/>
    </row>
    <row r="257" spans="1:13" s="755" customFormat="1">
      <c r="A257" s="753"/>
      <c r="B257" s="753"/>
      <c r="C257" s="753"/>
      <c r="D257" s="753"/>
      <c r="E257" s="753"/>
      <c r="F257" s="753"/>
      <c r="G257" s="753"/>
      <c r="H257" s="753"/>
      <c r="I257" s="753"/>
      <c r="J257" s="753"/>
      <c r="K257" s="753"/>
      <c r="L257" s="753"/>
      <c r="M257" s="753"/>
    </row>
    <row r="258" spans="1:13" s="755" customFormat="1">
      <c r="A258" s="753"/>
      <c r="B258" s="753"/>
      <c r="C258" s="753"/>
      <c r="D258" s="753"/>
      <c r="E258" s="753"/>
      <c r="F258" s="753"/>
      <c r="G258" s="753"/>
      <c r="H258" s="753"/>
      <c r="I258" s="753"/>
      <c r="J258" s="753"/>
      <c r="K258" s="753"/>
      <c r="L258" s="753"/>
      <c r="M258" s="753"/>
    </row>
    <row r="259" spans="1:13" s="755" customFormat="1">
      <c r="A259" s="753"/>
      <c r="B259" s="753"/>
      <c r="C259" s="753"/>
      <c r="D259" s="753"/>
      <c r="E259" s="753"/>
      <c r="F259" s="753"/>
      <c r="G259" s="753"/>
      <c r="H259" s="753"/>
      <c r="I259" s="753"/>
      <c r="J259" s="753"/>
      <c r="K259" s="753"/>
      <c r="L259" s="753"/>
      <c r="M259" s="753"/>
    </row>
    <row r="260" spans="1:13" s="755" customFormat="1">
      <c r="A260" s="753"/>
      <c r="B260" s="753"/>
      <c r="C260" s="753"/>
      <c r="D260" s="753"/>
      <c r="E260" s="753"/>
      <c r="F260" s="753"/>
      <c r="G260" s="753"/>
      <c r="H260" s="753"/>
      <c r="I260" s="753"/>
      <c r="J260" s="753"/>
      <c r="K260" s="753"/>
      <c r="L260" s="753"/>
      <c r="M260" s="753"/>
    </row>
    <row r="261" spans="1:13" s="755" customFormat="1">
      <c r="A261" s="753"/>
      <c r="B261" s="753"/>
      <c r="C261" s="753"/>
      <c r="D261" s="753"/>
      <c r="E261" s="753"/>
      <c r="F261" s="753"/>
      <c r="G261" s="753"/>
      <c r="H261" s="753"/>
      <c r="I261" s="753"/>
      <c r="J261" s="753"/>
      <c r="K261" s="753"/>
      <c r="L261" s="753"/>
      <c r="M261" s="753"/>
    </row>
    <row r="262" spans="1:13" s="755" customFormat="1">
      <c r="A262" s="753"/>
      <c r="B262" s="753"/>
      <c r="C262" s="753"/>
      <c r="D262" s="753"/>
      <c r="E262" s="753"/>
      <c r="F262" s="753"/>
      <c r="G262" s="753"/>
      <c r="H262" s="753"/>
      <c r="I262" s="753"/>
      <c r="J262" s="753"/>
      <c r="K262" s="753"/>
      <c r="L262" s="753"/>
      <c r="M262" s="753"/>
    </row>
    <row r="263" spans="1:13" s="755" customFormat="1">
      <c r="A263" s="753"/>
      <c r="B263" s="753"/>
      <c r="C263" s="753"/>
      <c r="D263" s="753"/>
      <c r="E263" s="753"/>
      <c r="F263" s="753"/>
      <c r="G263" s="753"/>
      <c r="H263" s="753"/>
      <c r="I263" s="753"/>
      <c r="J263" s="753"/>
      <c r="K263" s="753"/>
      <c r="L263" s="753"/>
      <c r="M263" s="753"/>
    </row>
    <row r="264" spans="1:13" s="755" customFormat="1">
      <c r="A264" s="753"/>
      <c r="B264" s="753"/>
      <c r="C264" s="753"/>
      <c r="D264" s="753"/>
      <c r="E264" s="753"/>
      <c r="F264" s="753"/>
      <c r="G264" s="753"/>
      <c r="H264" s="753"/>
      <c r="I264" s="753"/>
      <c r="J264" s="753"/>
      <c r="K264" s="753"/>
      <c r="L264" s="753"/>
      <c r="M264" s="753"/>
    </row>
    <row r="265" spans="1:13" s="755" customFormat="1">
      <c r="A265" s="753"/>
      <c r="B265" s="753"/>
      <c r="C265" s="753"/>
      <c r="D265" s="753"/>
      <c r="E265" s="753"/>
      <c r="F265" s="753"/>
      <c r="G265" s="753"/>
      <c r="H265" s="753"/>
      <c r="I265" s="753"/>
      <c r="J265" s="753"/>
      <c r="K265" s="753"/>
      <c r="L265" s="753"/>
      <c r="M265" s="753"/>
    </row>
    <row r="266" spans="1:13" s="755" customFormat="1">
      <c r="A266" s="753"/>
      <c r="B266" s="753"/>
      <c r="C266" s="753"/>
      <c r="D266" s="753"/>
      <c r="E266" s="753"/>
      <c r="F266" s="753"/>
      <c r="G266" s="753"/>
      <c r="H266" s="753"/>
      <c r="I266" s="753"/>
      <c r="J266" s="753"/>
      <c r="K266" s="753"/>
      <c r="L266" s="753"/>
      <c r="M266" s="753"/>
    </row>
    <row r="267" spans="1:13" s="755" customFormat="1">
      <c r="A267" s="753"/>
      <c r="B267" s="753"/>
      <c r="C267" s="753"/>
      <c r="D267" s="753"/>
      <c r="E267" s="753"/>
      <c r="F267" s="753"/>
      <c r="G267" s="753"/>
      <c r="H267" s="753"/>
      <c r="I267" s="753"/>
      <c r="J267" s="753"/>
      <c r="K267" s="753"/>
      <c r="L267" s="753"/>
      <c r="M267" s="753"/>
    </row>
    <row r="268" spans="1:13" s="755" customFormat="1">
      <c r="A268" s="753"/>
      <c r="B268" s="753"/>
      <c r="C268" s="753"/>
      <c r="D268" s="753"/>
      <c r="E268" s="753"/>
      <c r="F268" s="753"/>
      <c r="G268" s="753"/>
      <c r="H268" s="753"/>
      <c r="I268" s="753"/>
      <c r="J268" s="753"/>
      <c r="K268" s="753"/>
      <c r="L268" s="753"/>
      <c r="M268" s="753"/>
    </row>
    <row r="269" spans="1:13" s="755" customFormat="1">
      <c r="A269" s="753"/>
      <c r="B269" s="753"/>
      <c r="C269" s="753"/>
      <c r="D269" s="753"/>
      <c r="E269" s="753"/>
      <c r="F269" s="753"/>
      <c r="G269" s="753"/>
      <c r="H269" s="753"/>
      <c r="I269" s="753"/>
      <c r="J269" s="753"/>
      <c r="K269" s="753"/>
      <c r="L269" s="753"/>
      <c r="M269" s="753"/>
    </row>
    <row r="270" spans="1:13" s="755" customFormat="1">
      <c r="A270" s="753"/>
      <c r="B270" s="753"/>
      <c r="C270" s="753"/>
      <c r="D270" s="753"/>
      <c r="E270" s="753"/>
      <c r="F270" s="753"/>
      <c r="G270" s="753"/>
      <c r="H270" s="753"/>
      <c r="I270" s="753"/>
      <c r="J270" s="753"/>
      <c r="K270" s="753"/>
      <c r="L270" s="753"/>
      <c r="M270" s="753"/>
    </row>
    <row r="271" spans="1:13" s="755" customFormat="1">
      <c r="A271" s="753"/>
      <c r="B271" s="753"/>
      <c r="C271" s="753"/>
      <c r="D271" s="753"/>
      <c r="E271" s="753"/>
      <c r="F271" s="753"/>
      <c r="G271" s="753"/>
      <c r="H271" s="753"/>
      <c r="I271" s="753"/>
      <c r="J271" s="753"/>
      <c r="K271" s="753"/>
      <c r="L271" s="753"/>
      <c r="M271" s="753"/>
    </row>
    <row r="272" spans="1:13" s="755" customFormat="1">
      <c r="A272" s="753"/>
      <c r="B272" s="753"/>
      <c r="C272" s="753"/>
      <c r="D272" s="753"/>
      <c r="E272" s="753"/>
      <c r="F272" s="753"/>
      <c r="G272" s="753"/>
      <c r="H272" s="753"/>
      <c r="I272" s="753"/>
      <c r="J272" s="753"/>
      <c r="K272" s="753"/>
      <c r="L272" s="753"/>
      <c r="M272" s="753"/>
    </row>
    <row r="273" spans="1:13" s="755" customFormat="1">
      <c r="A273" s="753"/>
      <c r="B273" s="753"/>
      <c r="C273" s="753"/>
      <c r="D273" s="753"/>
      <c r="E273" s="753"/>
      <c r="F273" s="753"/>
      <c r="G273" s="753"/>
      <c r="H273" s="753"/>
      <c r="I273" s="753"/>
      <c r="J273" s="753"/>
      <c r="K273" s="753"/>
      <c r="L273" s="753"/>
      <c r="M273" s="753"/>
    </row>
    <row r="274" spans="1:13" s="755" customFormat="1">
      <c r="A274" s="753"/>
      <c r="B274" s="753"/>
      <c r="C274" s="753"/>
      <c r="D274" s="753"/>
      <c r="E274" s="753"/>
      <c r="F274" s="753"/>
      <c r="G274" s="753"/>
      <c r="H274" s="753"/>
      <c r="I274" s="753"/>
      <c r="J274" s="753"/>
      <c r="K274" s="753"/>
      <c r="L274" s="753"/>
      <c r="M274" s="753"/>
    </row>
    <row r="275" spans="1:13" s="755" customFormat="1">
      <c r="A275" s="753"/>
      <c r="B275" s="753"/>
      <c r="C275" s="753"/>
      <c r="D275" s="753"/>
      <c r="E275" s="753"/>
      <c r="F275" s="753"/>
      <c r="G275" s="753"/>
      <c r="H275" s="753"/>
      <c r="I275" s="753"/>
      <c r="J275" s="753"/>
      <c r="K275" s="753"/>
      <c r="L275" s="753"/>
      <c r="M275" s="753"/>
    </row>
    <row r="276" spans="1:13" s="755" customFormat="1">
      <c r="A276" s="753"/>
      <c r="B276" s="753"/>
      <c r="C276" s="753"/>
      <c r="D276" s="753"/>
      <c r="E276" s="753"/>
      <c r="F276" s="753"/>
      <c r="G276" s="753"/>
      <c r="H276" s="753"/>
      <c r="I276" s="753"/>
      <c r="J276" s="753"/>
      <c r="K276" s="753"/>
      <c r="L276" s="753"/>
      <c r="M276" s="753"/>
    </row>
    <row r="277" spans="1:13" s="755" customFormat="1">
      <c r="A277" s="753"/>
      <c r="B277" s="753"/>
      <c r="C277" s="753"/>
      <c r="D277" s="753"/>
      <c r="E277" s="753"/>
      <c r="F277" s="753"/>
      <c r="G277" s="753"/>
      <c r="H277" s="753"/>
      <c r="I277" s="753"/>
      <c r="J277" s="753"/>
      <c r="K277" s="753"/>
      <c r="L277" s="753"/>
      <c r="M277" s="753"/>
    </row>
    <row r="278" spans="1:13" s="755" customFormat="1">
      <c r="A278" s="753"/>
      <c r="B278" s="753"/>
      <c r="C278" s="753"/>
      <c r="D278" s="753"/>
      <c r="E278" s="753"/>
      <c r="F278" s="753"/>
      <c r="G278" s="753"/>
      <c r="H278" s="753"/>
      <c r="I278" s="753"/>
      <c r="J278" s="753"/>
      <c r="K278" s="753"/>
      <c r="L278" s="753"/>
      <c r="M278" s="753"/>
    </row>
    <row r="279" spans="1:13" s="755" customFormat="1">
      <c r="A279" s="753"/>
      <c r="B279" s="753"/>
      <c r="C279" s="753"/>
      <c r="D279" s="753"/>
      <c r="E279" s="753"/>
      <c r="F279" s="753"/>
      <c r="G279" s="753"/>
      <c r="H279" s="753"/>
      <c r="I279" s="753"/>
      <c r="J279" s="753"/>
      <c r="K279" s="753"/>
      <c r="L279" s="753"/>
      <c r="M279" s="753"/>
    </row>
    <row r="280" spans="1:13" s="755" customFormat="1">
      <c r="A280" s="753"/>
      <c r="B280" s="753"/>
      <c r="C280" s="753"/>
      <c r="D280" s="753"/>
      <c r="E280" s="753"/>
      <c r="F280" s="753"/>
      <c r="G280" s="753"/>
      <c r="H280" s="753"/>
      <c r="I280" s="753"/>
      <c r="J280" s="753"/>
      <c r="K280" s="753"/>
      <c r="L280" s="753"/>
      <c r="M280" s="753"/>
    </row>
    <row r="281" spans="1:13" s="755" customFormat="1">
      <c r="A281" s="753"/>
      <c r="B281" s="753"/>
      <c r="C281" s="753"/>
      <c r="D281" s="753"/>
      <c r="E281" s="753"/>
      <c r="F281" s="753"/>
      <c r="G281" s="753"/>
      <c r="H281" s="753"/>
      <c r="I281" s="753"/>
      <c r="J281" s="753"/>
      <c r="K281" s="753"/>
      <c r="L281" s="753"/>
      <c r="M281" s="753"/>
    </row>
    <row r="282" spans="1:13" s="755" customFormat="1">
      <c r="A282" s="753"/>
      <c r="B282" s="753"/>
      <c r="C282" s="753"/>
      <c r="D282" s="753"/>
      <c r="E282" s="753"/>
      <c r="F282" s="753"/>
      <c r="G282" s="753"/>
      <c r="H282" s="753"/>
      <c r="I282" s="753"/>
      <c r="J282" s="753"/>
      <c r="K282" s="753"/>
      <c r="L282" s="753"/>
      <c r="M282" s="753"/>
    </row>
    <row r="283" spans="1:13" s="755" customFormat="1">
      <c r="A283" s="753"/>
      <c r="B283" s="753"/>
      <c r="C283" s="753"/>
      <c r="D283" s="753"/>
      <c r="E283" s="753"/>
      <c r="F283" s="753"/>
      <c r="G283" s="753"/>
      <c r="H283" s="753"/>
      <c r="I283" s="753"/>
      <c r="J283" s="753"/>
      <c r="K283" s="753"/>
      <c r="L283" s="753"/>
      <c r="M283" s="753"/>
    </row>
    <row r="284" spans="1:13" s="755" customFormat="1">
      <c r="A284" s="753"/>
      <c r="B284" s="753"/>
      <c r="C284" s="753"/>
      <c r="D284" s="753"/>
      <c r="E284" s="753"/>
      <c r="F284" s="753"/>
      <c r="G284" s="753"/>
      <c r="H284" s="753"/>
      <c r="I284" s="753"/>
      <c r="J284" s="753"/>
      <c r="K284" s="753"/>
      <c r="L284" s="753"/>
      <c r="M284" s="753"/>
    </row>
    <row r="285" spans="1:13" s="755" customFormat="1">
      <c r="A285" s="753"/>
      <c r="B285" s="753"/>
      <c r="C285" s="753"/>
      <c r="D285" s="753"/>
      <c r="E285" s="753"/>
      <c r="F285" s="753"/>
      <c r="G285" s="753"/>
      <c r="H285" s="753"/>
      <c r="I285" s="753"/>
      <c r="J285" s="753"/>
      <c r="K285" s="753"/>
      <c r="L285" s="753"/>
      <c r="M285" s="753"/>
    </row>
    <row r="286" spans="1:13" s="755" customFormat="1">
      <c r="A286" s="753"/>
      <c r="B286" s="753"/>
      <c r="C286" s="753"/>
      <c r="D286" s="753"/>
      <c r="E286" s="753"/>
      <c r="F286" s="753"/>
      <c r="G286" s="753"/>
      <c r="H286" s="753"/>
      <c r="I286" s="753"/>
      <c r="J286" s="753"/>
      <c r="K286" s="753"/>
      <c r="L286" s="753"/>
      <c r="M286" s="753"/>
    </row>
    <row r="287" spans="1:13" s="755" customFormat="1">
      <c r="A287" s="753"/>
      <c r="B287" s="753"/>
      <c r="C287" s="753"/>
      <c r="D287" s="753"/>
      <c r="E287" s="753"/>
      <c r="F287" s="753"/>
      <c r="G287" s="753"/>
      <c r="H287" s="753"/>
      <c r="I287" s="753"/>
      <c r="J287" s="753"/>
      <c r="K287" s="753"/>
      <c r="L287" s="753"/>
      <c r="M287" s="753"/>
    </row>
    <row r="288" spans="1:13" s="755" customFormat="1">
      <c r="A288" s="753"/>
      <c r="B288" s="753"/>
      <c r="C288" s="753"/>
      <c r="D288" s="753"/>
      <c r="E288" s="753"/>
      <c r="F288" s="753"/>
      <c r="G288" s="753"/>
      <c r="H288" s="753"/>
      <c r="I288" s="753"/>
      <c r="J288" s="753"/>
      <c r="K288" s="753"/>
      <c r="L288" s="753"/>
      <c r="M288" s="753"/>
    </row>
    <row r="289" spans="1:13" s="755" customFormat="1">
      <c r="A289" s="753"/>
      <c r="B289" s="753"/>
      <c r="C289" s="753"/>
      <c r="D289" s="753"/>
      <c r="E289" s="753"/>
      <c r="F289" s="753"/>
      <c r="G289" s="753"/>
      <c r="H289" s="753"/>
      <c r="I289" s="753"/>
      <c r="J289" s="753"/>
      <c r="K289" s="753"/>
      <c r="L289" s="753"/>
      <c r="M289" s="753"/>
    </row>
    <row r="290" spans="1:13" s="755" customFormat="1">
      <c r="A290" s="753"/>
      <c r="B290" s="753"/>
      <c r="C290" s="753"/>
      <c r="D290" s="753"/>
      <c r="E290" s="753"/>
      <c r="F290" s="753"/>
      <c r="G290" s="753"/>
      <c r="H290" s="753"/>
      <c r="I290" s="753"/>
      <c r="J290" s="753"/>
      <c r="K290" s="753"/>
      <c r="L290" s="753"/>
      <c r="M290" s="753"/>
    </row>
    <row r="291" spans="1:13" s="755" customFormat="1">
      <c r="A291" s="753"/>
      <c r="B291" s="753"/>
      <c r="C291" s="753"/>
      <c r="D291" s="753"/>
      <c r="E291" s="753"/>
      <c r="F291" s="753"/>
      <c r="G291" s="753"/>
      <c r="H291" s="753"/>
      <c r="I291" s="753"/>
      <c r="J291" s="753"/>
      <c r="K291" s="753"/>
      <c r="L291" s="753"/>
      <c r="M291" s="753"/>
    </row>
    <row r="292" spans="1:13" s="755" customFormat="1">
      <c r="A292" s="753"/>
      <c r="B292" s="753"/>
      <c r="C292" s="753"/>
      <c r="D292" s="753"/>
      <c r="E292" s="753"/>
      <c r="F292" s="753"/>
      <c r="G292" s="753"/>
      <c r="H292" s="753"/>
      <c r="I292" s="753"/>
      <c r="J292" s="753"/>
      <c r="K292" s="753"/>
      <c r="L292" s="753"/>
      <c r="M292" s="753"/>
    </row>
    <row r="293" spans="1:13" s="755" customFormat="1">
      <c r="A293" s="753"/>
      <c r="B293" s="753"/>
      <c r="C293" s="753"/>
      <c r="D293" s="753"/>
      <c r="E293" s="753"/>
      <c r="F293" s="753"/>
      <c r="G293" s="753"/>
      <c r="H293" s="753"/>
      <c r="I293" s="753"/>
      <c r="J293" s="753"/>
      <c r="K293" s="753"/>
      <c r="L293" s="753"/>
      <c r="M293" s="753"/>
    </row>
    <row r="294" spans="1:13" s="755" customFormat="1">
      <c r="A294" s="753"/>
      <c r="B294" s="753"/>
      <c r="C294" s="753"/>
      <c r="D294" s="753"/>
      <c r="E294" s="753"/>
      <c r="F294" s="753"/>
      <c r="G294" s="753"/>
      <c r="H294" s="753"/>
      <c r="I294" s="753"/>
      <c r="J294" s="753"/>
      <c r="K294" s="753"/>
      <c r="L294" s="753"/>
      <c r="M294" s="753"/>
    </row>
    <row r="295" spans="1:13" s="755" customFormat="1">
      <c r="A295" s="753"/>
      <c r="B295" s="753"/>
      <c r="C295" s="753"/>
      <c r="D295" s="753"/>
      <c r="E295" s="753"/>
      <c r="F295" s="753"/>
      <c r="G295" s="753"/>
      <c r="H295" s="753"/>
      <c r="I295" s="753"/>
      <c r="J295" s="753"/>
      <c r="K295" s="753"/>
      <c r="L295" s="753"/>
      <c r="M295" s="753"/>
    </row>
    <row r="296" spans="1:13" s="755" customFormat="1">
      <c r="A296" s="753"/>
      <c r="B296" s="753"/>
      <c r="C296" s="753"/>
      <c r="D296" s="753"/>
      <c r="E296" s="753"/>
      <c r="F296" s="753"/>
      <c r="G296" s="753"/>
      <c r="H296" s="753"/>
      <c r="I296" s="753"/>
      <c r="J296" s="753"/>
      <c r="K296" s="753"/>
      <c r="L296" s="753"/>
      <c r="M296" s="753"/>
    </row>
    <row r="297" spans="1:13" s="755" customFormat="1">
      <c r="A297" s="753"/>
      <c r="B297" s="753"/>
      <c r="C297" s="753"/>
      <c r="D297" s="753"/>
      <c r="E297" s="753"/>
      <c r="F297" s="753"/>
      <c r="G297" s="753"/>
      <c r="H297" s="753"/>
      <c r="I297" s="753"/>
      <c r="J297" s="753"/>
      <c r="K297" s="753"/>
      <c r="L297" s="753"/>
      <c r="M297" s="753"/>
    </row>
    <row r="298" spans="1:13" s="755" customFormat="1">
      <c r="A298" s="753"/>
      <c r="B298" s="753"/>
      <c r="C298" s="753"/>
      <c r="D298" s="753"/>
      <c r="E298" s="753"/>
      <c r="F298" s="753"/>
      <c r="G298" s="753"/>
      <c r="H298" s="753"/>
      <c r="I298" s="753"/>
      <c r="J298" s="753"/>
      <c r="K298" s="753"/>
      <c r="L298" s="753"/>
      <c r="M298" s="753"/>
    </row>
    <row r="299" spans="1:13" s="755" customFormat="1">
      <c r="A299" s="753"/>
      <c r="B299" s="753"/>
      <c r="C299" s="753"/>
      <c r="D299" s="753"/>
      <c r="E299" s="753"/>
      <c r="F299" s="753"/>
      <c r="G299" s="753"/>
      <c r="H299" s="753"/>
      <c r="I299" s="753"/>
      <c r="J299" s="753"/>
      <c r="K299" s="753"/>
      <c r="L299" s="753"/>
      <c r="M299" s="753"/>
    </row>
    <row r="300" spans="1:13" s="755" customFormat="1">
      <c r="A300" s="753"/>
      <c r="B300" s="753"/>
      <c r="C300" s="753"/>
      <c r="D300" s="753"/>
      <c r="E300" s="753"/>
      <c r="F300" s="753"/>
      <c r="G300" s="753"/>
      <c r="H300" s="753"/>
      <c r="I300" s="753"/>
      <c r="J300" s="753"/>
      <c r="K300" s="753"/>
      <c r="L300" s="753"/>
      <c r="M300" s="753"/>
    </row>
    <row r="301" spans="1:13" s="755" customFormat="1">
      <c r="A301" s="753"/>
      <c r="B301" s="753"/>
      <c r="C301" s="753"/>
      <c r="D301" s="753"/>
      <c r="E301" s="753"/>
      <c r="F301" s="753"/>
      <c r="G301" s="753"/>
      <c r="H301" s="753"/>
      <c r="I301" s="753"/>
      <c r="J301" s="753"/>
      <c r="K301" s="753"/>
      <c r="L301" s="753"/>
      <c r="M301" s="753"/>
    </row>
    <row r="302" spans="1:13" s="755" customFormat="1">
      <c r="A302" s="753"/>
      <c r="B302" s="753"/>
      <c r="C302" s="753"/>
      <c r="D302" s="753"/>
      <c r="E302" s="753"/>
      <c r="F302" s="753"/>
      <c r="G302" s="753"/>
      <c r="H302" s="753"/>
      <c r="I302" s="753"/>
      <c r="J302" s="753"/>
      <c r="K302" s="753"/>
      <c r="L302" s="753"/>
      <c r="M302" s="753"/>
    </row>
    <row r="303" spans="1:13" s="755" customFormat="1">
      <c r="A303" s="753"/>
      <c r="B303" s="753"/>
      <c r="C303" s="753"/>
      <c r="D303" s="753"/>
      <c r="E303" s="753"/>
      <c r="F303" s="753"/>
      <c r="G303" s="753"/>
      <c r="H303" s="753"/>
      <c r="I303" s="753"/>
      <c r="J303" s="753"/>
      <c r="K303" s="753"/>
      <c r="L303" s="753"/>
      <c r="M303" s="753"/>
    </row>
    <row r="304" spans="1:13" s="755" customFormat="1">
      <c r="A304" s="753"/>
      <c r="B304" s="753"/>
      <c r="C304" s="753"/>
      <c r="D304" s="753"/>
      <c r="E304" s="753"/>
      <c r="F304" s="753"/>
      <c r="G304" s="753"/>
      <c r="H304" s="753"/>
      <c r="I304" s="753"/>
      <c r="J304" s="753"/>
      <c r="K304" s="753"/>
      <c r="L304" s="753"/>
      <c r="M304" s="753"/>
    </row>
    <row r="305" spans="1:13" s="755" customFormat="1">
      <c r="A305" s="753"/>
      <c r="B305" s="753"/>
      <c r="C305" s="753"/>
      <c r="D305" s="753"/>
      <c r="E305" s="753"/>
      <c r="F305" s="753"/>
      <c r="G305" s="753"/>
      <c r="H305" s="753"/>
      <c r="I305" s="753"/>
      <c r="J305" s="753"/>
      <c r="K305" s="753"/>
      <c r="L305" s="753"/>
      <c r="M305" s="753"/>
    </row>
    <row r="306" spans="1:13" s="755" customFormat="1">
      <c r="A306" s="753"/>
      <c r="B306" s="753"/>
      <c r="C306" s="753"/>
      <c r="D306" s="753"/>
      <c r="E306" s="753"/>
      <c r="F306" s="753"/>
      <c r="G306" s="753"/>
      <c r="H306" s="753"/>
      <c r="I306" s="753"/>
      <c r="J306" s="753"/>
      <c r="K306" s="753"/>
      <c r="L306" s="753"/>
      <c r="M306" s="753"/>
    </row>
    <row r="307" spans="1:13" s="755" customFormat="1">
      <c r="A307" s="753"/>
      <c r="B307" s="753"/>
      <c r="C307" s="753"/>
      <c r="D307" s="753"/>
      <c r="E307" s="753"/>
      <c r="F307" s="753"/>
      <c r="G307" s="753"/>
      <c r="H307" s="753"/>
      <c r="I307" s="753"/>
      <c r="J307" s="753"/>
      <c r="K307" s="753"/>
      <c r="L307" s="753"/>
      <c r="M307" s="753"/>
    </row>
    <row r="308" spans="1:13" s="755" customFormat="1">
      <c r="A308" s="753"/>
      <c r="B308" s="753"/>
      <c r="C308" s="753"/>
      <c r="D308" s="753"/>
      <c r="E308" s="753"/>
      <c r="F308" s="753"/>
      <c r="G308" s="753"/>
      <c r="H308" s="753"/>
      <c r="I308" s="753"/>
      <c r="J308" s="753"/>
      <c r="K308" s="753"/>
      <c r="L308" s="753"/>
      <c r="M308" s="753"/>
    </row>
    <row r="309" spans="1:13" s="755" customFormat="1">
      <c r="A309" s="753"/>
      <c r="B309" s="753"/>
      <c r="C309" s="753"/>
      <c r="D309" s="753"/>
      <c r="E309" s="753"/>
      <c r="F309" s="753"/>
      <c r="G309" s="753"/>
      <c r="H309" s="753"/>
      <c r="I309" s="753"/>
      <c r="J309" s="753"/>
      <c r="K309" s="753"/>
      <c r="L309" s="753"/>
      <c r="M309" s="753"/>
    </row>
    <row r="310" spans="1:13" s="755" customFormat="1">
      <c r="A310" s="753"/>
      <c r="B310" s="753"/>
      <c r="C310" s="753"/>
      <c r="D310" s="753"/>
      <c r="E310" s="753"/>
      <c r="F310" s="753"/>
      <c r="G310" s="753"/>
      <c r="H310" s="753"/>
      <c r="I310" s="753"/>
      <c r="J310" s="753"/>
      <c r="K310" s="753"/>
      <c r="L310" s="753"/>
      <c r="M310" s="753"/>
    </row>
    <row r="311" spans="1:13" s="755" customFormat="1">
      <c r="A311" s="753"/>
      <c r="B311" s="753"/>
      <c r="C311" s="753"/>
      <c r="D311" s="753"/>
      <c r="E311" s="753"/>
      <c r="F311" s="753"/>
      <c r="G311" s="753"/>
      <c r="H311" s="753"/>
      <c r="I311" s="753"/>
      <c r="J311" s="753"/>
      <c r="K311" s="753"/>
      <c r="L311" s="753"/>
      <c r="M311" s="753"/>
    </row>
    <row r="312" spans="1:13" s="755" customFormat="1">
      <c r="A312" s="753"/>
      <c r="B312" s="753"/>
      <c r="C312" s="753"/>
      <c r="D312" s="753"/>
      <c r="E312" s="753"/>
      <c r="F312" s="753"/>
      <c r="G312" s="753"/>
      <c r="H312" s="753"/>
      <c r="I312" s="753"/>
      <c r="J312" s="753"/>
      <c r="K312" s="753"/>
      <c r="L312" s="753"/>
      <c r="M312" s="753"/>
    </row>
    <row r="313" spans="1:13" s="755" customFormat="1">
      <c r="A313" s="753"/>
      <c r="B313" s="753"/>
      <c r="C313" s="753"/>
      <c r="D313" s="753"/>
      <c r="E313" s="753"/>
      <c r="F313" s="753"/>
      <c r="G313" s="753"/>
      <c r="H313" s="753"/>
      <c r="I313" s="753"/>
      <c r="J313" s="753"/>
      <c r="K313" s="753"/>
      <c r="L313" s="753"/>
      <c r="M313" s="753"/>
    </row>
    <row r="314" spans="1:13" s="755" customFormat="1">
      <c r="A314" s="753"/>
      <c r="B314" s="753"/>
      <c r="C314" s="753"/>
      <c r="D314" s="753"/>
      <c r="E314" s="753"/>
      <c r="F314" s="753"/>
      <c r="G314" s="753"/>
      <c r="H314" s="753"/>
      <c r="I314" s="753"/>
      <c r="J314" s="753"/>
      <c r="K314" s="753"/>
      <c r="L314" s="753"/>
      <c r="M314" s="753"/>
    </row>
    <row r="315" spans="1:13" s="755" customFormat="1">
      <c r="A315" s="753"/>
      <c r="B315" s="753"/>
      <c r="C315" s="753"/>
      <c r="D315" s="753"/>
      <c r="E315" s="753"/>
      <c r="F315" s="753"/>
      <c r="G315" s="753"/>
      <c r="H315" s="753"/>
      <c r="I315" s="753"/>
      <c r="J315" s="753"/>
      <c r="K315" s="753"/>
      <c r="L315" s="753"/>
      <c r="M315" s="753"/>
    </row>
    <row r="316" spans="1:13" s="755" customFormat="1">
      <c r="A316" s="753"/>
      <c r="B316" s="753"/>
      <c r="C316" s="753"/>
      <c r="D316" s="753"/>
      <c r="E316" s="753"/>
      <c r="F316" s="753"/>
      <c r="G316" s="753"/>
      <c r="H316" s="753"/>
      <c r="I316" s="753"/>
      <c r="J316" s="753"/>
      <c r="K316" s="753"/>
      <c r="L316" s="753"/>
      <c r="M316" s="753"/>
    </row>
    <row r="317" spans="1:13" s="755" customFormat="1">
      <c r="A317" s="753"/>
      <c r="B317" s="753"/>
      <c r="C317" s="753"/>
      <c r="D317" s="753"/>
      <c r="E317" s="753"/>
      <c r="F317" s="753"/>
      <c r="G317" s="753"/>
      <c r="H317" s="753"/>
      <c r="I317" s="753"/>
      <c r="J317" s="753"/>
      <c r="K317" s="753"/>
      <c r="L317" s="753"/>
      <c r="M317" s="753"/>
    </row>
    <row r="318" spans="1:13" s="755" customFormat="1">
      <c r="A318" s="753"/>
      <c r="B318" s="753"/>
      <c r="C318" s="753"/>
      <c r="D318" s="753"/>
      <c r="E318" s="753"/>
      <c r="F318" s="753"/>
      <c r="G318" s="753"/>
      <c r="H318" s="753"/>
      <c r="I318" s="753"/>
      <c r="J318" s="753"/>
      <c r="K318" s="753"/>
      <c r="L318" s="753"/>
      <c r="M318" s="753"/>
    </row>
    <row r="319" spans="1:13" s="755" customFormat="1">
      <c r="A319" s="753"/>
      <c r="B319" s="753"/>
      <c r="C319" s="753"/>
      <c r="D319" s="753"/>
      <c r="E319" s="753"/>
      <c r="F319" s="753"/>
      <c r="G319" s="753"/>
      <c r="H319" s="753"/>
      <c r="I319" s="753"/>
      <c r="J319" s="753"/>
      <c r="K319" s="753"/>
      <c r="L319" s="753"/>
      <c r="M319" s="753"/>
    </row>
    <row r="320" spans="1:13" s="755" customFormat="1">
      <c r="A320" s="753"/>
      <c r="B320" s="753"/>
      <c r="C320" s="753"/>
      <c r="D320" s="753"/>
      <c r="E320" s="753"/>
      <c r="F320" s="753"/>
      <c r="G320" s="753"/>
      <c r="H320" s="753"/>
      <c r="I320" s="753"/>
      <c r="J320" s="753"/>
      <c r="K320" s="753"/>
      <c r="L320" s="753"/>
      <c r="M320" s="753"/>
    </row>
    <row r="321" spans="1:13" s="755" customFormat="1">
      <c r="A321" s="753"/>
      <c r="B321" s="753"/>
      <c r="C321" s="753"/>
      <c r="D321" s="753"/>
      <c r="E321" s="753"/>
      <c r="F321" s="753"/>
      <c r="G321" s="753"/>
      <c r="H321" s="753"/>
      <c r="I321" s="753"/>
      <c r="J321" s="753"/>
      <c r="K321" s="753"/>
      <c r="L321" s="753"/>
      <c r="M321" s="753"/>
    </row>
    <row r="322" spans="1:13" s="755" customFormat="1">
      <c r="A322" s="753"/>
      <c r="B322" s="753"/>
      <c r="C322" s="753"/>
      <c r="D322" s="753"/>
      <c r="E322" s="753"/>
      <c r="F322" s="753"/>
      <c r="G322" s="753"/>
      <c r="H322" s="753"/>
      <c r="I322" s="753"/>
      <c r="J322" s="753"/>
      <c r="K322" s="753"/>
      <c r="L322" s="753"/>
      <c r="M322" s="753"/>
    </row>
    <row r="323" spans="1:13" s="755" customFormat="1">
      <c r="A323" s="753"/>
      <c r="B323" s="753"/>
      <c r="C323" s="753"/>
      <c r="D323" s="753"/>
      <c r="E323" s="753"/>
      <c r="F323" s="753"/>
      <c r="G323" s="753"/>
      <c r="H323" s="753"/>
      <c r="I323" s="753"/>
      <c r="J323" s="753"/>
      <c r="K323" s="753"/>
      <c r="L323" s="753"/>
      <c r="M323" s="753"/>
    </row>
    <row r="324" spans="1:13" s="755" customFormat="1">
      <c r="A324" s="753"/>
      <c r="B324" s="753"/>
      <c r="C324" s="753"/>
      <c r="D324" s="753"/>
      <c r="E324" s="753"/>
      <c r="F324" s="753"/>
      <c r="G324" s="753"/>
      <c r="H324" s="753"/>
      <c r="I324" s="753"/>
      <c r="J324" s="753"/>
      <c r="K324" s="753"/>
      <c r="L324" s="753"/>
      <c r="M324" s="753"/>
    </row>
    <row r="325" spans="1:13" s="755" customFormat="1">
      <c r="A325" s="753"/>
      <c r="B325" s="753"/>
      <c r="C325" s="753"/>
      <c r="D325" s="753"/>
      <c r="E325" s="753"/>
      <c r="F325" s="753"/>
      <c r="G325" s="753"/>
      <c r="H325" s="753"/>
      <c r="I325" s="753"/>
      <c r="J325" s="753"/>
      <c r="K325" s="753"/>
      <c r="L325" s="753"/>
      <c r="M325" s="753"/>
    </row>
    <row r="326" spans="1:13" s="755" customFormat="1">
      <c r="A326" s="753"/>
      <c r="B326" s="753"/>
      <c r="C326" s="753"/>
      <c r="D326" s="753"/>
      <c r="E326" s="753"/>
      <c r="F326" s="753"/>
      <c r="G326" s="753"/>
      <c r="H326" s="753"/>
      <c r="I326" s="753"/>
      <c r="J326" s="753"/>
      <c r="K326" s="753"/>
      <c r="L326" s="753"/>
      <c r="M326" s="753"/>
    </row>
    <row r="327" spans="1:13" s="755" customFormat="1">
      <c r="A327" s="753"/>
      <c r="B327" s="753"/>
      <c r="C327" s="753"/>
      <c r="D327" s="753"/>
      <c r="E327" s="753"/>
      <c r="F327" s="753"/>
      <c r="G327" s="753"/>
      <c r="H327" s="753"/>
      <c r="I327" s="753"/>
      <c r="J327" s="753"/>
      <c r="K327" s="753"/>
      <c r="L327" s="753"/>
      <c r="M327" s="753"/>
    </row>
    <row r="328" spans="1:13" s="755" customFormat="1">
      <c r="A328" s="753"/>
      <c r="B328" s="753"/>
      <c r="C328" s="753"/>
      <c r="D328" s="753"/>
      <c r="E328" s="753"/>
      <c r="F328" s="753"/>
      <c r="G328" s="753"/>
      <c r="H328" s="753"/>
      <c r="I328" s="753"/>
      <c r="J328" s="753"/>
      <c r="K328" s="753"/>
      <c r="L328" s="753"/>
      <c r="M328" s="753"/>
    </row>
    <row r="329" spans="1:13" s="755" customFormat="1">
      <c r="A329" s="753"/>
      <c r="B329" s="753"/>
      <c r="C329" s="753"/>
      <c r="D329" s="753"/>
      <c r="E329" s="753"/>
      <c r="F329" s="753"/>
      <c r="G329" s="753"/>
      <c r="H329" s="753"/>
      <c r="I329" s="753"/>
      <c r="J329" s="753"/>
      <c r="K329" s="753"/>
      <c r="L329" s="753"/>
      <c r="M329" s="753"/>
    </row>
    <row r="330" spans="1:13" s="755" customFormat="1">
      <c r="A330" s="753"/>
      <c r="B330" s="753"/>
      <c r="C330" s="753"/>
      <c r="D330" s="753"/>
      <c r="E330" s="753"/>
      <c r="F330" s="753"/>
      <c r="G330" s="753"/>
      <c r="H330" s="753"/>
      <c r="I330" s="753"/>
      <c r="J330" s="753"/>
      <c r="K330" s="753"/>
      <c r="L330" s="753"/>
      <c r="M330" s="753"/>
    </row>
    <row r="331" spans="1:13" s="755" customFormat="1">
      <c r="A331" s="753"/>
      <c r="B331" s="753"/>
      <c r="C331" s="753"/>
      <c r="D331" s="753"/>
      <c r="E331" s="753"/>
      <c r="F331" s="753"/>
      <c r="G331" s="753"/>
      <c r="H331" s="753"/>
      <c r="I331" s="753"/>
      <c r="J331" s="753"/>
      <c r="K331" s="753"/>
      <c r="L331" s="753"/>
      <c r="M331" s="753"/>
    </row>
    <row r="332" spans="1:13" s="755" customFormat="1">
      <c r="A332" s="753"/>
      <c r="B332" s="753"/>
      <c r="C332" s="753"/>
      <c r="D332" s="753"/>
      <c r="E332" s="753"/>
      <c r="F332" s="753"/>
      <c r="G332" s="753"/>
      <c r="H332" s="753"/>
      <c r="I332" s="753"/>
      <c r="J332" s="753"/>
      <c r="K332" s="753"/>
      <c r="L332" s="753"/>
      <c r="M332" s="753"/>
    </row>
    <row r="333" spans="1:13" s="755" customFormat="1">
      <c r="A333" s="753"/>
      <c r="B333" s="753"/>
      <c r="C333" s="753"/>
      <c r="D333" s="753"/>
      <c r="E333" s="753"/>
      <c r="F333" s="753"/>
      <c r="G333" s="753"/>
      <c r="H333" s="753"/>
      <c r="I333" s="753"/>
      <c r="J333" s="753"/>
      <c r="K333" s="753"/>
      <c r="L333" s="753"/>
      <c r="M333" s="753"/>
    </row>
    <row r="334" spans="1:13" s="755" customFormat="1">
      <c r="A334" s="753"/>
      <c r="B334" s="753"/>
      <c r="C334" s="753"/>
      <c r="D334" s="753"/>
      <c r="E334" s="753"/>
      <c r="F334" s="753"/>
      <c r="G334" s="753"/>
      <c r="H334" s="753"/>
      <c r="I334" s="753"/>
      <c r="J334" s="753"/>
      <c r="K334" s="753"/>
      <c r="L334" s="753"/>
      <c r="M334" s="753"/>
    </row>
    <row r="335" spans="1:13" s="755" customFormat="1">
      <c r="A335" s="753"/>
      <c r="B335" s="753"/>
      <c r="C335" s="753"/>
      <c r="D335" s="753"/>
      <c r="E335" s="753"/>
      <c r="F335" s="753"/>
      <c r="G335" s="753"/>
      <c r="H335" s="753"/>
      <c r="I335" s="753"/>
      <c r="J335" s="753"/>
      <c r="K335" s="753"/>
      <c r="L335" s="753"/>
      <c r="M335" s="753"/>
    </row>
    <row r="336" spans="1:13" s="755" customFormat="1">
      <c r="A336" s="753"/>
      <c r="B336" s="753"/>
      <c r="C336" s="753"/>
      <c r="D336" s="753"/>
      <c r="E336" s="753"/>
      <c r="F336" s="753"/>
      <c r="G336" s="753"/>
      <c r="H336" s="753"/>
      <c r="I336" s="753"/>
      <c r="J336" s="753"/>
      <c r="K336" s="753"/>
      <c r="L336" s="753"/>
      <c r="M336" s="753"/>
    </row>
    <row r="337" spans="1:13" s="755" customFormat="1">
      <c r="A337" s="753"/>
      <c r="B337" s="753"/>
      <c r="C337" s="753"/>
      <c r="D337" s="753"/>
      <c r="E337" s="753"/>
      <c r="F337" s="753"/>
      <c r="G337" s="753"/>
      <c r="H337" s="753"/>
      <c r="I337" s="753"/>
      <c r="J337" s="753"/>
      <c r="K337" s="753"/>
      <c r="L337" s="753"/>
      <c r="M337" s="753"/>
    </row>
    <row r="338" spans="1:13" s="755" customFormat="1">
      <c r="A338" s="753"/>
      <c r="B338" s="753"/>
      <c r="C338" s="753"/>
      <c r="D338" s="753"/>
      <c r="E338" s="753"/>
      <c r="F338" s="753"/>
      <c r="G338" s="753"/>
      <c r="H338" s="753"/>
      <c r="I338" s="753"/>
      <c r="J338" s="753"/>
      <c r="K338" s="753"/>
      <c r="L338" s="753"/>
      <c r="M338" s="753"/>
    </row>
    <row r="339" spans="1:13" s="755" customFormat="1">
      <c r="A339" s="753"/>
      <c r="B339" s="753"/>
      <c r="C339" s="753"/>
      <c r="D339" s="753"/>
      <c r="E339" s="753"/>
      <c r="F339" s="753"/>
      <c r="G339" s="753"/>
      <c r="H339" s="753"/>
      <c r="I339" s="753"/>
      <c r="J339" s="753"/>
      <c r="K339" s="753"/>
      <c r="L339" s="753"/>
      <c r="M339" s="753"/>
    </row>
    <row r="340" spans="1:13" s="755" customFormat="1">
      <c r="A340" s="753"/>
      <c r="B340" s="753"/>
      <c r="C340" s="753"/>
      <c r="D340" s="753"/>
      <c r="E340" s="753"/>
      <c r="F340" s="753"/>
      <c r="G340" s="753"/>
      <c r="H340" s="753"/>
      <c r="I340" s="753"/>
      <c r="J340" s="753"/>
      <c r="K340" s="753"/>
      <c r="L340" s="753"/>
      <c r="M340" s="753"/>
    </row>
    <row r="341" spans="1:13" s="755" customFormat="1">
      <c r="A341" s="753"/>
      <c r="B341" s="753"/>
      <c r="C341" s="753"/>
      <c r="D341" s="753"/>
      <c r="E341" s="753"/>
      <c r="F341" s="753"/>
      <c r="G341" s="753"/>
      <c r="H341" s="753"/>
      <c r="I341" s="753"/>
      <c r="J341" s="753"/>
      <c r="K341" s="753"/>
      <c r="L341" s="753"/>
      <c r="M341" s="753"/>
    </row>
    <row r="342" spans="1:13" s="755" customFormat="1">
      <c r="A342" s="753"/>
      <c r="B342" s="753"/>
      <c r="C342" s="753"/>
      <c r="D342" s="753"/>
      <c r="E342" s="753"/>
      <c r="F342" s="753"/>
      <c r="G342" s="753"/>
      <c r="H342" s="753"/>
      <c r="I342" s="753"/>
      <c r="J342" s="753"/>
      <c r="K342" s="753"/>
      <c r="L342" s="753"/>
      <c r="M342" s="753"/>
    </row>
    <row r="343" spans="1:13" s="755" customFormat="1">
      <c r="A343" s="753"/>
      <c r="B343" s="753"/>
      <c r="C343" s="753"/>
      <c r="D343" s="753"/>
      <c r="E343" s="753"/>
      <c r="F343" s="753"/>
      <c r="G343" s="753"/>
      <c r="H343" s="753"/>
      <c r="I343" s="753"/>
      <c r="J343" s="753"/>
      <c r="K343" s="753"/>
      <c r="L343" s="753"/>
      <c r="M343" s="753"/>
    </row>
    <row r="344" spans="1:13" s="755" customFormat="1">
      <c r="A344" s="753"/>
      <c r="B344" s="753"/>
      <c r="C344" s="753"/>
      <c r="D344" s="753"/>
      <c r="E344" s="753"/>
      <c r="F344" s="753"/>
      <c r="G344" s="753"/>
      <c r="H344" s="753"/>
      <c r="I344" s="753"/>
      <c r="J344" s="753"/>
      <c r="K344" s="753"/>
      <c r="L344" s="753"/>
      <c r="M344" s="753"/>
    </row>
    <row r="345" spans="1:13" s="755" customFormat="1">
      <c r="A345" s="753"/>
      <c r="B345" s="753"/>
      <c r="C345" s="753"/>
      <c r="D345" s="753"/>
      <c r="E345" s="753"/>
      <c r="F345" s="753"/>
      <c r="G345" s="753"/>
      <c r="H345" s="753"/>
      <c r="I345" s="753"/>
      <c r="J345" s="753"/>
      <c r="K345" s="753"/>
      <c r="L345" s="753"/>
      <c r="M345" s="753"/>
    </row>
    <row r="346" spans="1:13" s="755" customFormat="1">
      <c r="A346" s="753"/>
      <c r="B346" s="753"/>
      <c r="C346" s="753"/>
      <c r="D346" s="753"/>
      <c r="E346" s="753"/>
      <c r="F346" s="753"/>
      <c r="G346" s="753"/>
      <c r="H346" s="753"/>
      <c r="I346" s="753"/>
      <c r="J346" s="753"/>
      <c r="K346" s="753"/>
      <c r="L346" s="753"/>
      <c r="M346" s="753"/>
    </row>
    <row r="347" spans="1:13" s="755" customFormat="1">
      <c r="A347" s="753"/>
      <c r="B347" s="753"/>
      <c r="C347" s="753"/>
      <c r="D347" s="753"/>
      <c r="E347" s="753"/>
      <c r="F347" s="753"/>
      <c r="G347" s="753"/>
      <c r="H347" s="753"/>
      <c r="I347" s="753"/>
      <c r="J347" s="753"/>
      <c r="K347" s="753"/>
      <c r="L347" s="753"/>
      <c r="M347" s="753"/>
    </row>
    <row r="348" spans="1:13" s="755" customFormat="1">
      <c r="A348" s="753"/>
      <c r="B348" s="753"/>
      <c r="C348" s="753"/>
      <c r="D348" s="753"/>
      <c r="E348" s="753"/>
      <c r="F348" s="753"/>
      <c r="G348" s="753"/>
      <c r="H348" s="753"/>
      <c r="I348" s="753"/>
      <c r="J348" s="753"/>
      <c r="K348" s="753"/>
      <c r="L348" s="753"/>
      <c r="M348" s="753"/>
    </row>
    <row r="349" spans="1:13" s="755" customFormat="1">
      <c r="A349" s="753"/>
      <c r="B349" s="753"/>
      <c r="C349" s="753"/>
      <c r="D349" s="753"/>
      <c r="E349" s="753"/>
      <c r="F349" s="753"/>
      <c r="G349" s="753"/>
      <c r="H349" s="753"/>
      <c r="I349" s="753"/>
      <c r="J349" s="753"/>
      <c r="K349" s="753"/>
      <c r="L349" s="753"/>
      <c r="M349" s="753"/>
    </row>
    <row r="350" spans="1:13" s="755" customFormat="1">
      <c r="A350" s="753"/>
      <c r="B350" s="753"/>
      <c r="C350" s="753"/>
      <c r="D350" s="753"/>
      <c r="E350" s="753"/>
      <c r="F350" s="753"/>
      <c r="G350" s="753"/>
      <c r="H350" s="753"/>
      <c r="I350" s="753"/>
      <c r="J350" s="753"/>
      <c r="K350" s="753"/>
      <c r="L350" s="753"/>
      <c r="M350" s="753"/>
    </row>
    <row r="351" spans="1:13" s="755" customFormat="1">
      <c r="A351" s="753"/>
      <c r="B351" s="753"/>
      <c r="C351" s="753"/>
      <c r="D351" s="753"/>
      <c r="E351" s="753"/>
      <c r="F351" s="753"/>
      <c r="G351" s="753"/>
      <c r="H351" s="753"/>
      <c r="I351" s="753"/>
      <c r="J351" s="753"/>
      <c r="K351" s="753"/>
      <c r="L351" s="753"/>
      <c r="M351" s="753"/>
    </row>
    <row r="352" spans="1:13" s="755" customFormat="1">
      <c r="A352" s="753"/>
      <c r="B352" s="753"/>
      <c r="C352" s="753"/>
      <c r="D352" s="753"/>
      <c r="E352" s="753"/>
      <c r="F352" s="753"/>
      <c r="G352" s="753"/>
      <c r="H352" s="753"/>
      <c r="I352" s="753"/>
      <c r="J352" s="753"/>
      <c r="K352" s="753"/>
      <c r="L352" s="753"/>
      <c r="M352" s="753"/>
    </row>
    <row r="353" spans="1:13" s="755" customFormat="1">
      <c r="A353" s="753"/>
      <c r="B353" s="753"/>
      <c r="C353" s="753"/>
      <c r="D353" s="753"/>
      <c r="E353" s="753"/>
      <c r="F353" s="753"/>
      <c r="G353" s="753"/>
      <c r="H353" s="753"/>
      <c r="I353" s="753"/>
      <c r="J353" s="753"/>
      <c r="K353" s="753"/>
      <c r="L353" s="753"/>
      <c r="M353" s="753"/>
    </row>
    <row r="354" spans="1:13" s="755" customFormat="1">
      <c r="A354" s="753"/>
      <c r="B354" s="753"/>
      <c r="C354" s="753"/>
      <c r="D354" s="753"/>
      <c r="E354" s="753"/>
      <c r="F354" s="753"/>
      <c r="G354" s="753"/>
      <c r="H354" s="753"/>
      <c r="I354" s="753"/>
      <c r="J354" s="753"/>
      <c r="K354" s="753"/>
      <c r="L354" s="753"/>
      <c r="M354" s="753"/>
    </row>
    <row r="355" spans="1:13" s="755" customFormat="1">
      <c r="A355" s="753"/>
      <c r="B355" s="753"/>
      <c r="C355" s="753"/>
      <c r="D355" s="753"/>
      <c r="E355" s="753"/>
      <c r="F355" s="753"/>
      <c r="G355" s="753"/>
      <c r="H355" s="753"/>
      <c r="I355" s="753"/>
      <c r="J355" s="753"/>
      <c r="K355" s="753"/>
      <c r="L355" s="753"/>
      <c r="M355" s="753"/>
    </row>
    <row r="356" spans="1:13" s="755" customFormat="1">
      <c r="A356" s="753"/>
      <c r="B356" s="753"/>
      <c r="C356" s="753"/>
      <c r="D356" s="753"/>
      <c r="E356" s="753"/>
      <c r="F356" s="753"/>
      <c r="G356" s="753"/>
      <c r="H356" s="753"/>
      <c r="I356" s="753"/>
      <c r="J356" s="753"/>
      <c r="K356" s="753"/>
      <c r="L356" s="753"/>
      <c r="M356" s="753"/>
    </row>
    <row r="357" spans="1:13" s="755" customFormat="1">
      <c r="A357" s="753"/>
      <c r="B357" s="753"/>
      <c r="C357" s="753"/>
      <c r="D357" s="753"/>
      <c r="E357" s="753"/>
      <c r="F357" s="753"/>
      <c r="G357" s="753"/>
      <c r="H357" s="753"/>
      <c r="I357" s="753"/>
      <c r="J357" s="753"/>
      <c r="K357" s="753"/>
      <c r="L357" s="753"/>
      <c r="M357" s="753"/>
    </row>
    <row r="358" spans="1:13" s="755" customFormat="1">
      <c r="A358" s="753"/>
      <c r="B358" s="753"/>
      <c r="C358" s="753"/>
      <c r="D358" s="753"/>
      <c r="E358" s="753"/>
      <c r="F358" s="753"/>
      <c r="G358" s="753"/>
      <c r="H358" s="753"/>
      <c r="I358" s="753"/>
      <c r="J358" s="753"/>
      <c r="K358" s="753"/>
      <c r="L358" s="753"/>
      <c r="M358" s="753"/>
    </row>
    <row r="359" spans="1:13" s="755" customFormat="1">
      <c r="A359" s="753"/>
      <c r="B359" s="753"/>
      <c r="C359" s="753"/>
      <c r="D359" s="753"/>
      <c r="E359" s="753"/>
      <c r="F359" s="753"/>
      <c r="G359" s="753"/>
      <c r="H359" s="753"/>
      <c r="I359" s="753"/>
      <c r="J359" s="753"/>
      <c r="K359" s="753"/>
      <c r="L359" s="753"/>
      <c r="M359" s="753"/>
    </row>
    <row r="360" spans="1:13" s="755" customFormat="1">
      <c r="A360" s="753"/>
      <c r="B360" s="753"/>
      <c r="C360" s="753"/>
      <c r="D360" s="753"/>
      <c r="E360" s="753"/>
      <c r="F360" s="753"/>
      <c r="G360" s="753"/>
      <c r="H360" s="753"/>
      <c r="I360" s="753"/>
      <c r="J360" s="753"/>
      <c r="K360" s="753"/>
      <c r="L360" s="753"/>
      <c r="M360" s="753"/>
    </row>
    <row r="361" spans="1:13" s="755" customFormat="1">
      <c r="A361" s="753"/>
      <c r="B361" s="753"/>
      <c r="C361" s="753"/>
      <c r="D361" s="753"/>
      <c r="E361" s="753"/>
      <c r="F361" s="753"/>
      <c r="G361" s="753"/>
      <c r="H361" s="753"/>
      <c r="I361" s="753"/>
      <c r="J361" s="753"/>
      <c r="K361" s="753"/>
      <c r="L361" s="753"/>
      <c r="M361" s="753"/>
    </row>
    <row r="362" spans="1:13" s="755" customFormat="1">
      <c r="A362" s="753"/>
      <c r="B362" s="753"/>
      <c r="C362" s="753"/>
      <c r="D362" s="753"/>
      <c r="E362" s="753"/>
      <c r="F362" s="753"/>
      <c r="G362" s="753"/>
      <c r="H362" s="753"/>
      <c r="I362" s="753"/>
      <c r="J362" s="753"/>
      <c r="K362" s="753"/>
      <c r="L362" s="753"/>
      <c r="M362" s="753"/>
    </row>
    <row r="363" spans="1:13" s="755" customFormat="1">
      <c r="A363" s="753"/>
      <c r="B363" s="753"/>
      <c r="C363" s="753"/>
      <c r="D363" s="753"/>
      <c r="E363" s="753"/>
      <c r="F363" s="753"/>
      <c r="G363" s="753"/>
      <c r="H363" s="753"/>
      <c r="I363" s="753"/>
      <c r="J363" s="753"/>
      <c r="K363" s="753"/>
      <c r="L363" s="753"/>
      <c r="M363" s="753"/>
    </row>
    <row r="364" spans="1:13" s="755" customFormat="1">
      <c r="A364" s="753"/>
      <c r="B364" s="753"/>
      <c r="C364" s="753"/>
      <c r="D364" s="753"/>
      <c r="E364" s="753"/>
      <c r="F364" s="753"/>
      <c r="G364" s="753"/>
      <c r="H364" s="753"/>
      <c r="I364" s="753"/>
      <c r="J364" s="753"/>
      <c r="K364" s="753"/>
      <c r="L364" s="753"/>
      <c r="M364" s="753"/>
    </row>
    <row r="365" spans="1:13" s="755" customFormat="1">
      <c r="A365" s="753"/>
      <c r="B365" s="753"/>
      <c r="C365" s="753"/>
      <c r="D365" s="753"/>
      <c r="E365" s="753"/>
      <c r="F365" s="753"/>
      <c r="G365" s="753"/>
      <c r="H365" s="753"/>
      <c r="I365" s="753"/>
      <c r="J365" s="753"/>
      <c r="K365" s="753"/>
      <c r="L365" s="753"/>
      <c r="M365" s="753"/>
    </row>
    <row r="366" spans="1:13" s="755" customFormat="1">
      <c r="A366" s="753"/>
      <c r="B366" s="753"/>
      <c r="C366" s="753"/>
      <c r="D366" s="753"/>
      <c r="E366" s="753"/>
      <c r="F366" s="753"/>
      <c r="G366" s="753"/>
      <c r="H366" s="753"/>
      <c r="I366" s="753"/>
      <c r="J366" s="753"/>
      <c r="K366" s="753"/>
      <c r="L366" s="753"/>
      <c r="M366" s="753"/>
    </row>
    <row r="367" spans="1:13" s="755" customFormat="1">
      <c r="A367" s="753"/>
      <c r="B367" s="753"/>
      <c r="C367" s="753"/>
      <c r="D367" s="753"/>
      <c r="E367" s="753"/>
      <c r="F367" s="753"/>
      <c r="G367" s="753"/>
      <c r="H367" s="753"/>
      <c r="I367" s="753"/>
      <c r="J367" s="753"/>
      <c r="K367" s="753"/>
      <c r="L367" s="753"/>
      <c r="M367" s="753"/>
    </row>
    <row r="368" spans="1:13" s="755" customFormat="1">
      <c r="A368" s="753"/>
      <c r="B368" s="753"/>
      <c r="C368" s="753"/>
      <c r="D368" s="753"/>
      <c r="E368" s="753"/>
      <c r="F368" s="753"/>
      <c r="G368" s="753"/>
      <c r="H368" s="753"/>
      <c r="I368" s="753"/>
      <c r="J368" s="753"/>
      <c r="K368" s="753"/>
      <c r="L368" s="753"/>
      <c r="M368" s="753"/>
    </row>
    <row r="369" spans="1:13" s="755" customFormat="1">
      <c r="A369" s="753"/>
      <c r="B369" s="753"/>
      <c r="C369" s="753"/>
      <c r="D369" s="753"/>
      <c r="E369" s="753"/>
      <c r="F369" s="753"/>
      <c r="G369" s="753"/>
      <c r="H369" s="753"/>
      <c r="I369" s="753"/>
      <c r="J369" s="753"/>
      <c r="K369" s="753"/>
      <c r="L369" s="753"/>
      <c r="M369" s="753"/>
    </row>
    <row r="370" spans="1:13" s="755" customFormat="1">
      <c r="A370" s="753"/>
      <c r="B370" s="753"/>
      <c r="C370" s="753"/>
      <c r="D370" s="753"/>
      <c r="E370" s="753"/>
      <c r="F370" s="753"/>
      <c r="G370" s="753"/>
      <c r="H370" s="753"/>
      <c r="I370" s="753"/>
      <c r="J370" s="753"/>
      <c r="K370" s="753"/>
      <c r="L370" s="753"/>
      <c r="M370" s="753"/>
    </row>
    <row r="371" spans="1:13" s="755" customFormat="1">
      <c r="A371" s="753"/>
      <c r="B371" s="753"/>
      <c r="C371" s="753"/>
      <c r="D371" s="753"/>
      <c r="E371" s="753"/>
      <c r="F371" s="753"/>
      <c r="G371" s="753"/>
      <c r="H371" s="753"/>
      <c r="I371" s="753"/>
      <c r="J371" s="753"/>
      <c r="K371" s="753"/>
      <c r="L371" s="753"/>
      <c r="M371" s="753"/>
    </row>
    <row r="372" spans="1:13" s="755" customFormat="1">
      <c r="A372" s="753"/>
      <c r="B372" s="753"/>
      <c r="C372" s="753"/>
      <c r="D372" s="753"/>
      <c r="E372" s="753"/>
      <c r="F372" s="753"/>
      <c r="G372" s="753"/>
      <c r="H372" s="753"/>
      <c r="I372" s="753"/>
      <c r="J372" s="753"/>
      <c r="K372" s="753"/>
      <c r="L372" s="753"/>
      <c r="M372" s="753"/>
    </row>
    <row r="373" spans="1:13" s="755" customFormat="1">
      <c r="A373" s="753"/>
      <c r="B373" s="753"/>
      <c r="C373" s="753"/>
      <c r="D373" s="753"/>
      <c r="E373" s="753"/>
      <c r="F373" s="753"/>
      <c r="G373" s="753"/>
      <c r="H373" s="753"/>
      <c r="I373" s="753"/>
      <c r="J373" s="753"/>
      <c r="K373" s="753"/>
      <c r="L373" s="753"/>
      <c r="M373" s="753"/>
    </row>
    <row r="374" spans="1:13" s="755" customFormat="1">
      <c r="A374" s="753"/>
      <c r="B374" s="753"/>
      <c r="C374" s="753"/>
      <c r="D374" s="753"/>
      <c r="E374" s="753"/>
      <c r="F374" s="753"/>
      <c r="G374" s="753"/>
      <c r="H374" s="753"/>
      <c r="I374" s="753"/>
      <c r="J374" s="753"/>
      <c r="K374" s="753"/>
      <c r="L374" s="753"/>
      <c r="M374" s="753"/>
    </row>
    <row r="375" spans="1:13" s="755" customFormat="1">
      <c r="A375" s="753"/>
      <c r="B375" s="753"/>
      <c r="C375" s="753"/>
      <c r="D375" s="753"/>
      <c r="E375" s="753"/>
      <c r="F375" s="753"/>
      <c r="G375" s="753"/>
      <c r="H375" s="753"/>
      <c r="I375" s="753"/>
      <c r="J375" s="753"/>
      <c r="K375" s="753"/>
      <c r="L375" s="753"/>
      <c r="M375" s="753"/>
    </row>
    <row r="376" spans="1:13" s="755" customFormat="1">
      <c r="A376" s="753"/>
      <c r="B376" s="753"/>
      <c r="C376" s="753"/>
      <c r="D376" s="753"/>
      <c r="E376" s="753"/>
      <c r="F376" s="753"/>
      <c r="G376" s="753"/>
      <c r="H376" s="753"/>
      <c r="I376" s="753"/>
      <c r="J376" s="753"/>
      <c r="K376" s="753"/>
      <c r="L376" s="753"/>
      <c r="M376" s="753"/>
    </row>
    <row r="377" spans="1:13" s="755" customFormat="1">
      <c r="A377" s="753"/>
      <c r="B377" s="753"/>
      <c r="C377" s="753"/>
      <c r="D377" s="753"/>
      <c r="E377" s="753"/>
      <c r="F377" s="753"/>
      <c r="G377" s="753"/>
      <c r="H377" s="753"/>
      <c r="I377" s="753"/>
      <c r="J377" s="753"/>
      <c r="K377" s="753"/>
      <c r="L377" s="753"/>
      <c r="M377" s="753"/>
    </row>
    <row r="378" spans="1:13" s="755" customFormat="1">
      <c r="A378" s="753"/>
      <c r="B378" s="753"/>
      <c r="C378" s="753"/>
      <c r="D378" s="753"/>
      <c r="E378" s="753"/>
      <c r="F378" s="753"/>
      <c r="G378" s="753"/>
      <c r="H378" s="753"/>
      <c r="I378" s="753"/>
      <c r="J378" s="753"/>
      <c r="K378" s="753"/>
      <c r="L378" s="753"/>
      <c r="M378" s="753"/>
    </row>
    <row r="379" spans="1:13" s="755" customFormat="1">
      <c r="A379" s="753"/>
      <c r="B379" s="753"/>
      <c r="C379" s="753"/>
      <c r="D379" s="753"/>
      <c r="E379" s="753"/>
      <c r="F379" s="753"/>
      <c r="G379" s="753"/>
      <c r="H379" s="753"/>
      <c r="I379" s="753"/>
      <c r="J379" s="753"/>
      <c r="K379" s="753"/>
      <c r="L379" s="753"/>
      <c r="M379" s="753"/>
    </row>
    <row r="380" spans="1:13" s="755" customFormat="1">
      <c r="A380" s="753"/>
      <c r="B380" s="753"/>
      <c r="C380" s="753"/>
      <c r="D380" s="753"/>
      <c r="E380" s="753"/>
      <c r="F380" s="753"/>
      <c r="G380" s="753"/>
      <c r="H380" s="753"/>
      <c r="I380" s="753"/>
      <c r="J380" s="753"/>
      <c r="K380" s="753"/>
      <c r="L380" s="753"/>
      <c r="M380" s="753"/>
    </row>
    <row r="381" spans="1:13" s="755" customFormat="1">
      <c r="A381" s="753"/>
      <c r="B381" s="753"/>
      <c r="C381" s="753"/>
      <c r="D381" s="753"/>
      <c r="E381" s="753"/>
      <c r="F381" s="753"/>
      <c r="G381" s="753"/>
      <c r="H381" s="753"/>
      <c r="I381" s="753"/>
      <c r="J381" s="753"/>
      <c r="K381" s="753"/>
      <c r="L381" s="753"/>
      <c r="M381" s="753"/>
    </row>
    <row r="382" spans="1:13" s="755" customFormat="1">
      <c r="A382" s="753"/>
      <c r="B382" s="753"/>
      <c r="C382" s="753"/>
      <c r="D382" s="753"/>
      <c r="E382" s="753"/>
      <c r="F382" s="753"/>
      <c r="G382" s="753"/>
      <c r="H382" s="753"/>
      <c r="I382" s="753"/>
      <c r="J382" s="753"/>
      <c r="K382" s="753"/>
      <c r="L382" s="753"/>
      <c r="M382" s="753"/>
    </row>
    <row r="383" spans="1:13" s="755" customFormat="1">
      <c r="A383" s="753"/>
      <c r="B383" s="753"/>
      <c r="C383" s="753"/>
      <c r="D383" s="753"/>
      <c r="E383" s="753"/>
      <c r="F383" s="753"/>
      <c r="G383" s="753"/>
      <c r="H383" s="753"/>
      <c r="I383" s="753"/>
      <c r="J383" s="753"/>
      <c r="K383" s="753"/>
      <c r="L383" s="753"/>
      <c r="M383" s="753"/>
    </row>
    <row r="384" spans="1:13" s="755" customFormat="1">
      <c r="A384" s="753"/>
      <c r="B384" s="753"/>
      <c r="C384" s="753"/>
      <c r="D384" s="753"/>
      <c r="E384" s="753"/>
      <c r="F384" s="753"/>
      <c r="G384" s="753"/>
      <c r="H384" s="753"/>
      <c r="I384" s="753"/>
      <c r="J384" s="753"/>
      <c r="K384" s="753"/>
      <c r="L384" s="753"/>
      <c r="M384" s="753"/>
    </row>
    <row r="385" spans="1:13" s="755" customFormat="1">
      <c r="A385" s="753"/>
      <c r="B385" s="753"/>
      <c r="C385" s="753"/>
      <c r="D385" s="753"/>
      <c r="E385" s="753"/>
      <c r="F385" s="753"/>
      <c r="G385" s="753"/>
      <c r="H385" s="753"/>
      <c r="I385" s="753"/>
      <c r="J385" s="753"/>
      <c r="K385" s="753"/>
      <c r="L385" s="753"/>
      <c r="M385" s="753"/>
    </row>
    <row r="386" spans="1:13" s="755" customFormat="1">
      <c r="A386" s="753"/>
      <c r="B386" s="753"/>
      <c r="C386" s="753"/>
      <c r="D386" s="753"/>
      <c r="E386" s="753"/>
      <c r="F386" s="753"/>
      <c r="G386" s="753"/>
      <c r="H386" s="753"/>
      <c r="I386" s="753"/>
      <c r="J386" s="753"/>
      <c r="K386" s="753"/>
      <c r="L386" s="753"/>
      <c r="M386" s="753"/>
    </row>
    <row r="387" spans="1:13" s="755" customFormat="1">
      <c r="A387" s="753"/>
      <c r="B387" s="753"/>
      <c r="C387" s="753"/>
      <c r="D387" s="753"/>
      <c r="E387" s="753"/>
      <c r="F387" s="753"/>
      <c r="G387" s="753"/>
      <c r="H387" s="753"/>
      <c r="I387" s="753"/>
      <c r="J387" s="753"/>
      <c r="K387" s="753"/>
      <c r="L387" s="753"/>
      <c r="M387" s="753"/>
    </row>
    <row r="388" spans="1:13" s="755" customFormat="1">
      <c r="A388" s="753"/>
      <c r="B388" s="753"/>
      <c r="C388" s="753"/>
      <c r="D388" s="753"/>
      <c r="E388" s="753"/>
      <c r="F388" s="753"/>
      <c r="G388" s="753"/>
      <c r="H388" s="753"/>
      <c r="I388" s="753"/>
      <c r="J388" s="753"/>
      <c r="K388" s="753"/>
      <c r="L388" s="753"/>
      <c r="M388" s="753"/>
    </row>
    <row r="389" spans="1:13" s="755" customFormat="1">
      <c r="A389" s="753"/>
      <c r="B389" s="753"/>
      <c r="C389" s="753"/>
      <c r="D389" s="753"/>
      <c r="E389" s="753"/>
      <c r="F389" s="753"/>
      <c r="G389" s="753"/>
      <c r="H389" s="753"/>
      <c r="I389" s="753"/>
      <c r="J389" s="753"/>
      <c r="K389" s="753"/>
      <c r="L389" s="753"/>
      <c r="M389" s="753"/>
    </row>
    <row r="390" spans="1:13" s="755" customFormat="1">
      <c r="A390" s="753"/>
      <c r="B390" s="753"/>
      <c r="C390" s="753"/>
      <c r="D390" s="753"/>
      <c r="E390" s="753"/>
      <c r="F390" s="753"/>
      <c r="G390" s="753"/>
      <c r="H390" s="753"/>
      <c r="I390" s="753"/>
      <c r="J390" s="753"/>
      <c r="K390" s="753"/>
      <c r="L390" s="753"/>
      <c r="M390" s="753"/>
    </row>
    <row r="391" spans="1:13" s="755" customFormat="1">
      <c r="A391" s="753"/>
      <c r="B391" s="753"/>
      <c r="C391" s="753"/>
      <c r="D391" s="753"/>
      <c r="E391" s="753"/>
      <c r="F391" s="753"/>
      <c r="G391" s="753"/>
      <c r="H391" s="753"/>
      <c r="I391" s="753"/>
      <c r="J391" s="753"/>
      <c r="K391" s="753"/>
      <c r="L391" s="753"/>
      <c r="M391" s="753"/>
    </row>
    <row r="392" spans="1:13" s="755" customFormat="1">
      <c r="A392" s="753"/>
      <c r="B392" s="753"/>
      <c r="C392" s="753"/>
      <c r="D392" s="753"/>
      <c r="E392" s="753"/>
      <c r="F392" s="753"/>
      <c r="G392" s="753"/>
      <c r="H392" s="753"/>
      <c r="I392" s="753"/>
      <c r="J392" s="753"/>
      <c r="K392" s="753"/>
      <c r="L392" s="753"/>
      <c r="M392" s="753"/>
    </row>
    <row r="393" spans="1:13" s="755" customFormat="1">
      <c r="A393" s="753"/>
      <c r="B393" s="753"/>
      <c r="C393" s="753"/>
      <c r="D393" s="753"/>
      <c r="E393" s="753"/>
      <c r="F393" s="753"/>
      <c r="G393" s="753"/>
      <c r="H393" s="753"/>
      <c r="I393" s="753"/>
      <c r="J393" s="753"/>
      <c r="K393" s="753"/>
      <c r="L393" s="753"/>
      <c r="M393" s="753"/>
    </row>
    <row r="394" spans="1:13" s="755" customFormat="1">
      <c r="A394" s="753"/>
      <c r="B394" s="753"/>
      <c r="C394" s="753"/>
      <c r="D394" s="753"/>
      <c r="E394" s="753"/>
      <c r="F394" s="753"/>
      <c r="G394" s="753"/>
      <c r="H394" s="753"/>
      <c r="I394" s="753"/>
      <c r="J394" s="753"/>
      <c r="K394" s="753"/>
      <c r="L394" s="753"/>
      <c r="M394" s="753"/>
    </row>
    <row r="395" spans="1:13" s="755" customFormat="1">
      <c r="A395" s="753"/>
      <c r="B395" s="753"/>
      <c r="C395" s="753"/>
      <c r="D395" s="753"/>
      <c r="E395" s="753"/>
      <c r="F395" s="753"/>
      <c r="G395" s="753"/>
      <c r="H395" s="753"/>
      <c r="I395" s="753"/>
      <c r="J395" s="753"/>
      <c r="K395" s="753"/>
      <c r="L395" s="753"/>
      <c r="M395" s="753"/>
    </row>
    <row r="396" spans="1:13" s="755" customFormat="1">
      <c r="A396" s="753"/>
      <c r="B396" s="753"/>
      <c r="C396" s="753"/>
      <c r="D396" s="753"/>
      <c r="E396" s="753"/>
      <c r="F396" s="753"/>
      <c r="G396" s="753"/>
      <c r="H396" s="753"/>
      <c r="I396" s="753"/>
      <c r="J396" s="753"/>
      <c r="K396" s="753"/>
      <c r="L396" s="753"/>
      <c r="M396" s="753"/>
    </row>
    <row r="397" spans="1:13" s="755" customFormat="1">
      <c r="A397" s="753"/>
      <c r="B397" s="753"/>
      <c r="C397" s="753"/>
      <c r="D397" s="753"/>
      <c r="E397" s="753"/>
      <c r="F397" s="753"/>
      <c r="G397" s="753"/>
      <c r="H397" s="753"/>
      <c r="I397" s="753"/>
      <c r="J397" s="753"/>
      <c r="K397" s="753"/>
      <c r="L397" s="753"/>
      <c r="M397" s="753"/>
    </row>
    <row r="398" spans="1:13" s="755" customFormat="1">
      <c r="A398" s="753"/>
      <c r="B398" s="753"/>
      <c r="C398" s="753"/>
      <c r="D398" s="753"/>
      <c r="E398" s="753"/>
      <c r="F398" s="753"/>
      <c r="G398" s="753"/>
      <c r="H398" s="753"/>
      <c r="I398" s="753"/>
      <c r="J398" s="753"/>
      <c r="K398" s="753"/>
      <c r="L398" s="753"/>
      <c r="M398" s="753"/>
    </row>
    <row r="399" spans="1:13" s="755" customFormat="1">
      <c r="A399" s="753"/>
      <c r="B399" s="753"/>
      <c r="C399" s="753"/>
      <c r="D399" s="753"/>
      <c r="E399" s="753"/>
      <c r="F399" s="753"/>
      <c r="G399" s="753"/>
      <c r="H399" s="753"/>
      <c r="I399" s="753"/>
      <c r="J399" s="753"/>
      <c r="K399" s="753"/>
      <c r="L399" s="753"/>
      <c r="M399" s="753"/>
    </row>
    <row r="400" spans="1:13" s="755" customFormat="1">
      <c r="A400" s="753"/>
      <c r="B400" s="753"/>
      <c r="C400" s="753"/>
      <c r="D400" s="753"/>
      <c r="E400" s="753"/>
      <c r="F400" s="753"/>
      <c r="G400" s="753"/>
      <c r="H400" s="753"/>
      <c r="I400" s="753"/>
      <c r="J400" s="753"/>
      <c r="K400" s="753"/>
      <c r="L400" s="753"/>
      <c r="M400" s="753"/>
    </row>
    <row r="401" spans="1:13" s="755" customFormat="1">
      <c r="A401" s="753"/>
      <c r="B401" s="753"/>
      <c r="C401" s="753"/>
      <c r="D401" s="753"/>
      <c r="E401" s="753"/>
      <c r="F401" s="753"/>
      <c r="G401" s="753"/>
      <c r="H401" s="753"/>
      <c r="I401" s="753"/>
      <c r="J401" s="753"/>
      <c r="K401" s="753"/>
      <c r="L401" s="753"/>
      <c r="M401" s="753"/>
    </row>
    <row r="402" spans="1:13" s="755" customFormat="1">
      <c r="A402" s="753"/>
      <c r="B402" s="753"/>
      <c r="C402" s="753"/>
      <c r="D402" s="753"/>
      <c r="E402" s="753"/>
      <c r="F402" s="753"/>
      <c r="G402" s="753"/>
      <c r="H402" s="753"/>
      <c r="I402" s="753"/>
      <c r="J402" s="753"/>
      <c r="K402" s="753"/>
      <c r="L402" s="753"/>
      <c r="M402" s="753"/>
    </row>
    <row r="403" spans="1:13" s="755" customFormat="1">
      <c r="A403" s="753"/>
      <c r="B403" s="753"/>
      <c r="C403" s="753"/>
      <c r="D403" s="753"/>
      <c r="E403" s="753"/>
      <c r="F403" s="753"/>
      <c r="G403" s="753"/>
      <c r="H403" s="753"/>
      <c r="I403" s="753"/>
      <c r="J403" s="753"/>
      <c r="K403" s="753"/>
      <c r="L403" s="753"/>
      <c r="M403" s="753"/>
    </row>
    <row r="404" spans="1:13" s="755" customFormat="1">
      <c r="A404" s="753"/>
      <c r="B404" s="753"/>
      <c r="C404" s="753"/>
      <c r="D404" s="753"/>
      <c r="E404" s="753"/>
      <c r="F404" s="753"/>
      <c r="G404" s="753"/>
      <c r="H404" s="753"/>
      <c r="I404" s="753"/>
      <c r="J404" s="753"/>
      <c r="K404" s="753"/>
      <c r="L404" s="753"/>
      <c r="M404" s="753"/>
    </row>
    <row r="405" spans="1:13" s="755" customFormat="1">
      <c r="A405" s="753"/>
      <c r="B405" s="753"/>
      <c r="C405" s="753"/>
      <c r="D405" s="753"/>
      <c r="E405" s="753"/>
      <c r="F405" s="753"/>
      <c r="G405" s="753"/>
      <c r="H405" s="753"/>
      <c r="I405" s="753"/>
      <c r="J405" s="753"/>
      <c r="K405" s="753"/>
      <c r="L405" s="753"/>
      <c r="M405" s="753"/>
    </row>
    <row r="406" spans="1:13" s="755" customFormat="1">
      <c r="A406" s="753"/>
      <c r="B406" s="753"/>
      <c r="C406" s="753"/>
      <c r="D406" s="753"/>
      <c r="E406" s="753"/>
      <c r="F406" s="753"/>
      <c r="G406" s="753"/>
      <c r="H406" s="753"/>
      <c r="I406" s="753"/>
      <c r="J406" s="753"/>
      <c r="K406" s="753"/>
      <c r="L406" s="753"/>
      <c r="M406" s="753"/>
    </row>
    <row r="407" spans="1:13" s="755" customFormat="1">
      <c r="A407" s="753"/>
      <c r="B407" s="753"/>
      <c r="C407" s="753"/>
      <c r="D407" s="753"/>
      <c r="E407" s="753"/>
      <c r="F407" s="753"/>
      <c r="G407" s="753"/>
      <c r="H407" s="753"/>
      <c r="I407" s="753"/>
      <c r="J407" s="753"/>
      <c r="K407" s="753"/>
      <c r="L407" s="753"/>
      <c r="M407" s="753"/>
    </row>
    <row r="408" spans="1:13" s="755" customFormat="1">
      <c r="A408" s="753"/>
      <c r="B408" s="753"/>
      <c r="C408" s="753"/>
      <c r="D408" s="753"/>
      <c r="E408" s="753"/>
      <c r="F408" s="753"/>
      <c r="G408" s="753"/>
      <c r="H408" s="753"/>
      <c r="I408" s="753"/>
      <c r="J408" s="753"/>
      <c r="K408" s="753"/>
      <c r="L408" s="753"/>
      <c r="M408" s="753"/>
    </row>
    <row r="409" spans="1:13" s="755" customFormat="1">
      <c r="A409" s="753"/>
      <c r="B409" s="753"/>
      <c r="C409" s="753"/>
      <c r="D409" s="753"/>
      <c r="E409" s="753"/>
      <c r="F409" s="753"/>
      <c r="G409" s="753"/>
      <c r="H409" s="753"/>
      <c r="I409" s="753"/>
      <c r="J409" s="753"/>
      <c r="K409" s="753"/>
      <c r="L409" s="753"/>
      <c r="M409" s="753"/>
    </row>
    <row r="410" spans="1:13" s="755" customFormat="1">
      <c r="A410" s="753"/>
      <c r="B410" s="753"/>
      <c r="C410" s="753"/>
      <c r="D410" s="753"/>
      <c r="E410" s="753"/>
      <c r="F410" s="753"/>
      <c r="G410" s="753"/>
      <c r="H410" s="753"/>
      <c r="I410" s="753"/>
      <c r="J410" s="753"/>
      <c r="K410" s="753"/>
      <c r="L410" s="753"/>
      <c r="M410" s="753"/>
    </row>
    <row r="411" spans="1:13" s="755" customFormat="1">
      <c r="A411" s="753"/>
      <c r="B411" s="753"/>
      <c r="C411" s="753"/>
      <c r="D411" s="753"/>
      <c r="E411" s="753"/>
      <c r="F411" s="753"/>
      <c r="G411" s="753"/>
      <c r="H411" s="753"/>
      <c r="I411" s="753"/>
      <c r="J411" s="753"/>
      <c r="K411" s="753"/>
      <c r="L411" s="753"/>
      <c r="M411" s="753"/>
    </row>
    <row r="412" spans="1:13" s="755" customFormat="1">
      <c r="A412" s="753"/>
      <c r="B412" s="753"/>
      <c r="C412" s="753"/>
      <c r="D412" s="753"/>
      <c r="E412" s="753"/>
      <c r="F412" s="753"/>
      <c r="G412" s="753"/>
      <c r="H412" s="753"/>
      <c r="I412" s="753"/>
      <c r="J412" s="753"/>
      <c r="K412" s="753"/>
      <c r="L412" s="753"/>
      <c r="M412" s="753"/>
    </row>
    <row r="413" spans="1:13" s="755" customFormat="1">
      <c r="A413" s="753"/>
      <c r="B413" s="753"/>
      <c r="C413" s="753"/>
      <c r="D413" s="753"/>
      <c r="E413" s="753"/>
      <c r="F413" s="753"/>
      <c r="G413" s="753"/>
      <c r="H413" s="753"/>
      <c r="I413" s="753"/>
      <c r="J413" s="753"/>
      <c r="K413" s="753"/>
      <c r="L413" s="753"/>
      <c r="M413" s="753"/>
    </row>
    <row r="414" spans="1:13" s="755" customFormat="1">
      <c r="A414" s="753"/>
      <c r="B414" s="753"/>
      <c r="C414" s="753"/>
      <c r="D414" s="753"/>
      <c r="E414" s="753"/>
      <c r="F414" s="753"/>
      <c r="G414" s="753"/>
      <c r="H414" s="753"/>
      <c r="I414" s="753"/>
      <c r="J414" s="753"/>
      <c r="K414" s="753"/>
      <c r="L414" s="753"/>
      <c r="M414" s="753"/>
    </row>
    <row r="415" spans="1:13" s="755" customFormat="1">
      <c r="A415" s="753"/>
      <c r="B415" s="753"/>
      <c r="C415" s="753"/>
      <c r="D415" s="753"/>
      <c r="E415" s="753"/>
      <c r="F415" s="753"/>
      <c r="G415" s="753"/>
      <c r="H415" s="753"/>
      <c r="I415" s="753"/>
      <c r="J415" s="753"/>
      <c r="K415" s="753"/>
      <c r="L415" s="753"/>
      <c r="M415" s="753"/>
    </row>
    <row r="416" spans="1:13" s="755" customFormat="1">
      <c r="A416" s="753"/>
      <c r="B416" s="753"/>
      <c r="C416" s="753"/>
      <c r="D416" s="753"/>
      <c r="E416" s="753"/>
      <c r="F416" s="753"/>
      <c r="G416" s="753"/>
      <c r="H416" s="753"/>
      <c r="I416" s="753"/>
      <c r="J416" s="753"/>
      <c r="K416" s="753"/>
      <c r="L416" s="753"/>
      <c r="M416" s="753"/>
    </row>
    <row r="417" spans="1:13" s="755" customFormat="1">
      <c r="A417" s="753"/>
      <c r="B417" s="753"/>
      <c r="C417" s="753"/>
      <c r="D417" s="753"/>
      <c r="E417" s="753"/>
      <c r="F417" s="753"/>
      <c r="G417" s="753"/>
      <c r="H417" s="753"/>
      <c r="I417" s="753"/>
      <c r="J417" s="753"/>
      <c r="K417" s="753"/>
      <c r="L417" s="753"/>
      <c r="M417" s="753"/>
    </row>
    <row r="418" spans="1:13" s="755" customFormat="1">
      <c r="A418" s="753"/>
      <c r="B418" s="753"/>
      <c r="C418" s="753"/>
      <c r="D418" s="753"/>
      <c r="E418" s="753"/>
      <c r="F418" s="753"/>
      <c r="G418" s="753"/>
      <c r="H418" s="753"/>
      <c r="I418" s="753"/>
      <c r="J418" s="753"/>
      <c r="K418" s="753"/>
      <c r="L418" s="753"/>
      <c r="M418" s="753"/>
    </row>
    <row r="419" spans="1:13" s="755" customFormat="1">
      <c r="A419" s="753"/>
      <c r="B419" s="753"/>
      <c r="C419" s="753"/>
      <c r="D419" s="753"/>
      <c r="E419" s="753"/>
      <c r="F419" s="753"/>
      <c r="G419" s="753"/>
      <c r="H419" s="753"/>
      <c r="I419" s="753"/>
      <c r="J419" s="753"/>
      <c r="K419" s="753"/>
      <c r="L419" s="753"/>
      <c r="M419" s="753"/>
    </row>
    <row r="420" spans="1:13" s="755" customFormat="1">
      <c r="A420" s="753"/>
      <c r="B420" s="753"/>
      <c r="C420" s="753"/>
      <c r="D420" s="753"/>
      <c r="E420" s="753"/>
      <c r="F420" s="753"/>
      <c r="G420" s="753"/>
      <c r="H420" s="753"/>
      <c r="I420" s="753"/>
      <c r="J420" s="753"/>
      <c r="K420" s="753"/>
      <c r="L420" s="753"/>
      <c r="M420" s="753"/>
    </row>
    <row r="421" spans="1:13" s="755" customFormat="1">
      <c r="A421" s="753"/>
      <c r="B421" s="753"/>
      <c r="C421" s="753"/>
      <c r="D421" s="753"/>
      <c r="E421" s="753"/>
      <c r="F421" s="753"/>
      <c r="G421" s="753"/>
      <c r="H421" s="753"/>
      <c r="I421" s="753"/>
      <c r="J421" s="753"/>
      <c r="K421" s="753"/>
      <c r="L421" s="753"/>
      <c r="M421" s="753"/>
    </row>
    <row r="422" spans="1:13" s="755" customFormat="1">
      <c r="A422" s="753"/>
      <c r="B422" s="753"/>
      <c r="C422" s="753"/>
      <c r="D422" s="753"/>
      <c r="E422" s="753"/>
      <c r="F422" s="753"/>
      <c r="G422" s="753"/>
      <c r="H422" s="753"/>
      <c r="I422" s="753"/>
      <c r="J422" s="753"/>
      <c r="K422" s="753"/>
      <c r="L422" s="753"/>
      <c r="M422" s="753"/>
    </row>
    <row r="423" spans="1:13" s="755" customFormat="1">
      <c r="A423" s="753"/>
      <c r="B423" s="753"/>
      <c r="C423" s="753"/>
      <c r="D423" s="753"/>
      <c r="E423" s="753"/>
      <c r="F423" s="753"/>
      <c r="G423" s="753"/>
      <c r="H423" s="753"/>
      <c r="I423" s="753"/>
      <c r="J423" s="753"/>
      <c r="K423" s="753"/>
      <c r="L423" s="753"/>
      <c r="M423" s="753"/>
    </row>
    <row r="424" spans="1:13" s="755" customFormat="1">
      <c r="A424" s="753"/>
      <c r="B424" s="753"/>
      <c r="C424" s="753"/>
      <c r="D424" s="753"/>
      <c r="E424" s="753"/>
      <c r="F424" s="753"/>
      <c r="G424" s="753"/>
      <c r="H424" s="753"/>
      <c r="I424" s="753"/>
      <c r="J424" s="753"/>
      <c r="K424" s="753"/>
      <c r="L424" s="753"/>
      <c r="M424" s="753"/>
    </row>
    <row r="425" spans="1:13" s="755" customFormat="1">
      <c r="A425" s="753"/>
      <c r="B425" s="753"/>
      <c r="C425" s="753"/>
      <c r="D425" s="753"/>
      <c r="E425" s="753"/>
      <c r="F425" s="753"/>
      <c r="G425" s="753"/>
      <c r="H425" s="753"/>
      <c r="I425" s="753"/>
      <c r="J425" s="753"/>
      <c r="K425" s="753"/>
      <c r="L425" s="753"/>
      <c r="M425" s="753"/>
    </row>
    <row r="426" spans="1:13" s="755" customFormat="1">
      <c r="A426" s="753"/>
      <c r="B426" s="753"/>
      <c r="C426" s="753"/>
      <c r="D426" s="753"/>
      <c r="E426" s="753"/>
      <c r="F426" s="753"/>
      <c r="G426" s="753"/>
      <c r="H426" s="753"/>
      <c r="I426" s="753"/>
      <c r="J426" s="753"/>
      <c r="K426" s="753"/>
      <c r="L426" s="753"/>
      <c r="M426" s="753"/>
    </row>
    <row r="427" spans="1:13" s="755" customFormat="1">
      <c r="A427" s="753"/>
      <c r="B427" s="753"/>
      <c r="C427" s="753"/>
      <c r="D427" s="753"/>
      <c r="E427" s="753"/>
      <c r="F427" s="753"/>
      <c r="G427" s="753"/>
      <c r="H427" s="753"/>
      <c r="I427" s="753"/>
      <c r="J427" s="753"/>
      <c r="K427" s="753"/>
      <c r="L427" s="753"/>
      <c r="M427" s="753"/>
    </row>
    <row r="428" spans="1:13" s="755" customFormat="1">
      <c r="A428" s="753"/>
      <c r="B428" s="753"/>
      <c r="C428" s="753"/>
      <c r="D428" s="753"/>
      <c r="E428" s="753"/>
      <c r="F428" s="753"/>
      <c r="G428" s="753"/>
      <c r="H428" s="753"/>
      <c r="I428" s="753"/>
      <c r="J428" s="753"/>
      <c r="K428" s="753"/>
      <c r="L428" s="753"/>
      <c r="M428" s="753"/>
    </row>
    <row r="429" spans="1:13" s="755" customFormat="1">
      <c r="A429" s="753"/>
      <c r="B429" s="753"/>
      <c r="C429" s="753"/>
      <c r="D429" s="753"/>
      <c r="E429" s="753"/>
      <c r="F429" s="753"/>
      <c r="G429" s="753"/>
      <c r="H429" s="753"/>
      <c r="I429" s="753"/>
      <c r="J429" s="753"/>
      <c r="K429" s="753"/>
      <c r="L429" s="753"/>
      <c r="M429" s="753"/>
    </row>
    <row r="430" spans="1:13" s="755" customFormat="1">
      <c r="A430" s="753"/>
      <c r="B430" s="753"/>
      <c r="C430" s="753"/>
      <c r="D430" s="753"/>
      <c r="E430" s="753"/>
      <c r="F430" s="753"/>
      <c r="G430" s="753"/>
      <c r="H430" s="753"/>
      <c r="I430" s="753"/>
      <c r="J430" s="753"/>
      <c r="K430" s="753"/>
      <c r="L430" s="753"/>
      <c r="M430" s="753"/>
    </row>
    <row r="431" spans="1:13" s="755" customFormat="1">
      <c r="A431" s="753"/>
      <c r="B431" s="753"/>
      <c r="C431" s="753"/>
      <c r="D431" s="753"/>
      <c r="E431" s="753"/>
      <c r="F431" s="753"/>
      <c r="G431" s="753"/>
      <c r="H431" s="753"/>
      <c r="I431" s="753"/>
      <c r="J431" s="753"/>
      <c r="K431" s="753"/>
      <c r="L431" s="753"/>
      <c r="M431" s="753"/>
    </row>
    <row r="432" spans="1:13" s="755" customFormat="1">
      <c r="A432" s="753"/>
      <c r="B432" s="753"/>
      <c r="C432" s="753"/>
      <c r="D432" s="753"/>
      <c r="E432" s="753"/>
      <c r="F432" s="753"/>
      <c r="G432" s="753"/>
      <c r="H432" s="753"/>
      <c r="I432" s="753"/>
      <c r="J432" s="753"/>
      <c r="K432" s="753"/>
      <c r="L432" s="753"/>
      <c r="M432" s="753"/>
    </row>
    <row r="433" spans="1:13" s="755" customFormat="1">
      <c r="A433" s="753"/>
      <c r="B433" s="753"/>
      <c r="C433" s="753"/>
      <c r="D433" s="753"/>
      <c r="E433" s="753"/>
      <c r="F433" s="753"/>
      <c r="G433" s="753"/>
      <c r="H433" s="753"/>
      <c r="I433" s="753"/>
      <c r="J433" s="753"/>
      <c r="K433" s="753"/>
      <c r="L433" s="753"/>
      <c r="M433" s="753"/>
    </row>
    <row r="434" spans="1:13" s="755" customFormat="1">
      <c r="A434" s="753"/>
      <c r="B434" s="753"/>
      <c r="C434" s="753"/>
      <c r="D434" s="753"/>
      <c r="E434" s="753"/>
      <c r="F434" s="753"/>
      <c r="G434" s="753"/>
      <c r="H434" s="753"/>
      <c r="I434" s="753"/>
      <c r="J434" s="753"/>
      <c r="K434" s="753"/>
      <c r="L434" s="753"/>
      <c r="M434" s="753"/>
    </row>
    <row r="435" spans="1:13" s="755" customFormat="1">
      <c r="A435" s="753"/>
      <c r="B435" s="753"/>
      <c r="C435" s="753"/>
      <c r="D435" s="753"/>
      <c r="E435" s="753"/>
      <c r="F435" s="753"/>
      <c r="G435" s="753"/>
      <c r="H435" s="753"/>
      <c r="I435" s="753"/>
      <c r="J435" s="753"/>
      <c r="K435" s="753"/>
      <c r="L435" s="753"/>
      <c r="M435" s="753"/>
    </row>
    <row r="436" spans="1:13" s="755" customFormat="1">
      <c r="A436" s="753"/>
      <c r="B436" s="753"/>
      <c r="C436" s="753"/>
      <c r="D436" s="753"/>
      <c r="E436" s="753"/>
      <c r="F436" s="753"/>
      <c r="G436" s="753"/>
      <c r="H436" s="753"/>
      <c r="I436" s="753"/>
      <c r="J436" s="753"/>
      <c r="K436" s="753"/>
      <c r="L436" s="753"/>
      <c r="M436" s="753"/>
    </row>
    <row r="437" spans="1:13" s="755" customFormat="1">
      <c r="A437" s="753"/>
      <c r="B437" s="753"/>
      <c r="C437" s="753"/>
      <c r="D437" s="753"/>
      <c r="E437" s="753"/>
      <c r="F437" s="753"/>
      <c r="G437" s="753"/>
      <c r="H437" s="753"/>
      <c r="I437" s="753"/>
      <c r="J437" s="753"/>
      <c r="K437" s="753"/>
      <c r="L437" s="753"/>
      <c r="M437" s="753"/>
    </row>
    <row r="438" spans="1:13" s="755" customFormat="1">
      <c r="A438" s="753"/>
      <c r="B438" s="753"/>
      <c r="C438" s="753"/>
      <c r="D438" s="753"/>
      <c r="E438" s="753"/>
      <c r="F438" s="753"/>
      <c r="G438" s="753"/>
      <c r="H438" s="753"/>
      <c r="I438" s="753"/>
      <c r="J438" s="753"/>
      <c r="K438" s="753"/>
      <c r="L438" s="753"/>
      <c r="M438" s="753"/>
    </row>
    <row r="439" spans="1:13" s="755" customFormat="1">
      <c r="A439" s="753"/>
      <c r="B439" s="753"/>
      <c r="C439" s="753"/>
      <c r="D439" s="753"/>
      <c r="E439" s="753"/>
      <c r="F439" s="753"/>
      <c r="G439" s="753"/>
      <c r="H439" s="753"/>
      <c r="I439" s="753"/>
      <c r="J439" s="753"/>
      <c r="K439" s="753"/>
      <c r="L439" s="753"/>
      <c r="M439" s="753"/>
    </row>
    <row r="440" spans="1:13" s="755" customFormat="1">
      <c r="A440" s="753"/>
      <c r="B440" s="753"/>
      <c r="C440" s="753"/>
      <c r="D440" s="753"/>
      <c r="E440" s="753"/>
      <c r="F440" s="753"/>
      <c r="G440" s="753"/>
      <c r="H440" s="753"/>
      <c r="I440" s="753"/>
      <c r="J440" s="753"/>
      <c r="K440" s="753"/>
      <c r="L440" s="753"/>
      <c r="M440" s="753"/>
    </row>
    <row r="441" spans="1:13" s="755" customFormat="1">
      <c r="A441" s="753"/>
      <c r="B441" s="753"/>
      <c r="C441" s="753"/>
      <c r="D441" s="753"/>
      <c r="E441" s="753"/>
      <c r="F441" s="753"/>
      <c r="G441" s="753"/>
      <c r="H441" s="753"/>
      <c r="I441" s="753"/>
      <c r="J441" s="753"/>
      <c r="K441" s="753"/>
      <c r="L441" s="753"/>
      <c r="M441" s="753"/>
    </row>
    <row r="442" spans="1:13" s="755" customFormat="1">
      <c r="A442" s="753"/>
      <c r="B442" s="753"/>
      <c r="C442" s="753"/>
      <c r="D442" s="753"/>
      <c r="E442" s="753"/>
      <c r="F442" s="753"/>
      <c r="G442" s="753"/>
      <c r="H442" s="753"/>
      <c r="I442" s="753"/>
      <c r="J442" s="753"/>
      <c r="K442" s="753"/>
      <c r="L442" s="753"/>
      <c r="M442" s="753"/>
    </row>
    <row r="443" spans="1:13" s="755" customFormat="1">
      <c r="A443" s="753"/>
      <c r="B443" s="753"/>
      <c r="C443" s="753"/>
      <c r="D443" s="753"/>
      <c r="E443" s="753"/>
      <c r="F443" s="753"/>
      <c r="G443" s="753"/>
      <c r="H443" s="753"/>
      <c r="I443" s="753"/>
      <c r="J443" s="753"/>
      <c r="K443" s="753"/>
      <c r="L443" s="753"/>
      <c r="M443" s="753"/>
    </row>
    <row r="444" spans="1:13" s="755" customFormat="1">
      <c r="A444" s="753"/>
      <c r="B444" s="753"/>
      <c r="C444" s="753"/>
      <c r="D444" s="753"/>
      <c r="E444" s="753"/>
      <c r="F444" s="753"/>
      <c r="G444" s="753"/>
      <c r="H444" s="753"/>
      <c r="I444" s="753"/>
      <c r="J444" s="753"/>
      <c r="K444" s="753"/>
      <c r="L444" s="753"/>
      <c r="M444" s="753"/>
    </row>
    <row r="445" spans="1:13" s="755" customFormat="1">
      <c r="A445" s="753"/>
      <c r="B445" s="753"/>
      <c r="C445" s="753"/>
      <c r="D445" s="753"/>
      <c r="E445" s="753"/>
      <c r="F445" s="753"/>
      <c r="G445" s="753"/>
      <c r="H445" s="753"/>
      <c r="I445" s="753"/>
      <c r="J445" s="753"/>
      <c r="K445" s="753"/>
      <c r="L445" s="753"/>
      <c r="M445" s="753"/>
    </row>
    <row r="446" spans="1:13" s="755" customFormat="1">
      <c r="A446" s="753"/>
      <c r="B446" s="753"/>
      <c r="C446" s="753"/>
      <c r="D446" s="753"/>
      <c r="E446" s="753"/>
      <c r="F446" s="753"/>
      <c r="G446" s="753"/>
      <c r="H446" s="753"/>
      <c r="I446" s="753"/>
      <c r="J446" s="753"/>
      <c r="K446" s="753"/>
      <c r="L446" s="753"/>
      <c r="M446" s="753"/>
    </row>
    <row r="447" spans="1:13" s="755" customFormat="1">
      <c r="A447" s="753"/>
      <c r="B447" s="753"/>
      <c r="C447" s="753"/>
      <c r="D447" s="753"/>
      <c r="E447" s="753"/>
      <c r="F447" s="753"/>
      <c r="G447" s="753"/>
      <c r="H447" s="753"/>
      <c r="I447" s="753"/>
      <c r="J447" s="753"/>
      <c r="K447" s="753"/>
      <c r="L447" s="753"/>
      <c r="M447" s="753"/>
    </row>
    <row r="448" spans="1:13" s="755" customFormat="1">
      <c r="A448" s="753"/>
      <c r="B448" s="753"/>
      <c r="C448" s="753"/>
      <c r="D448" s="753"/>
      <c r="E448" s="753"/>
      <c r="F448" s="753"/>
      <c r="G448" s="753"/>
      <c r="H448" s="753"/>
      <c r="I448" s="753"/>
      <c r="J448" s="753"/>
      <c r="K448" s="753"/>
      <c r="L448" s="753"/>
      <c r="M448" s="753"/>
    </row>
    <row r="449" spans="1:13" s="755" customFormat="1">
      <c r="A449" s="753"/>
      <c r="B449" s="753"/>
      <c r="C449" s="753"/>
      <c r="D449" s="753"/>
      <c r="E449" s="753"/>
      <c r="F449" s="753"/>
      <c r="G449" s="753"/>
      <c r="H449" s="753"/>
      <c r="I449" s="753"/>
      <c r="J449" s="753"/>
      <c r="K449" s="753"/>
      <c r="L449" s="753"/>
      <c r="M449" s="753"/>
    </row>
    <row r="450" spans="1:13" s="755" customFormat="1">
      <c r="A450" s="753"/>
      <c r="B450" s="753"/>
      <c r="C450" s="753"/>
      <c r="D450" s="753"/>
      <c r="E450" s="753"/>
      <c r="F450" s="753"/>
      <c r="G450" s="753"/>
      <c r="H450" s="753"/>
      <c r="I450" s="753"/>
      <c r="J450" s="753"/>
      <c r="K450" s="753"/>
      <c r="L450" s="753"/>
      <c r="M450" s="753"/>
    </row>
    <row r="451" spans="1:13" s="755" customFormat="1">
      <c r="A451" s="753"/>
      <c r="B451" s="753"/>
      <c r="C451" s="753"/>
      <c r="D451" s="753"/>
      <c r="E451" s="753"/>
      <c r="F451" s="753"/>
      <c r="G451" s="753"/>
      <c r="H451" s="753"/>
      <c r="I451" s="753"/>
      <c r="J451" s="753"/>
      <c r="K451" s="753"/>
      <c r="L451" s="753"/>
      <c r="M451" s="753"/>
    </row>
    <row r="452" spans="1:13" s="755" customFormat="1">
      <c r="A452" s="753"/>
      <c r="B452" s="753"/>
      <c r="C452" s="753"/>
      <c r="D452" s="753"/>
      <c r="E452" s="753"/>
      <c r="F452" s="753"/>
      <c r="G452" s="753"/>
      <c r="H452" s="753"/>
      <c r="I452" s="753"/>
      <c r="J452" s="753"/>
      <c r="K452" s="753"/>
      <c r="L452" s="753"/>
      <c r="M452" s="753"/>
    </row>
    <row r="453" spans="1:13" s="755" customFormat="1">
      <c r="A453" s="753"/>
      <c r="B453" s="753"/>
      <c r="C453" s="753"/>
      <c r="D453" s="753"/>
      <c r="E453" s="753"/>
      <c r="F453" s="753"/>
      <c r="G453" s="753"/>
      <c r="H453" s="753"/>
      <c r="I453" s="753"/>
      <c r="J453" s="753"/>
      <c r="K453" s="753"/>
      <c r="L453" s="753"/>
      <c r="M453" s="753"/>
    </row>
    <row r="454" spans="1:13" s="755" customFormat="1">
      <c r="A454" s="753"/>
      <c r="B454" s="753"/>
      <c r="C454" s="753"/>
      <c r="D454" s="753"/>
      <c r="E454" s="753"/>
      <c r="F454" s="753"/>
      <c r="G454" s="753"/>
      <c r="H454" s="753"/>
      <c r="I454" s="753"/>
      <c r="J454" s="753"/>
      <c r="K454" s="753"/>
      <c r="L454" s="753"/>
      <c r="M454" s="753"/>
    </row>
    <row r="455" spans="1:13" s="755" customFormat="1">
      <c r="A455" s="753"/>
      <c r="B455" s="753"/>
      <c r="C455" s="753"/>
      <c r="D455" s="753"/>
      <c r="E455" s="753"/>
      <c r="F455" s="753"/>
      <c r="G455" s="753"/>
      <c r="H455" s="753"/>
      <c r="I455" s="753"/>
      <c r="J455" s="753"/>
      <c r="K455" s="753"/>
      <c r="L455" s="753"/>
      <c r="M455" s="753"/>
    </row>
    <row r="456" spans="1:13" s="755" customFormat="1">
      <c r="A456" s="753"/>
      <c r="B456" s="753"/>
      <c r="C456" s="753"/>
      <c r="D456" s="753"/>
      <c r="E456" s="753"/>
      <c r="F456" s="753"/>
      <c r="G456" s="753"/>
      <c r="H456" s="753"/>
      <c r="I456" s="753"/>
      <c r="J456" s="753"/>
      <c r="K456" s="753"/>
      <c r="L456" s="753"/>
      <c r="M456" s="753"/>
    </row>
    <row r="457" spans="1:13" s="755" customFormat="1">
      <c r="A457" s="753"/>
      <c r="B457" s="753"/>
      <c r="C457" s="753"/>
      <c r="D457" s="753"/>
      <c r="E457" s="753"/>
      <c r="F457" s="753"/>
      <c r="G457" s="753"/>
      <c r="H457" s="753"/>
      <c r="I457" s="753"/>
      <c r="J457" s="753"/>
      <c r="K457" s="753"/>
      <c r="L457" s="753"/>
      <c r="M457" s="753"/>
    </row>
    <row r="458" spans="1:13" s="755" customFormat="1">
      <c r="A458" s="753"/>
      <c r="B458" s="753"/>
      <c r="C458" s="753"/>
      <c r="D458" s="753"/>
      <c r="E458" s="753"/>
      <c r="F458" s="753"/>
      <c r="G458" s="753"/>
      <c r="H458" s="753"/>
      <c r="I458" s="753"/>
      <c r="J458" s="753"/>
      <c r="K458" s="753"/>
      <c r="L458" s="753"/>
      <c r="M458" s="753"/>
    </row>
    <row r="459" spans="1:13" s="755" customFormat="1">
      <c r="A459" s="753"/>
      <c r="B459" s="753"/>
      <c r="C459" s="753"/>
      <c r="D459" s="753"/>
      <c r="E459" s="753"/>
      <c r="F459" s="753"/>
      <c r="G459" s="753"/>
      <c r="H459" s="753"/>
      <c r="I459" s="753"/>
      <c r="J459" s="753"/>
      <c r="K459" s="753"/>
      <c r="L459" s="753"/>
      <c r="M459" s="753"/>
    </row>
    <row r="460" spans="1:13" s="755" customFormat="1">
      <c r="A460" s="753"/>
      <c r="B460" s="753"/>
      <c r="C460" s="753"/>
      <c r="D460" s="753"/>
      <c r="E460" s="753"/>
      <c r="F460" s="753"/>
      <c r="G460" s="753"/>
      <c r="H460" s="753"/>
      <c r="I460" s="753"/>
      <c r="J460" s="753"/>
      <c r="K460" s="753"/>
      <c r="L460" s="753"/>
      <c r="M460" s="753"/>
    </row>
    <row r="461" spans="1:13" s="755" customFormat="1">
      <c r="A461" s="753"/>
      <c r="B461" s="753"/>
      <c r="C461" s="753"/>
      <c r="D461" s="753"/>
      <c r="E461" s="753"/>
      <c r="F461" s="753"/>
      <c r="G461" s="753"/>
      <c r="H461" s="753"/>
      <c r="I461" s="753"/>
      <c r="J461" s="753"/>
      <c r="K461" s="753"/>
      <c r="L461" s="753"/>
      <c r="M461" s="753"/>
    </row>
    <row r="462" spans="1:13" s="755" customFormat="1">
      <c r="A462" s="753"/>
      <c r="B462" s="753"/>
      <c r="C462" s="753"/>
      <c r="D462" s="753"/>
      <c r="E462" s="753"/>
      <c r="F462" s="753"/>
      <c r="G462" s="753"/>
      <c r="H462" s="753"/>
      <c r="I462" s="753"/>
      <c r="J462" s="753"/>
      <c r="K462" s="753"/>
      <c r="L462" s="753"/>
      <c r="M462" s="753"/>
    </row>
    <row r="463" spans="1:13" s="755" customFormat="1">
      <c r="A463" s="753"/>
      <c r="B463" s="753"/>
      <c r="C463" s="753"/>
      <c r="D463" s="753"/>
      <c r="E463" s="753"/>
      <c r="F463" s="753"/>
      <c r="G463" s="753"/>
      <c r="H463" s="753"/>
      <c r="I463" s="753"/>
      <c r="J463" s="753"/>
      <c r="K463" s="753"/>
      <c r="L463" s="753"/>
      <c r="M463" s="753"/>
    </row>
    <row r="464" spans="1:13" s="755" customFormat="1">
      <c r="A464" s="753"/>
      <c r="B464" s="753"/>
      <c r="C464" s="753"/>
      <c r="D464" s="753"/>
      <c r="E464" s="753"/>
      <c r="F464" s="753"/>
      <c r="G464" s="753"/>
      <c r="H464" s="753"/>
      <c r="I464" s="753"/>
      <c r="J464" s="753"/>
      <c r="K464" s="753"/>
      <c r="L464" s="753"/>
      <c r="M464" s="753"/>
    </row>
    <row r="465" spans="1:13" s="755" customFormat="1">
      <c r="A465" s="753"/>
      <c r="B465" s="753"/>
      <c r="C465" s="753"/>
      <c r="D465" s="753"/>
      <c r="E465" s="753"/>
      <c r="F465" s="753"/>
      <c r="G465" s="753"/>
      <c r="H465" s="753"/>
      <c r="I465" s="753"/>
      <c r="J465" s="753"/>
      <c r="K465" s="753"/>
      <c r="L465" s="753"/>
      <c r="M465" s="753"/>
    </row>
    <row r="466" spans="1:13" s="755" customFormat="1">
      <c r="A466" s="753"/>
      <c r="B466" s="753"/>
      <c r="C466" s="753"/>
      <c r="D466" s="753"/>
      <c r="E466" s="753"/>
      <c r="F466" s="753"/>
      <c r="G466" s="753"/>
      <c r="H466" s="753"/>
      <c r="I466" s="753"/>
      <c r="J466" s="753"/>
      <c r="K466" s="753"/>
      <c r="L466" s="753"/>
      <c r="M466" s="753"/>
    </row>
    <row r="467" spans="1:13" s="755" customFormat="1">
      <c r="A467" s="753"/>
      <c r="B467" s="753"/>
      <c r="C467" s="753"/>
      <c r="D467" s="753"/>
      <c r="E467" s="753"/>
      <c r="F467" s="753"/>
      <c r="G467" s="753"/>
      <c r="H467" s="753"/>
      <c r="I467" s="753"/>
      <c r="J467" s="753"/>
      <c r="K467" s="753"/>
      <c r="L467" s="753"/>
      <c r="M467" s="753"/>
    </row>
    <row r="468" spans="1:13" s="755" customFormat="1">
      <c r="A468" s="753"/>
      <c r="B468" s="753"/>
      <c r="C468" s="753"/>
      <c r="D468" s="753"/>
      <c r="E468" s="753"/>
      <c r="F468" s="753"/>
      <c r="G468" s="753"/>
      <c r="H468" s="753"/>
      <c r="I468" s="753"/>
      <c r="J468" s="753"/>
      <c r="K468" s="753"/>
      <c r="L468" s="753"/>
      <c r="M468" s="753"/>
    </row>
    <row r="469" spans="1:13" s="755" customFormat="1">
      <c r="A469" s="753"/>
      <c r="B469" s="753"/>
      <c r="C469" s="753"/>
      <c r="D469" s="753"/>
      <c r="E469" s="753"/>
      <c r="F469" s="753"/>
      <c r="G469" s="753"/>
      <c r="H469" s="753"/>
      <c r="I469" s="753"/>
      <c r="J469" s="753"/>
      <c r="K469" s="753"/>
      <c r="L469" s="753"/>
      <c r="M469" s="753"/>
    </row>
    <row r="470" spans="1:13" s="755" customFormat="1">
      <c r="A470" s="753"/>
      <c r="B470" s="753"/>
      <c r="C470" s="753"/>
      <c r="D470" s="753"/>
      <c r="E470" s="753"/>
      <c r="F470" s="753"/>
      <c r="G470" s="753"/>
      <c r="H470" s="753"/>
      <c r="I470" s="753"/>
      <c r="J470" s="753"/>
      <c r="K470" s="753"/>
      <c r="L470" s="753"/>
      <c r="M470" s="753"/>
    </row>
    <row r="471" spans="1:13" s="755" customFormat="1">
      <c r="A471" s="753"/>
      <c r="B471" s="753"/>
      <c r="C471" s="753"/>
      <c r="D471" s="753"/>
      <c r="E471" s="753"/>
      <c r="F471" s="753"/>
      <c r="G471" s="753"/>
      <c r="H471" s="753"/>
      <c r="I471" s="753"/>
      <c r="J471" s="753"/>
      <c r="K471" s="753"/>
      <c r="L471" s="753"/>
      <c r="M471" s="753"/>
    </row>
    <row r="472" spans="1:13" s="755" customFormat="1">
      <c r="A472" s="753"/>
      <c r="B472" s="753"/>
      <c r="C472" s="753"/>
      <c r="D472" s="753"/>
      <c r="E472" s="753"/>
      <c r="F472" s="753"/>
      <c r="G472" s="753"/>
      <c r="H472" s="753"/>
      <c r="I472" s="753"/>
      <c r="J472" s="753"/>
      <c r="K472" s="753"/>
      <c r="L472" s="753"/>
      <c r="M472" s="753"/>
    </row>
    <row r="473" spans="1:13" s="755" customFormat="1">
      <c r="A473" s="753"/>
      <c r="B473" s="753"/>
      <c r="C473" s="753"/>
      <c r="D473" s="753"/>
      <c r="E473" s="753"/>
      <c r="F473" s="753"/>
      <c r="G473" s="753"/>
      <c r="H473" s="753"/>
      <c r="I473" s="753"/>
      <c r="J473" s="753"/>
      <c r="K473" s="753"/>
      <c r="L473" s="753"/>
      <c r="M473" s="753"/>
    </row>
    <row r="474" spans="1:13" s="755" customFormat="1">
      <c r="A474" s="753"/>
      <c r="B474" s="753"/>
      <c r="C474" s="753"/>
      <c r="D474" s="753"/>
      <c r="E474" s="753"/>
      <c r="F474" s="753"/>
      <c r="G474" s="753"/>
      <c r="H474" s="753"/>
      <c r="I474" s="753"/>
      <c r="J474" s="753"/>
      <c r="K474" s="753"/>
      <c r="L474" s="753"/>
      <c r="M474" s="753"/>
    </row>
    <row r="475" spans="1:13" s="755" customFormat="1">
      <c r="A475" s="753"/>
      <c r="B475" s="753"/>
      <c r="C475" s="753"/>
      <c r="D475" s="753"/>
      <c r="E475" s="753"/>
      <c r="F475" s="753"/>
      <c r="G475" s="753"/>
      <c r="H475" s="753"/>
      <c r="I475" s="753"/>
      <c r="J475" s="753"/>
      <c r="K475" s="753"/>
      <c r="L475" s="753"/>
      <c r="M475" s="753"/>
    </row>
    <row r="476" spans="1:13" s="755" customFormat="1">
      <c r="A476" s="753"/>
      <c r="B476" s="753"/>
      <c r="C476" s="753"/>
      <c r="D476" s="753"/>
      <c r="E476" s="753"/>
      <c r="F476" s="753"/>
      <c r="G476" s="753"/>
      <c r="H476" s="753"/>
      <c r="I476" s="753"/>
      <c r="J476" s="753"/>
      <c r="K476" s="753"/>
      <c r="L476" s="753"/>
      <c r="M476" s="753"/>
    </row>
    <row r="477" spans="1:13" s="755" customFormat="1">
      <c r="A477" s="753"/>
      <c r="B477" s="753"/>
      <c r="C477" s="753"/>
      <c r="D477" s="753"/>
      <c r="E477" s="753"/>
      <c r="F477" s="753"/>
      <c r="G477" s="753"/>
      <c r="H477" s="753"/>
      <c r="I477" s="753"/>
      <c r="J477" s="753"/>
      <c r="K477" s="753"/>
      <c r="L477" s="753"/>
      <c r="M477" s="753"/>
    </row>
    <row r="478" spans="1:13" s="755" customFormat="1">
      <c r="A478" s="753"/>
      <c r="B478" s="753"/>
      <c r="C478" s="753"/>
      <c r="D478" s="753"/>
      <c r="E478" s="753"/>
      <c r="F478" s="753"/>
      <c r="G478" s="753"/>
      <c r="H478" s="753"/>
      <c r="I478" s="753"/>
      <c r="J478" s="753"/>
      <c r="K478" s="753"/>
      <c r="L478" s="753"/>
      <c r="M478" s="753"/>
    </row>
    <row r="479" spans="1:13" s="755" customFormat="1">
      <c r="A479" s="753"/>
      <c r="B479" s="753"/>
      <c r="C479" s="753"/>
      <c r="D479" s="753"/>
      <c r="E479" s="753"/>
      <c r="F479" s="753"/>
      <c r="G479" s="753"/>
      <c r="H479" s="753"/>
      <c r="I479" s="753"/>
      <c r="J479" s="753"/>
      <c r="K479" s="753"/>
      <c r="L479" s="753"/>
      <c r="M479" s="753"/>
    </row>
    <row r="480" spans="1:13" s="755" customFormat="1">
      <c r="A480" s="753"/>
      <c r="B480" s="753"/>
      <c r="C480" s="753"/>
      <c r="D480" s="753"/>
      <c r="E480" s="753"/>
      <c r="F480" s="753"/>
      <c r="G480" s="753"/>
      <c r="H480" s="753"/>
      <c r="I480" s="753"/>
      <c r="J480" s="753"/>
      <c r="K480" s="753"/>
      <c r="L480" s="753"/>
      <c r="M480" s="753"/>
    </row>
    <row r="481" spans="1:13" s="755" customFormat="1">
      <c r="A481" s="753"/>
      <c r="B481" s="753"/>
      <c r="C481" s="753"/>
      <c r="D481" s="753"/>
      <c r="E481" s="753"/>
      <c r="F481" s="753"/>
      <c r="G481" s="753"/>
      <c r="H481" s="753"/>
      <c r="I481" s="753"/>
      <c r="J481" s="753"/>
      <c r="K481" s="753"/>
      <c r="L481" s="753"/>
      <c r="M481" s="753"/>
    </row>
    <row r="482" spans="1:13" s="755" customFormat="1">
      <c r="A482" s="753"/>
      <c r="B482" s="753"/>
      <c r="C482" s="753"/>
      <c r="D482" s="753"/>
      <c r="E482" s="753"/>
      <c r="F482" s="753"/>
      <c r="G482" s="753"/>
      <c r="H482" s="753"/>
      <c r="I482" s="753"/>
      <c r="J482" s="753"/>
      <c r="K482" s="753"/>
      <c r="L482" s="753"/>
      <c r="M482" s="753"/>
    </row>
    <row r="483" spans="1:13" s="755" customFormat="1">
      <c r="A483" s="753"/>
      <c r="B483" s="753"/>
      <c r="C483" s="753"/>
      <c r="D483" s="753"/>
      <c r="E483" s="753"/>
      <c r="F483" s="753"/>
      <c r="G483" s="753"/>
      <c r="H483" s="753"/>
      <c r="I483" s="753"/>
      <c r="J483" s="753"/>
      <c r="K483" s="753"/>
      <c r="L483" s="753"/>
      <c r="M483" s="753"/>
    </row>
    <row r="484" spans="1:13" s="755" customFormat="1">
      <c r="A484" s="753"/>
      <c r="B484" s="753"/>
      <c r="C484" s="753"/>
      <c r="D484" s="753"/>
      <c r="E484" s="753"/>
      <c r="F484" s="753"/>
      <c r="G484" s="753"/>
      <c r="H484" s="753"/>
      <c r="I484" s="753"/>
      <c r="J484" s="753"/>
      <c r="K484" s="753"/>
      <c r="L484" s="753"/>
      <c r="M484" s="753"/>
    </row>
    <row r="485" spans="1:13" s="755" customFormat="1">
      <c r="A485" s="753"/>
      <c r="B485" s="753"/>
      <c r="C485" s="753"/>
      <c r="D485" s="753"/>
      <c r="E485" s="753"/>
      <c r="F485" s="753"/>
      <c r="G485" s="753"/>
      <c r="H485" s="753"/>
      <c r="I485" s="753"/>
      <c r="J485" s="753"/>
      <c r="K485" s="753"/>
      <c r="L485" s="753"/>
      <c r="M485" s="753"/>
    </row>
    <row r="486" spans="1:13" s="755" customFormat="1">
      <c r="A486" s="753"/>
      <c r="B486" s="753"/>
      <c r="C486" s="753"/>
      <c r="D486" s="753"/>
      <c r="E486" s="753"/>
      <c r="F486" s="753"/>
      <c r="G486" s="753"/>
      <c r="H486" s="753"/>
      <c r="I486" s="753"/>
      <c r="J486" s="753"/>
      <c r="K486" s="753"/>
      <c r="L486" s="753"/>
      <c r="M486" s="753"/>
    </row>
    <row r="487" spans="1:13" s="755" customFormat="1">
      <c r="A487" s="753"/>
      <c r="B487" s="753"/>
      <c r="C487" s="753"/>
      <c r="D487" s="753"/>
      <c r="E487" s="753"/>
      <c r="F487" s="753"/>
      <c r="G487" s="753"/>
      <c r="H487" s="753"/>
      <c r="I487" s="753"/>
      <c r="J487" s="753"/>
      <c r="K487" s="753"/>
      <c r="L487" s="753"/>
      <c r="M487" s="753"/>
    </row>
    <row r="488" spans="1:13" s="755" customFormat="1">
      <c r="A488" s="753"/>
      <c r="B488" s="753"/>
      <c r="C488" s="753"/>
      <c r="D488" s="753"/>
      <c r="E488" s="753"/>
      <c r="F488" s="753"/>
      <c r="G488" s="753"/>
      <c r="H488" s="753"/>
      <c r="I488" s="753"/>
      <c r="J488" s="753"/>
      <c r="K488" s="753"/>
      <c r="L488" s="753"/>
      <c r="M488" s="753"/>
    </row>
    <row r="489" spans="1:13" s="755" customFormat="1">
      <c r="A489" s="753"/>
      <c r="B489" s="753"/>
      <c r="C489" s="753"/>
      <c r="D489" s="753"/>
      <c r="E489" s="753"/>
      <c r="F489" s="753"/>
      <c r="G489" s="753"/>
      <c r="H489" s="753"/>
      <c r="I489" s="753"/>
      <c r="J489" s="753"/>
      <c r="K489" s="753"/>
      <c r="L489" s="753"/>
      <c r="M489" s="753"/>
    </row>
    <row r="490" spans="1:13" s="755" customFormat="1">
      <c r="A490" s="753"/>
      <c r="B490" s="753"/>
      <c r="C490" s="753"/>
      <c r="D490" s="753"/>
      <c r="E490" s="753"/>
      <c r="F490" s="753"/>
      <c r="G490" s="753"/>
      <c r="H490" s="753"/>
      <c r="I490" s="753"/>
      <c r="J490" s="753"/>
      <c r="K490" s="753"/>
      <c r="L490" s="753"/>
      <c r="M490" s="753"/>
    </row>
    <row r="491" spans="1:13" s="755" customFormat="1">
      <c r="A491" s="753"/>
      <c r="B491" s="753"/>
      <c r="C491" s="753"/>
      <c r="D491" s="753"/>
      <c r="E491" s="753"/>
      <c r="F491" s="753"/>
      <c r="G491" s="753"/>
      <c r="H491" s="753"/>
      <c r="I491" s="753"/>
      <c r="J491" s="753"/>
      <c r="K491" s="753"/>
      <c r="L491" s="753"/>
      <c r="M491" s="753"/>
    </row>
    <row r="492" spans="1:13" s="755" customFormat="1">
      <c r="A492" s="753"/>
      <c r="B492" s="753"/>
      <c r="C492" s="753"/>
      <c r="D492" s="753"/>
      <c r="E492" s="753"/>
      <c r="F492" s="753"/>
      <c r="G492" s="753"/>
      <c r="H492" s="753"/>
      <c r="I492" s="753"/>
      <c r="J492" s="753"/>
      <c r="K492" s="753"/>
      <c r="L492" s="753"/>
      <c r="M492" s="753"/>
    </row>
    <row r="493" spans="1:13" s="755" customFormat="1">
      <c r="A493" s="753"/>
      <c r="B493" s="753"/>
      <c r="C493" s="753"/>
      <c r="D493" s="753"/>
      <c r="E493" s="753"/>
      <c r="F493" s="753"/>
      <c r="G493" s="753"/>
      <c r="H493" s="753"/>
      <c r="I493" s="753"/>
      <c r="J493" s="753"/>
      <c r="K493" s="753"/>
      <c r="L493" s="753"/>
      <c r="M493" s="753"/>
    </row>
    <row r="494" spans="1:13" s="755" customFormat="1">
      <c r="A494" s="753"/>
      <c r="B494" s="753"/>
      <c r="C494" s="753"/>
      <c r="D494" s="753"/>
      <c r="E494" s="753"/>
      <c r="F494" s="753"/>
      <c r="G494" s="753"/>
      <c r="H494" s="753"/>
      <c r="I494" s="753"/>
      <c r="J494" s="753"/>
      <c r="K494" s="753"/>
      <c r="L494" s="753"/>
      <c r="M494" s="753"/>
    </row>
    <row r="495" spans="1:13" s="755" customFormat="1">
      <c r="A495" s="753"/>
      <c r="B495" s="753"/>
      <c r="C495" s="753"/>
      <c r="D495" s="753"/>
      <c r="E495" s="753"/>
      <c r="F495" s="753"/>
      <c r="G495" s="753"/>
      <c r="H495" s="753"/>
      <c r="I495" s="753"/>
      <c r="J495" s="753"/>
      <c r="K495" s="753"/>
      <c r="L495" s="753"/>
      <c r="M495" s="753"/>
    </row>
    <row r="496" spans="1:13" s="755" customFormat="1">
      <c r="A496" s="753"/>
      <c r="B496" s="753"/>
      <c r="C496" s="753"/>
      <c r="D496" s="753"/>
      <c r="E496" s="753"/>
      <c r="F496" s="753"/>
      <c r="G496" s="753"/>
      <c r="H496" s="753"/>
      <c r="I496" s="753"/>
      <c r="J496" s="753"/>
      <c r="K496" s="753"/>
      <c r="L496" s="753"/>
      <c r="M496" s="753"/>
    </row>
    <row r="497" spans="1:13" s="755" customFormat="1">
      <c r="A497" s="753"/>
      <c r="B497" s="753"/>
      <c r="C497" s="753"/>
      <c r="D497" s="753"/>
      <c r="E497" s="753"/>
      <c r="F497" s="753"/>
      <c r="G497" s="753"/>
      <c r="H497" s="753"/>
      <c r="I497" s="753"/>
      <c r="J497" s="753"/>
      <c r="K497" s="753"/>
      <c r="L497" s="753"/>
      <c r="M497" s="753"/>
    </row>
    <row r="498" spans="1:13" s="755" customFormat="1">
      <c r="A498" s="753"/>
      <c r="B498" s="753"/>
      <c r="C498" s="753"/>
      <c r="D498" s="753"/>
      <c r="E498" s="753"/>
      <c r="F498" s="753"/>
      <c r="G498" s="753"/>
      <c r="H498" s="753"/>
      <c r="I498" s="753"/>
      <c r="J498" s="753"/>
      <c r="K498" s="753"/>
      <c r="L498" s="753"/>
      <c r="M498" s="753"/>
    </row>
    <row r="499" spans="1:13" s="755" customFormat="1">
      <c r="A499" s="753"/>
      <c r="B499" s="753"/>
      <c r="C499" s="753"/>
      <c r="D499" s="753"/>
      <c r="E499" s="753"/>
      <c r="F499" s="753"/>
      <c r="G499" s="753"/>
      <c r="H499" s="753"/>
      <c r="I499" s="753"/>
      <c r="J499" s="753"/>
      <c r="K499" s="753"/>
      <c r="L499" s="753"/>
      <c r="M499" s="753"/>
    </row>
    <row r="500" spans="1:13" s="755" customFormat="1">
      <c r="A500" s="753"/>
      <c r="B500" s="753"/>
      <c r="C500" s="753"/>
      <c r="D500" s="753"/>
      <c r="E500" s="753"/>
      <c r="F500" s="753"/>
      <c r="G500" s="753"/>
      <c r="H500" s="753"/>
      <c r="I500" s="753"/>
      <c r="J500" s="753"/>
      <c r="K500" s="753"/>
      <c r="L500" s="753"/>
      <c r="M500" s="753"/>
    </row>
    <row r="501" spans="1:13" s="755" customFormat="1">
      <c r="A501" s="753"/>
      <c r="B501" s="753"/>
      <c r="C501" s="753"/>
      <c r="D501" s="753"/>
      <c r="E501" s="753"/>
      <c r="F501" s="753"/>
      <c r="G501" s="753"/>
      <c r="H501" s="753"/>
      <c r="I501" s="753"/>
      <c r="J501" s="753"/>
      <c r="K501" s="753"/>
      <c r="L501" s="753"/>
      <c r="M501" s="753"/>
    </row>
    <row r="502" spans="1:13" s="755" customFormat="1">
      <c r="A502" s="753"/>
      <c r="B502" s="753"/>
      <c r="C502" s="753"/>
      <c r="D502" s="753"/>
      <c r="E502" s="753"/>
      <c r="F502" s="753"/>
      <c r="G502" s="753"/>
      <c r="H502" s="753"/>
      <c r="I502" s="753"/>
      <c r="J502" s="753"/>
      <c r="K502" s="753"/>
      <c r="L502" s="753"/>
      <c r="M502" s="753"/>
    </row>
    <row r="503" spans="1:13" s="755" customFormat="1">
      <c r="A503" s="753"/>
      <c r="B503" s="753"/>
      <c r="C503" s="753"/>
      <c r="D503" s="753"/>
      <c r="E503" s="753"/>
      <c r="F503" s="753"/>
      <c r="G503" s="753"/>
      <c r="H503" s="753"/>
      <c r="I503" s="753"/>
      <c r="J503" s="753"/>
      <c r="K503" s="753"/>
      <c r="L503" s="753"/>
      <c r="M503" s="753"/>
    </row>
    <row r="504" spans="1:13" s="755" customFormat="1">
      <c r="A504" s="753"/>
      <c r="B504" s="753"/>
      <c r="C504" s="753"/>
      <c r="D504" s="753"/>
      <c r="E504" s="753"/>
      <c r="F504" s="753"/>
      <c r="G504" s="753"/>
      <c r="H504" s="753"/>
      <c r="I504" s="753"/>
      <c r="J504" s="753"/>
      <c r="K504" s="753"/>
      <c r="L504" s="753"/>
      <c r="M504" s="753"/>
    </row>
    <row r="505" spans="1:13" s="755" customFormat="1">
      <c r="A505" s="753"/>
      <c r="B505" s="753"/>
      <c r="C505" s="753"/>
      <c r="D505" s="753"/>
      <c r="E505" s="753"/>
      <c r="F505" s="753"/>
      <c r="G505" s="753"/>
      <c r="H505" s="753"/>
      <c r="I505" s="753"/>
      <c r="J505" s="753"/>
      <c r="K505" s="753"/>
      <c r="L505" s="753"/>
      <c r="M505" s="753"/>
    </row>
    <row r="506" spans="1:13" s="755" customFormat="1">
      <c r="A506" s="753"/>
      <c r="B506" s="753"/>
      <c r="C506" s="753"/>
      <c r="D506" s="753"/>
      <c r="E506" s="753"/>
      <c r="F506" s="753"/>
      <c r="G506" s="753"/>
      <c r="H506" s="753"/>
      <c r="I506" s="753"/>
      <c r="J506" s="753"/>
      <c r="K506" s="753"/>
      <c r="L506" s="753"/>
      <c r="M506" s="753"/>
    </row>
    <row r="507" spans="1:13" s="755" customFormat="1">
      <c r="A507" s="753"/>
      <c r="B507" s="753"/>
      <c r="C507" s="753"/>
      <c r="D507" s="753"/>
      <c r="E507" s="753"/>
      <c r="F507" s="753"/>
      <c r="G507" s="753"/>
      <c r="H507" s="753"/>
      <c r="I507" s="753"/>
      <c r="J507" s="753"/>
      <c r="K507" s="753"/>
      <c r="L507" s="753"/>
      <c r="M507" s="753"/>
    </row>
    <row r="508" spans="1:13" s="755" customFormat="1">
      <c r="A508" s="753"/>
      <c r="B508" s="753"/>
      <c r="C508" s="753"/>
      <c r="D508" s="753"/>
      <c r="E508" s="753"/>
      <c r="F508" s="753"/>
      <c r="G508" s="753"/>
      <c r="H508" s="753"/>
      <c r="I508" s="753"/>
      <c r="J508" s="753"/>
      <c r="K508" s="753"/>
      <c r="L508" s="753"/>
      <c r="M508" s="753"/>
    </row>
    <row r="509" spans="1:13" s="755" customFormat="1">
      <c r="A509" s="753"/>
      <c r="B509" s="753"/>
      <c r="C509" s="753"/>
      <c r="D509" s="753"/>
      <c r="E509" s="753"/>
      <c r="F509" s="753"/>
      <c r="G509" s="753"/>
      <c r="H509" s="753"/>
      <c r="I509" s="753"/>
      <c r="J509" s="753"/>
      <c r="K509" s="753"/>
      <c r="L509" s="753"/>
      <c r="M509" s="753"/>
    </row>
    <row r="510" spans="1:13" s="755" customFormat="1">
      <c r="A510" s="753"/>
      <c r="B510" s="753"/>
      <c r="C510" s="753"/>
      <c r="D510" s="753"/>
      <c r="E510" s="753"/>
      <c r="F510" s="753"/>
      <c r="G510" s="753"/>
      <c r="H510" s="753"/>
      <c r="I510" s="753"/>
      <c r="J510" s="753"/>
      <c r="K510" s="753"/>
      <c r="L510" s="753"/>
      <c r="M510" s="753"/>
    </row>
    <row r="511" spans="1:13" s="755" customFormat="1">
      <c r="A511" s="753"/>
      <c r="B511" s="753"/>
      <c r="C511" s="753"/>
      <c r="D511" s="753"/>
      <c r="E511" s="753"/>
      <c r="F511" s="753"/>
      <c r="G511" s="753"/>
      <c r="H511" s="753"/>
      <c r="I511" s="753"/>
      <c r="J511" s="753"/>
      <c r="K511" s="753"/>
      <c r="L511" s="753"/>
      <c r="M511" s="753"/>
    </row>
    <row r="512" spans="1:13" s="755" customFormat="1">
      <c r="A512" s="753"/>
      <c r="B512" s="753"/>
      <c r="C512" s="753"/>
      <c r="D512" s="753"/>
      <c r="E512" s="753"/>
      <c r="F512" s="753"/>
      <c r="G512" s="753"/>
      <c r="H512" s="753"/>
      <c r="I512" s="753"/>
      <c r="J512" s="753"/>
      <c r="K512" s="753"/>
      <c r="L512" s="753"/>
      <c r="M512" s="753"/>
    </row>
    <row r="513" spans="1:13" s="755" customFormat="1">
      <c r="A513" s="753"/>
      <c r="B513" s="753"/>
      <c r="C513" s="753"/>
      <c r="D513" s="753"/>
      <c r="E513" s="753"/>
      <c r="F513" s="753"/>
      <c r="G513" s="753"/>
      <c r="H513" s="753"/>
      <c r="I513" s="753"/>
      <c r="J513" s="753"/>
      <c r="K513" s="753"/>
      <c r="L513" s="753"/>
      <c r="M513" s="753"/>
    </row>
    <row r="514" spans="1:13" s="755" customFormat="1">
      <c r="A514" s="753"/>
      <c r="B514" s="753"/>
      <c r="C514" s="753"/>
      <c r="D514" s="753"/>
      <c r="E514" s="753"/>
      <c r="F514" s="753"/>
      <c r="G514" s="753"/>
      <c r="H514" s="753"/>
      <c r="I514" s="753"/>
      <c r="J514" s="753"/>
      <c r="K514" s="753"/>
      <c r="L514" s="753"/>
      <c r="M514" s="753"/>
    </row>
    <row r="515" spans="1:13" s="755" customFormat="1">
      <c r="A515" s="753"/>
      <c r="B515" s="753"/>
      <c r="C515" s="753"/>
      <c r="D515" s="753"/>
      <c r="E515" s="753"/>
      <c r="F515" s="753"/>
      <c r="G515" s="753"/>
      <c r="H515" s="753"/>
      <c r="I515" s="753"/>
      <c r="J515" s="753"/>
      <c r="K515" s="753"/>
      <c r="L515" s="753"/>
      <c r="M515" s="753"/>
    </row>
    <row r="516" spans="1:13" s="755" customFormat="1">
      <c r="A516" s="753"/>
      <c r="B516" s="753"/>
      <c r="C516" s="753"/>
      <c r="D516" s="753"/>
      <c r="E516" s="753"/>
      <c r="F516" s="753"/>
      <c r="G516" s="753"/>
      <c r="H516" s="753"/>
      <c r="I516" s="753"/>
      <c r="J516" s="753"/>
      <c r="K516" s="753"/>
      <c r="L516" s="753"/>
      <c r="M516" s="753"/>
    </row>
    <row r="517" spans="1:13" s="755" customFormat="1">
      <c r="A517" s="753"/>
      <c r="B517" s="753"/>
      <c r="C517" s="753"/>
      <c r="D517" s="753"/>
      <c r="E517" s="753"/>
      <c r="F517" s="753"/>
      <c r="G517" s="753"/>
      <c r="H517" s="753"/>
      <c r="I517" s="753"/>
      <c r="J517" s="753"/>
      <c r="K517" s="753"/>
      <c r="L517" s="753"/>
      <c r="M517" s="753"/>
    </row>
    <row r="518" spans="1:13" s="755" customFormat="1">
      <c r="A518" s="753"/>
      <c r="B518" s="753"/>
      <c r="C518" s="753"/>
      <c r="D518" s="753"/>
      <c r="E518" s="753"/>
      <c r="F518" s="753"/>
      <c r="G518" s="753"/>
      <c r="H518" s="753"/>
      <c r="I518" s="753"/>
      <c r="J518" s="753"/>
      <c r="K518" s="753"/>
      <c r="L518" s="753"/>
      <c r="M518" s="753"/>
    </row>
    <row r="519" spans="1:13" s="755" customFormat="1">
      <c r="A519" s="753"/>
      <c r="B519" s="753"/>
      <c r="C519" s="753"/>
      <c r="D519" s="753"/>
      <c r="E519" s="753"/>
      <c r="F519" s="753"/>
      <c r="G519" s="753"/>
      <c r="H519" s="753"/>
      <c r="I519" s="753"/>
      <c r="J519" s="753"/>
      <c r="K519" s="753"/>
      <c r="L519" s="753"/>
      <c r="M519" s="753"/>
    </row>
    <row r="520" spans="1:13" s="755" customFormat="1">
      <c r="A520" s="753"/>
      <c r="B520" s="753"/>
      <c r="C520" s="753"/>
      <c r="D520" s="753"/>
      <c r="E520" s="753"/>
      <c r="F520" s="753"/>
      <c r="G520" s="753"/>
      <c r="H520" s="753"/>
      <c r="I520" s="753"/>
      <c r="J520" s="753"/>
      <c r="K520" s="753"/>
      <c r="L520" s="753"/>
      <c r="M520" s="753"/>
    </row>
    <row r="521" spans="1:13" s="755" customFormat="1">
      <c r="A521" s="753"/>
      <c r="B521" s="753"/>
      <c r="C521" s="753"/>
      <c r="D521" s="753"/>
      <c r="E521" s="753"/>
      <c r="F521" s="753"/>
      <c r="G521" s="753"/>
      <c r="H521" s="753"/>
      <c r="I521" s="753"/>
      <c r="J521" s="753"/>
      <c r="K521" s="753"/>
      <c r="L521" s="753"/>
      <c r="M521" s="753"/>
    </row>
    <row r="522" spans="1:13" s="755" customFormat="1">
      <c r="A522" s="753"/>
      <c r="B522" s="753"/>
      <c r="C522" s="753"/>
      <c r="D522" s="753"/>
      <c r="E522" s="753"/>
      <c r="F522" s="753"/>
      <c r="G522" s="753"/>
      <c r="H522" s="753"/>
      <c r="I522" s="753"/>
      <c r="J522" s="753"/>
      <c r="K522" s="753"/>
      <c r="L522" s="753"/>
      <c r="M522" s="753"/>
    </row>
    <row r="523" spans="1:13" s="755" customFormat="1">
      <c r="A523" s="753"/>
      <c r="B523" s="753"/>
      <c r="C523" s="753"/>
      <c r="D523" s="753"/>
      <c r="E523" s="753"/>
      <c r="F523" s="753"/>
      <c r="G523" s="753"/>
      <c r="H523" s="753"/>
      <c r="I523" s="753"/>
      <c r="J523" s="753"/>
      <c r="K523" s="753"/>
      <c r="L523" s="753"/>
      <c r="M523" s="753"/>
    </row>
    <row r="524" spans="1:13" s="755" customFormat="1">
      <c r="A524" s="753"/>
      <c r="B524" s="753"/>
      <c r="C524" s="753"/>
      <c r="D524" s="753"/>
      <c r="E524" s="753"/>
      <c r="F524" s="753"/>
      <c r="G524" s="753"/>
      <c r="H524" s="753"/>
      <c r="I524" s="753"/>
      <c r="J524" s="753"/>
      <c r="K524" s="753"/>
      <c r="L524" s="753"/>
      <c r="M524" s="753"/>
    </row>
    <row r="525" spans="1:13" s="755" customFormat="1">
      <c r="A525" s="753"/>
      <c r="B525" s="753"/>
      <c r="C525" s="753"/>
      <c r="D525" s="753"/>
      <c r="E525" s="753"/>
      <c r="F525" s="753"/>
      <c r="G525" s="753"/>
      <c r="H525" s="753"/>
      <c r="I525" s="753"/>
      <c r="J525" s="753"/>
      <c r="K525" s="753"/>
      <c r="L525" s="753"/>
      <c r="M525" s="753"/>
    </row>
    <row r="526" spans="1:13" s="755" customFormat="1">
      <c r="A526" s="753"/>
      <c r="B526" s="753"/>
      <c r="C526" s="753"/>
      <c r="D526" s="753"/>
      <c r="E526" s="753"/>
      <c r="F526" s="753"/>
      <c r="G526" s="753"/>
      <c r="H526" s="753"/>
      <c r="I526" s="753"/>
      <c r="J526" s="753"/>
      <c r="K526" s="753"/>
      <c r="L526" s="753"/>
      <c r="M526" s="753"/>
    </row>
    <row r="527" spans="1:13" s="755" customFormat="1">
      <c r="A527" s="753"/>
      <c r="B527" s="753"/>
      <c r="C527" s="753"/>
      <c r="D527" s="753"/>
      <c r="E527" s="753"/>
      <c r="F527" s="753"/>
      <c r="G527" s="753"/>
      <c r="H527" s="753"/>
      <c r="I527" s="753"/>
      <c r="J527" s="753"/>
      <c r="K527" s="753"/>
      <c r="L527" s="753"/>
      <c r="M527" s="753"/>
    </row>
    <row r="528" spans="1:13" s="755" customFormat="1">
      <c r="A528" s="753"/>
      <c r="B528" s="753"/>
      <c r="C528" s="753"/>
      <c r="D528" s="753"/>
      <c r="E528" s="753"/>
      <c r="F528" s="753"/>
      <c r="G528" s="753"/>
      <c r="H528" s="753"/>
      <c r="I528" s="753"/>
      <c r="J528" s="753"/>
      <c r="K528" s="753"/>
      <c r="L528" s="753"/>
      <c r="M528" s="753"/>
    </row>
    <row r="529" spans="1:13" s="755" customFormat="1">
      <c r="A529" s="753"/>
      <c r="B529" s="753"/>
      <c r="C529" s="753"/>
      <c r="D529" s="753"/>
      <c r="E529" s="753"/>
      <c r="F529" s="753"/>
      <c r="G529" s="753"/>
      <c r="H529" s="753"/>
      <c r="I529" s="753"/>
      <c r="J529" s="753"/>
      <c r="K529" s="753"/>
      <c r="L529" s="753"/>
      <c r="M529" s="753"/>
    </row>
    <row r="530" spans="1:13" s="755" customFormat="1">
      <c r="A530" s="753"/>
      <c r="B530" s="753"/>
      <c r="C530" s="753"/>
      <c r="D530" s="753"/>
      <c r="E530" s="753"/>
      <c r="F530" s="753"/>
      <c r="G530" s="753"/>
      <c r="H530" s="753"/>
      <c r="I530" s="753"/>
      <c r="J530" s="753"/>
      <c r="K530" s="753"/>
      <c r="L530" s="753"/>
      <c r="M530" s="753"/>
    </row>
    <row r="531" spans="1:13" s="755" customFormat="1">
      <c r="A531" s="753"/>
      <c r="B531" s="753"/>
      <c r="C531" s="753"/>
      <c r="D531" s="753"/>
      <c r="E531" s="753"/>
      <c r="F531" s="753"/>
      <c r="G531" s="753"/>
      <c r="H531" s="753"/>
      <c r="I531" s="753"/>
      <c r="J531" s="753"/>
      <c r="K531" s="753"/>
      <c r="L531" s="753"/>
      <c r="M531" s="753"/>
    </row>
    <row r="532" spans="1:13" s="755" customFormat="1">
      <c r="A532" s="753"/>
      <c r="B532" s="753"/>
      <c r="C532" s="753"/>
      <c r="D532" s="753"/>
      <c r="E532" s="753"/>
      <c r="F532" s="753"/>
      <c r="G532" s="753"/>
      <c r="H532" s="753"/>
      <c r="I532" s="753"/>
      <c r="J532" s="753"/>
      <c r="K532" s="753"/>
      <c r="L532" s="753"/>
      <c r="M532" s="753"/>
    </row>
    <row r="533" spans="1:13" s="755" customFormat="1">
      <c r="A533" s="753"/>
      <c r="B533" s="753"/>
      <c r="C533" s="753"/>
      <c r="D533" s="753"/>
      <c r="E533" s="753"/>
      <c r="F533" s="753"/>
      <c r="G533" s="753"/>
      <c r="H533" s="753"/>
      <c r="I533" s="753"/>
      <c r="J533" s="753"/>
      <c r="K533" s="753"/>
      <c r="L533" s="753"/>
      <c r="M533" s="753"/>
    </row>
    <row r="534" spans="1:13" s="755" customFormat="1">
      <c r="A534" s="753"/>
      <c r="B534" s="753"/>
      <c r="C534" s="753"/>
      <c r="D534" s="753"/>
      <c r="E534" s="753"/>
      <c r="F534" s="753"/>
      <c r="G534" s="753"/>
      <c r="H534" s="753"/>
      <c r="I534" s="753"/>
      <c r="J534" s="753"/>
      <c r="K534" s="753"/>
      <c r="L534" s="753"/>
      <c r="M534" s="753"/>
    </row>
    <row r="535" spans="1:13" s="755" customFormat="1">
      <c r="A535" s="753"/>
      <c r="B535" s="753"/>
      <c r="C535" s="753"/>
      <c r="D535" s="753"/>
      <c r="E535" s="753"/>
      <c r="F535" s="753"/>
      <c r="G535" s="753"/>
      <c r="H535" s="753"/>
      <c r="I535" s="753"/>
      <c r="J535" s="753"/>
      <c r="K535" s="753"/>
      <c r="L535" s="753"/>
      <c r="M535" s="753"/>
    </row>
    <row r="536" spans="1:13" s="755" customFormat="1">
      <c r="A536" s="753"/>
      <c r="B536" s="753"/>
      <c r="C536" s="753"/>
      <c r="D536" s="753"/>
      <c r="E536" s="753"/>
      <c r="F536" s="753"/>
      <c r="G536" s="753"/>
      <c r="H536" s="753"/>
      <c r="I536" s="753"/>
      <c r="J536" s="753"/>
      <c r="K536" s="753"/>
      <c r="L536" s="753"/>
      <c r="M536" s="753"/>
    </row>
    <row r="537" spans="1:13" s="755" customFormat="1">
      <c r="A537" s="753"/>
      <c r="B537" s="753"/>
      <c r="C537" s="753"/>
      <c r="D537" s="753"/>
      <c r="E537" s="753"/>
      <c r="F537" s="753"/>
      <c r="G537" s="753"/>
      <c r="H537" s="753"/>
      <c r="I537" s="753"/>
      <c r="J537" s="753"/>
      <c r="K537" s="753"/>
      <c r="L537" s="753"/>
      <c r="M537" s="753"/>
    </row>
    <row r="538" spans="1:13" s="755" customFormat="1">
      <c r="A538" s="753"/>
      <c r="B538" s="753"/>
      <c r="C538" s="753"/>
      <c r="D538" s="753"/>
      <c r="E538" s="753"/>
      <c r="F538" s="753"/>
      <c r="G538" s="753"/>
      <c r="H538" s="753"/>
      <c r="I538" s="753"/>
      <c r="J538" s="753"/>
      <c r="K538" s="753"/>
      <c r="L538" s="753"/>
      <c r="M538" s="753"/>
    </row>
    <row r="539" spans="1:13" s="755" customFormat="1">
      <c r="A539" s="753"/>
      <c r="B539" s="753"/>
      <c r="C539" s="753"/>
      <c r="D539" s="753"/>
      <c r="E539" s="753"/>
      <c r="F539" s="753"/>
      <c r="G539" s="753"/>
      <c r="H539" s="753"/>
      <c r="I539" s="753"/>
      <c r="J539" s="753"/>
      <c r="K539" s="753"/>
      <c r="L539" s="753"/>
      <c r="M539" s="753"/>
    </row>
    <row r="540" spans="1:13" s="755" customFormat="1">
      <c r="A540" s="753"/>
      <c r="B540" s="753"/>
      <c r="C540" s="753"/>
      <c r="D540" s="753"/>
      <c r="E540" s="753"/>
      <c r="F540" s="753"/>
      <c r="G540" s="753"/>
      <c r="H540" s="753"/>
      <c r="I540" s="753"/>
      <c r="J540" s="753"/>
      <c r="K540" s="753"/>
      <c r="L540" s="753"/>
      <c r="M540" s="753"/>
    </row>
    <row r="541" spans="1:13" s="755" customFormat="1">
      <c r="A541" s="753"/>
      <c r="B541" s="753"/>
      <c r="C541" s="753"/>
      <c r="D541" s="753"/>
      <c r="E541" s="753"/>
      <c r="F541" s="753"/>
      <c r="G541" s="753"/>
      <c r="H541" s="753"/>
      <c r="I541" s="753"/>
      <c r="J541" s="753"/>
      <c r="K541" s="753"/>
      <c r="L541" s="753"/>
      <c r="M541" s="753"/>
    </row>
    <row r="542" spans="1:13" s="755" customFormat="1">
      <c r="A542" s="753"/>
      <c r="B542" s="753"/>
      <c r="C542" s="753"/>
      <c r="D542" s="753"/>
      <c r="E542" s="753"/>
      <c r="F542" s="753"/>
      <c r="G542" s="753"/>
      <c r="H542" s="753"/>
      <c r="I542" s="753"/>
      <c r="J542" s="753"/>
      <c r="K542" s="753"/>
      <c r="L542" s="753"/>
      <c r="M542" s="753"/>
    </row>
    <row r="543" spans="1:13" s="755" customFormat="1">
      <c r="A543" s="753"/>
      <c r="B543" s="753"/>
      <c r="C543" s="753"/>
      <c r="D543" s="753"/>
      <c r="E543" s="753"/>
      <c r="F543" s="753"/>
      <c r="G543" s="753"/>
      <c r="H543" s="753"/>
      <c r="I543" s="753"/>
      <c r="J543" s="753"/>
      <c r="K543" s="753"/>
      <c r="L543" s="753"/>
      <c r="M543" s="753"/>
    </row>
    <row r="544" spans="1:13" s="755" customFormat="1">
      <c r="A544" s="753"/>
      <c r="B544" s="753"/>
      <c r="C544" s="753"/>
      <c r="D544" s="753"/>
      <c r="E544" s="753"/>
      <c r="F544" s="753"/>
      <c r="G544" s="753"/>
      <c r="H544" s="753"/>
      <c r="I544" s="753"/>
      <c r="J544" s="753"/>
      <c r="K544" s="753"/>
      <c r="L544" s="753"/>
      <c r="M544" s="753"/>
    </row>
    <row r="545" spans="1:13" s="755" customFormat="1">
      <c r="A545" s="753"/>
      <c r="B545" s="753"/>
      <c r="C545" s="753"/>
      <c r="D545" s="753"/>
      <c r="E545" s="753"/>
      <c r="F545" s="753"/>
      <c r="G545" s="753"/>
      <c r="H545" s="753"/>
      <c r="I545" s="753"/>
      <c r="J545" s="753"/>
      <c r="K545" s="753"/>
      <c r="L545" s="753"/>
      <c r="M545" s="753"/>
    </row>
    <row r="546" spans="1:13" s="755" customFormat="1">
      <c r="A546" s="753"/>
      <c r="B546" s="753"/>
      <c r="C546" s="753"/>
      <c r="D546" s="753"/>
      <c r="E546" s="753"/>
      <c r="F546" s="753"/>
      <c r="G546" s="753"/>
      <c r="H546" s="753"/>
      <c r="I546" s="753"/>
      <c r="J546" s="753"/>
      <c r="K546" s="753"/>
      <c r="L546" s="753"/>
      <c r="M546" s="753"/>
    </row>
    <row r="547" spans="1:13" s="755" customFormat="1">
      <c r="A547" s="753"/>
      <c r="B547" s="753"/>
      <c r="C547" s="753"/>
      <c r="D547" s="753"/>
      <c r="E547" s="753"/>
      <c r="F547" s="753"/>
      <c r="G547" s="753"/>
      <c r="H547" s="753"/>
      <c r="I547" s="753"/>
      <c r="J547" s="753"/>
      <c r="K547" s="753"/>
      <c r="L547" s="753"/>
      <c r="M547" s="753"/>
    </row>
    <row r="548" spans="1:13" s="755" customFormat="1">
      <c r="A548" s="753"/>
      <c r="B548" s="753"/>
      <c r="C548" s="753"/>
      <c r="D548" s="753"/>
      <c r="E548" s="753"/>
      <c r="F548" s="753"/>
      <c r="G548" s="753"/>
      <c r="H548" s="753"/>
      <c r="I548" s="753"/>
      <c r="J548" s="753"/>
      <c r="K548" s="753"/>
      <c r="L548" s="753"/>
      <c r="M548" s="753"/>
    </row>
    <row r="549" spans="1:13" s="755" customFormat="1">
      <c r="A549" s="753"/>
      <c r="B549" s="753"/>
      <c r="C549" s="753"/>
      <c r="D549" s="753"/>
      <c r="E549" s="753"/>
      <c r="F549" s="753"/>
      <c r="G549" s="753"/>
      <c r="H549" s="753"/>
      <c r="I549" s="753"/>
      <c r="J549" s="753"/>
      <c r="K549" s="753"/>
      <c r="L549" s="753"/>
      <c r="M549" s="753"/>
    </row>
    <row r="550" spans="1:13" s="755" customFormat="1">
      <c r="A550" s="753"/>
      <c r="B550" s="753"/>
      <c r="C550" s="753"/>
      <c r="D550" s="753"/>
      <c r="E550" s="753"/>
      <c r="F550" s="753"/>
      <c r="G550" s="753"/>
      <c r="H550" s="753"/>
      <c r="I550" s="753"/>
      <c r="J550" s="753"/>
      <c r="K550" s="753"/>
      <c r="L550" s="753"/>
      <c r="M550" s="753"/>
    </row>
    <row r="551" spans="1:13" s="755" customFormat="1">
      <c r="A551" s="753"/>
      <c r="B551" s="753"/>
      <c r="C551" s="753"/>
      <c r="D551" s="753"/>
      <c r="E551" s="753"/>
      <c r="F551" s="753"/>
      <c r="G551" s="753"/>
      <c r="H551" s="753"/>
      <c r="I551" s="753"/>
      <c r="J551" s="753"/>
      <c r="K551" s="753"/>
      <c r="L551" s="753"/>
      <c r="M551" s="753"/>
    </row>
    <row r="552" spans="1:13" s="755" customFormat="1">
      <c r="A552" s="753"/>
      <c r="B552" s="753"/>
      <c r="C552" s="753"/>
      <c r="D552" s="753"/>
      <c r="E552" s="753"/>
      <c r="F552" s="753"/>
      <c r="G552" s="753"/>
      <c r="H552" s="753"/>
      <c r="I552" s="753"/>
      <c r="J552" s="753"/>
      <c r="K552" s="753"/>
      <c r="L552" s="753"/>
      <c r="M552" s="753"/>
    </row>
    <row r="553" spans="1:13" s="755" customFormat="1">
      <c r="A553" s="753"/>
      <c r="B553" s="753"/>
      <c r="C553" s="753"/>
      <c r="D553" s="753"/>
      <c r="E553" s="753"/>
      <c r="F553" s="753"/>
      <c r="G553" s="753"/>
      <c r="H553" s="753"/>
      <c r="I553" s="753"/>
      <c r="J553" s="753"/>
      <c r="K553" s="753"/>
      <c r="L553" s="753"/>
      <c r="M553" s="753"/>
    </row>
    <row r="554" spans="1:13" s="755" customFormat="1">
      <c r="A554" s="753"/>
      <c r="B554" s="753"/>
      <c r="C554" s="753"/>
      <c r="D554" s="753"/>
      <c r="E554" s="753"/>
      <c r="F554" s="753"/>
      <c r="G554" s="753"/>
      <c r="H554" s="753"/>
      <c r="I554" s="753"/>
      <c r="J554" s="753"/>
      <c r="K554" s="753"/>
      <c r="L554" s="753"/>
      <c r="M554" s="753"/>
    </row>
    <row r="555" spans="1:13" s="755" customFormat="1">
      <c r="A555" s="753"/>
      <c r="B555" s="753"/>
      <c r="C555" s="753"/>
      <c r="D555" s="753"/>
      <c r="E555" s="753"/>
      <c r="F555" s="753"/>
      <c r="G555" s="753"/>
      <c r="H555" s="753"/>
      <c r="I555" s="753"/>
      <c r="J555" s="753"/>
      <c r="K555" s="753"/>
      <c r="L555" s="753"/>
      <c r="M555" s="753"/>
    </row>
    <row r="556" spans="1:13" s="755" customFormat="1">
      <c r="A556" s="753"/>
      <c r="B556" s="753"/>
      <c r="C556" s="753"/>
      <c r="D556" s="753"/>
      <c r="E556" s="753"/>
      <c r="F556" s="753"/>
      <c r="G556" s="753"/>
      <c r="H556" s="753"/>
      <c r="I556" s="753"/>
      <c r="J556" s="753"/>
      <c r="K556" s="753"/>
      <c r="L556" s="753"/>
      <c r="M556" s="753"/>
    </row>
    <row r="557" spans="1:13" s="755" customFormat="1">
      <c r="A557" s="753"/>
      <c r="B557" s="753"/>
      <c r="C557" s="753"/>
      <c r="D557" s="753"/>
      <c r="E557" s="753"/>
      <c r="F557" s="753"/>
      <c r="G557" s="753"/>
      <c r="H557" s="753"/>
      <c r="I557" s="753"/>
      <c r="J557" s="753"/>
      <c r="K557" s="753"/>
      <c r="L557" s="753"/>
      <c r="M557" s="753"/>
    </row>
    <row r="558" spans="1:13" s="755" customFormat="1">
      <c r="A558" s="753"/>
      <c r="B558" s="753"/>
      <c r="C558" s="753"/>
      <c r="D558" s="753"/>
      <c r="E558" s="753"/>
      <c r="F558" s="753"/>
      <c r="G558" s="753"/>
      <c r="H558" s="753"/>
      <c r="I558" s="753"/>
      <c r="J558" s="753"/>
      <c r="K558" s="753"/>
      <c r="L558" s="753"/>
      <c r="M558" s="753"/>
    </row>
    <row r="559" spans="1:13" s="755" customFormat="1">
      <c r="A559" s="753"/>
      <c r="B559" s="753"/>
      <c r="C559" s="753"/>
      <c r="D559" s="753"/>
      <c r="E559" s="753"/>
      <c r="F559" s="753"/>
      <c r="G559" s="753"/>
      <c r="H559" s="753"/>
      <c r="I559" s="753"/>
      <c r="J559" s="753"/>
      <c r="K559" s="753"/>
      <c r="L559" s="753"/>
      <c r="M559" s="753"/>
    </row>
    <row r="560" spans="1:13" s="755" customFormat="1">
      <c r="A560" s="753"/>
      <c r="B560" s="753"/>
      <c r="C560" s="753"/>
      <c r="D560" s="753"/>
      <c r="E560" s="753"/>
      <c r="F560" s="753"/>
      <c r="G560" s="753"/>
      <c r="H560" s="753"/>
      <c r="I560" s="753"/>
      <c r="J560" s="753"/>
      <c r="K560" s="753"/>
      <c r="L560" s="753"/>
      <c r="M560" s="753"/>
    </row>
    <row r="561" spans="1:13" s="755" customFormat="1">
      <c r="A561" s="753"/>
      <c r="B561" s="753"/>
      <c r="C561" s="753"/>
      <c r="D561" s="753"/>
      <c r="E561" s="753"/>
      <c r="F561" s="753"/>
      <c r="G561" s="753"/>
      <c r="H561" s="753"/>
      <c r="I561" s="753"/>
      <c r="J561" s="753"/>
      <c r="K561" s="753"/>
      <c r="L561" s="753"/>
      <c r="M561" s="753"/>
    </row>
    <row r="562" spans="1:13" s="755" customFormat="1">
      <c r="A562" s="753"/>
      <c r="B562" s="753"/>
      <c r="C562" s="753"/>
      <c r="D562" s="753"/>
      <c r="E562" s="753"/>
      <c r="F562" s="753"/>
      <c r="G562" s="753"/>
      <c r="H562" s="753"/>
      <c r="I562" s="753"/>
      <c r="J562" s="753"/>
      <c r="K562" s="753"/>
      <c r="L562" s="753"/>
      <c r="M562" s="753"/>
    </row>
    <row r="563" spans="1:13" s="755" customFormat="1">
      <c r="A563" s="753"/>
      <c r="B563" s="753"/>
      <c r="C563" s="753"/>
      <c r="D563" s="753"/>
      <c r="E563" s="753"/>
      <c r="F563" s="753"/>
      <c r="G563" s="753"/>
      <c r="H563" s="753"/>
      <c r="I563" s="753"/>
      <c r="J563" s="753"/>
      <c r="K563" s="753"/>
      <c r="L563" s="753"/>
      <c r="M563" s="753"/>
    </row>
    <row r="564" spans="1:13" s="755" customFormat="1">
      <c r="A564" s="753"/>
      <c r="B564" s="753"/>
      <c r="C564" s="753"/>
      <c r="D564" s="753"/>
      <c r="E564" s="753"/>
      <c r="F564" s="753"/>
      <c r="G564" s="753"/>
      <c r="H564" s="753"/>
      <c r="I564" s="753"/>
      <c r="J564" s="753"/>
      <c r="K564" s="753"/>
      <c r="L564" s="753"/>
      <c r="M564" s="753"/>
    </row>
    <row r="565" spans="1:13" s="755" customFormat="1">
      <c r="A565" s="753"/>
      <c r="B565" s="753"/>
      <c r="C565" s="753"/>
      <c r="D565" s="753"/>
      <c r="E565" s="753"/>
      <c r="F565" s="753"/>
      <c r="G565" s="753"/>
      <c r="H565" s="753"/>
      <c r="I565" s="753"/>
      <c r="J565" s="753"/>
      <c r="K565" s="753"/>
      <c r="L565" s="753"/>
      <c r="M565" s="753"/>
    </row>
    <row r="566" spans="1:13" s="755" customFormat="1">
      <c r="A566" s="753"/>
      <c r="B566" s="753"/>
      <c r="C566" s="753"/>
      <c r="D566" s="753"/>
      <c r="E566" s="753"/>
      <c r="F566" s="753"/>
      <c r="G566" s="753"/>
      <c r="H566" s="753"/>
      <c r="I566" s="753"/>
      <c r="J566" s="753"/>
      <c r="K566" s="753"/>
      <c r="L566" s="753"/>
      <c r="M566" s="753"/>
    </row>
    <row r="567" spans="1:13" s="755" customFormat="1">
      <c r="A567" s="753"/>
      <c r="B567" s="753"/>
      <c r="C567" s="753"/>
      <c r="D567" s="753"/>
      <c r="E567" s="753"/>
      <c r="F567" s="753"/>
      <c r="G567" s="753"/>
      <c r="H567" s="753"/>
      <c r="I567" s="753"/>
      <c r="J567" s="753"/>
      <c r="K567" s="753"/>
      <c r="L567" s="753"/>
      <c r="M567" s="753"/>
    </row>
    <row r="568" spans="1:13" s="755" customFormat="1">
      <c r="A568" s="753"/>
      <c r="B568" s="753"/>
      <c r="C568" s="753"/>
      <c r="D568" s="753"/>
      <c r="E568" s="753"/>
      <c r="F568" s="753"/>
      <c r="G568" s="753"/>
      <c r="H568" s="753"/>
      <c r="I568" s="753"/>
      <c r="J568" s="753"/>
      <c r="K568" s="753"/>
      <c r="L568" s="753"/>
      <c r="M568" s="753"/>
    </row>
    <row r="569" spans="1:13" s="755" customFormat="1">
      <c r="A569" s="753"/>
      <c r="B569" s="753"/>
      <c r="C569" s="753"/>
      <c r="D569" s="753"/>
      <c r="E569" s="753"/>
      <c r="F569" s="753"/>
      <c r="G569" s="753"/>
      <c r="H569" s="753"/>
      <c r="I569" s="753"/>
      <c r="J569" s="753"/>
      <c r="K569" s="753"/>
      <c r="L569" s="753"/>
      <c r="M569" s="753"/>
    </row>
    <row r="570" spans="1:13" s="755" customFormat="1">
      <c r="A570" s="753"/>
      <c r="B570" s="753"/>
      <c r="C570" s="753"/>
      <c r="D570" s="753"/>
      <c r="E570" s="753"/>
      <c r="F570" s="753"/>
      <c r="G570" s="753"/>
      <c r="H570" s="753"/>
      <c r="I570" s="753"/>
      <c r="J570" s="753"/>
      <c r="K570" s="753"/>
      <c r="L570" s="753"/>
      <c r="M570" s="753"/>
    </row>
    <row r="571" spans="1:13" s="755" customFormat="1">
      <c r="A571" s="753"/>
      <c r="B571" s="753"/>
      <c r="C571" s="753"/>
      <c r="D571" s="753"/>
      <c r="E571" s="753"/>
      <c r="F571" s="753"/>
      <c r="G571" s="753"/>
      <c r="H571" s="753"/>
      <c r="I571" s="753"/>
      <c r="J571" s="753"/>
      <c r="K571" s="753"/>
      <c r="L571" s="753"/>
      <c r="M571" s="753"/>
    </row>
    <row r="572" spans="1:13" s="755" customFormat="1">
      <c r="A572" s="753"/>
      <c r="B572" s="753"/>
      <c r="C572" s="753"/>
      <c r="D572" s="753"/>
      <c r="E572" s="753"/>
      <c r="F572" s="753"/>
      <c r="G572" s="753"/>
      <c r="H572" s="753"/>
      <c r="I572" s="753"/>
      <c r="J572" s="753"/>
      <c r="K572" s="753"/>
      <c r="L572" s="753"/>
      <c r="M572" s="753"/>
    </row>
    <row r="573" spans="1:13" s="755" customFormat="1">
      <c r="A573" s="753"/>
      <c r="B573" s="753"/>
      <c r="C573" s="753"/>
      <c r="D573" s="753"/>
      <c r="E573" s="753"/>
      <c r="F573" s="753"/>
      <c r="G573" s="753"/>
      <c r="H573" s="753"/>
      <c r="I573" s="753"/>
      <c r="J573" s="753"/>
      <c r="K573" s="753"/>
      <c r="L573" s="753"/>
      <c r="M573" s="753"/>
    </row>
    <row r="574" spans="1:13" s="755" customFormat="1">
      <c r="A574" s="753"/>
      <c r="B574" s="753"/>
      <c r="C574" s="753"/>
      <c r="D574" s="753"/>
      <c r="E574" s="753"/>
      <c r="F574" s="753"/>
      <c r="G574" s="753"/>
      <c r="H574" s="753"/>
      <c r="I574" s="753"/>
      <c r="J574" s="753"/>
      <c r="K574" s="753"/>
      <c r="L574" s="753"/>
      <c r="M574" s="753"/>
    </row>
    <row r="575" spans="1:13" s="755" customFormat="1">
      <c r="A575" s="753"/>
      <c r="B575" s="753"/>
      <c r="C575" s="753"/>
      <c r="D575" s="753"/>
      <c r="E575" s="753"/>
      <c r="F575" s="753"/>
      <c r="G575" s="753"/>
      <c r="H575" s="753"/>
      <c r="I575" s="753"/>
      <c r="J575" s="753"/>
      <c r="K575" s="753"/>
      <c r="L575" s="753"/>
      <c r="M575" s="753"/>
    </row>
    <row r="576" spans="1:13" s="755" customFormat="1">
      <c r="A576" s="753"/>
      <c r="B576" s="753"/>
      <c r="C576" s="753"/>
      <c r="D576" s="753"/>
      <c r="E576" s="753"/>
      <c r="F576" s="753"/>
      <c r="G576" s="753"/>
      <c r="H576" s="753"/>
      <c r="I576" s="753"/>
      <c r="J576" s="753"/>
      <c r="K576" s="753"/>
      <c r="L576" s="753"/>
      <c r="M576" s="753"/>
    </row>
    <row r="577" spans="1:13" s="755" customFormat="1">
      <c r="A577" s="753"/>
      <c r="B577" s="753"/>
      <c r="C577" s="753"/>
      <c r="D577" s="753"/>
      <c r="E577" s="753"/>
      <c r="F577" s="753"/>
      <c r="G577" s="753"/>
      <c r="H577" s="753"/>
      <c r="I577" s="753"/>
      <c r="J577" s="753"/>
      <c r="K577" s="753"/>
      <c r="L577" s="753"/>
      <c r="M577" s="753"/>
    </row>
    <row r="578" spans="1:13" s="755" customFormat="1">
      <c r="A578" s="753"/>
      <c r="B578" s="753"/>
      <c r="C578" s="753"/>
      <c r="D578" s="753"/>
      <c r="E578" s="753"/>
      <c r="F578" s="753"/>
      <c r="G578" s="753"/>
      <c r="H578" s="753"/>
      <c r="I578" s="753"/>
      <c r="J578" s="753"/>
      <c r="K578" s="753"/>
      <c r="L578" s="753"/>
      <c r="M578" s="753"/>
    </row>
    <row r="579" spans="1:13" s="755" customFormat="1">
      <c r="A579" s="753"/>
      <c r="B579" s="753"/>
      <c r="C579" s="753"/>
      <c r="D579" s="753"/>
      <c r="E579" s="753"/>
      <c r="F579" s="753"/>
      <c r="G579" s="753"/>
      <c r="H579" s="753"/>
      <c r="I579" s="753"/>
      <c r="J579" s="753"/>
      <c r="K579" s="753"/>
      <c r="L579" s="753"/>
      <c r="M579" s="753"/>
    </row>
    <row r="580" spans="1:13" s="755" customFormat="1">
      <c r="A580" s="753"/>
      <c r="B580" s="753"/>
      <c r="C580" s="753"/>
      <c r="D580" s="753"/>
      <c r="E580" s="753"/>
      <c r="F580" s="753"/>
      <c r="G580" s="753"/>
      <c r="H580" s="753"/>
      <c r="I580" s="753"/>
      <c r="J580" s="753"/>
      <c r="K580" s="753"/>
      <c r="L580" s="753"/>
      <c r="M580" s="753"/>
    </row>
    <row r="581" spans="1:13" s="755" customFormat="1">
      <c r="A581" s="753"/>
      <c r="B581" s="753"/>
      <c r="C581" s="753"/>
      <c r="D581" s="753"/>
      <c r="E581" s="753"/>
      <c r="F581" s="753"/>
      <c r="G581" s="753"/>
      <c r="H581" s="753"/>
      <c r="I581" s="753"/>
      <c r="J581" s="753"/>
      <c r="K581" s="753"/>
      <c r="L581" s="753"/>
      <c r="M581" s="753"/>
    </row>
    <row r="582" spans="1:13" s="755" customFormat="1">
      <c r="A582" s="753"/>
      <c r="B582" s="753"/>
      <c r="C582" s="753"/>
      <c r="D582" s="753"/>
      <c r="E582" s="753"/>
      <c r="F582" s="753"/>
      <c r="G582" s="753"/>
      <c r="H582" s="753"/>
      <c r="I582" s="753"/>
      <c r="J582" s="753"/>
      <c r="K582" s="753"/>
      <c r="L582" s="753"/>
      <c r="M582" s="753"/>
    </row>
    <row r="583" spans="1:13" s="755" customFormat="1">
      <c r="A583" s="753"/>
      <c r="B583" s="753"/>
      <c r="C583" s="753"/>
      <c r="D583" s="753"/>
      <c r="E583" s="753"/>
      <c r="F583" s="753"/>
      <c r="G583" s="753"/>
      <c r="H583" s="753"/>
      <c r="I583" s="753"/>
      <c r="J583" s="753"/>
      <c r="K583" s="753"/>
      <c r="L583" s="753"/>
      <c r="M583" s="753"/>
    </row>
    <row r="584" spans="1:13" s="755" customFormat="1">
      <c r="A584" s="753"/>
      <c r="B584" s="753"/>
      <c r="C584" s="753"/>
      <c r="D584" s="753"/>
      <c r="E584" s="753"/>
      <c r="F584" s="753"/>
      <c r="G584" s="753"/>
      <c r="H584" s="753"/>
      <c r="I584" s="753"/>
      <c r="J584" s="753"/>
      <c r="K584" s="753"/>
      <c r="L584" s="753"/>
      <c r="M584" s="753"/>
    </row>
    <row r="585" spans="1:13" s="755" customFormat="1">
      <c r="A585" s="753"/>
      <c r="B585" s="753"/>
      <c r="C585" s="753"/>
      <c r="D585" s="753"/>
      <c r="E585" s="753"/>
      <c r="F585" s="753"/>
      <c r="G585" s="753"/>
      <c r="H585" s="753"/>
      <c r="I585" s="753"/>
      <c r="J585" s="753"/>
      <c r="K585" s="753"/>
      <c r="L585" s="753"/>
      <c r="M585" s="753"/>
    </row>
    <row r="586" spans="1:13" s="755" customFormat="1">
      <c r="A586" s="753"/>
      <c r="B586" s="753"/>
      <c r="C586" s="753"/>
      <c r="D586" s="753"/>
      <c r="E586" s="753"/>
      <c r="F586" s="753"/>
      <c r="G586" s="753"/>
      <c r="H586" s="753"/>
      <c r="I586" s="753"/>
      <c r="J586" s="753"/>
      <c r="K586" s="753"/>
      <c r="L586" s="753"/>
      <c r="M586" s="753"/>
    </row>
    <row r="587" spans="1:13" s="755" customFormat="1">
      <c r="A587" s="753"/>
      <c r="B587" s="753"/>
      <c r="C587" s="753"/>
      <c r="D587" s="753"/>
      <c r="E587" s="753"/>
      <c r="F587" s="753"/>
      <c r="G587" s="753"/>
      <c r="H587" s="753"/>
      <c r="I587" s="753"/>
      <c r="J587" s="753"/>
      <c r="K587" s="753"/>
      <c r="L587" s="753"/>
      <c r="M587" s="753"/>
    </row>
    <row r="588" spans="1:13" s="755" customFormat="1">
      <c r="A588" s="753"/>
      <c r="B588" s="753"/>
      <c r="C588" s="753"/>
      <c r="D588" s="753"/>
      <c r="E588" s="753"/>
      <c r="F588" s="753"/>
      <c r="G588" s="753"/>
      <c r="H588" s="753"/>
      <c r="I588" s="753"/>
      <c r="J588" s="753"/>
      <c r="K588" s="753"/>
      <c r="L588" s="753"/>
      <c r="M588" s="753"/>
    </row>
    <row r="589" spans="1:13" s="755" customFormat="1">
      <c r="A589" s="753"/>
      <c r="B589" s="753"/>
      <c r="C589" s="753"/>
      <c r="D589" s="753"/>
      <c r="E589" s="753"/>
      <c r="F589" s="753"/>
      <c r="G589" s="753"/>
      <c r="H589" s="753"/>
      <c r="I589" s="753"/>
      <c r="J589" s="753"/>
      <c r="K589" s="753"/>
      <c r="L589" s="753"/>
      <c r="M589" s="753"/>
    </row>
    <row r="590" spans="1:13" s="755" customFormat="1">
      <c r="A590" s="753"/>
      <c r="B590" s="753"/>
      <c r="C590" s="753"/>
      <c r="D590" s="753"/>
      <c r="E590" s="753"/>
      <c r="F590" s="753"/>
      <c r="G590" s="753"/>
      <c r="H590" s="753"/>
      <c r="I590" s="753"/>
      <c r="J590" s="753"/>
      <c r="K590" s="753"/>
      <c r="L590" s="753"/>
      <c r="M590" s="753"/>
    </row>
    <row r="591" spans="1:13" s="755" customFormat="1">
      <c r="A591" s="753"/>
      <c r="B591" s="753"/>
      <c r="C591" s="753"/>
      <c r="D591" s="753"/>
      <c r="E591" s="753"/>
      <c r="F591" s="753"/>
      <c r="G591" s="753"/>
      <c r="H591" s="753"/>
      <c r="I591" s="753"/>
      <c r="J591" s="753"/>
      <c r="K591" s="753"/>
      <c r="L591" s="753"/>
      <c r="M591" s="753"/>
    </row>
    <row r="592" spans="1:13" s="755" customFormat="1">
      <c r="A592" s="753"/>
      <c r="B592" s="753"/>
      <c r="C592" s="753"/>
      <c r="D592" s="753"/>
      <c r="E592" s="753"/>
      <c r="F592" s="753"/>
      <c r="G592" s="753"/>
      <c r="H592" s="753"/>
      <c r="I592" s="753"/>
      <c r="J592" s="753"/>
      <c r="K592" s="753"/>
      <c r="L592" s="753"/>
      <c r="M592" s="753"/>
    </row>
    <row r="593" spans="1:13" s="755" customFormat="1">
      <c r="A593" s="753"/>
      <c r="B593" s="753"/>
      <c r="C593" s="753"/>
      <c r="D593" s="753"/>
      <c r="E593" s="753"/>
      <c r="F593" s="753"/>
      <c r="G593" s="753"/>
      <c r="H593" s="753"/>
      <c r="I593" s="753"/>
      <c r="J593" s="753"/>
      <c r="K593" s="753"/>
      <c r="L593" s="753"/>
      <c r="M593" s="753"/>
    </row>
    <row r="594" spans="1:13" s="755" customFormat="1">
      <c r="A594" s="753"/>
      <c r="B594" s="753"/>
      <c r="C594" s="753"/>
      <c r="D594" s="753"/>
      <c r="E594" s="753"/>
      <c r="F594" s="753"/>
      <c r="G594" s="753"/>
      <c r="H594" s="753"/>
      <c r="I594" s="753"/>
      <c r="J594" s="753"/>
      <c r="K594" s="753"/>
      <c r="L594" s="753"/>
      <c r="M594" s="753"/>
    </row>
    <row r="595" spans="1:13" s="755" customFormat="1">
      <c r="A595" s="753"/>
      <c r="B595" s="753"/>
      <c r="C595" s="753"/>
      <c r="D595" s="753"/>
      <c r="E595" s="753"/>
      <c r="F595" s="753"/>
      <c r="G595" s="753"/>
      <c r="H595" s="753"/>
      <c r="I595" s="753"/>
      <c r="J595" s="753"/>
      <c r="K595" s="753"/>
      <c r="L595" s="753"/>
      <c r="M595" s="753"/>
    </row>
    <row r="596" spans="1:13" s="755" customFormat="1">
      <c r="A596" s="753"/>
      <c r="B596" s="753"/>
      <c r="C596" s="753"/>
      <c r="D596" s="753"/>
      <c r="E596" s="753"/>
      <c r="F596" s="753"/>
      <c r="G596" s="753"/>
      <c r="H596" s="753"/>
      <c r="I596" s="753"/>
      <c r="J596" s="753"/>
      <c r="K596" s="753"/>
      <c r="L596" s="753"/>
      <c r="M596" s="753"/>
    </row>
    <row r="597" spans="1:13" s="755" customFormat="1">
      <c r="A597" s="753"/>
      <c r="B597" s="753"/>
      <c r="C597" s="753"/>
      <c r="D597" s="753"/>
      <c r="E597" s="753"/>
      <c r="F597" s="753"/>
      <c r="G597" s="753"/>
      <c r="H597" s="753"/>
      <c r="I597" s="753"/>
      <c r="J597" s="753"/>
      <c r="K597" s="753"/>
      <c r="L597" s="753"/>
      <c r="M597" s="753"/>
    </row>
    <row r="598" spans="1:13" s="755" customFormat="1">
      <c r="A598" s="753"/>
      <c r="B598" s="753"/>
      <c r="C598" s="753"/>
      <c r="D598" s="753"/>
      <c r="E598" s="753"/>
      <c r="F598" s="753"/>
      <c r="G598" s="753"/>
      <c r="H598" s="753"/>
      <c r="I598" s="753"/>
      <c r="J598" s="753"/>
      <c r="K598" s="753"/>
      <c r="L598" s="753"/>
      <c r="M598" s="753"/>
    </row>
    <row r="599" spans="1:13" s="755" customFormat="1">
      <c r="A599" s="753"/>
      <c r="B599" s="753"/>
      <c r="C599" s="753"/>
      <c r="D599" s="753"/>
      <c r="E599" s="753"/>
      <c r="F599" s="753"/>
      <c r="G599" s="753"/>
      <c r="H599" s="753"/>
      <c r="I599" s="753"/>
      <c r="J599" s="753"/>
      <c r="K599" s="753"/>
      <c r="L599" s="753"/>
      <c r="M599" s="753"/>
    </row>
    <row r="600" spans="1:13" s="755" customFormat="1">
      <c r="A600" s="753"/>
      <c r="B600" s="753"/>
      <c r="C600" s="753"/>
      <c r="D600" s="753"/>
      <c r="E600" s="753"/>
      <c r="F600" s="753"/>
      <c r="G600" s="753"/>
      <c r="H600" s="753"/>
      <c r="I600" s="753"/>
      <c r="J600" s="753"/>
      <c r="K600" s="753"/>
      <c r="L600" s="753"/>
      <c r="M600" s="753"/>
    </row>
    <row r="601" spans="1:13" s="755" customFormat="1">
      <c r="A601" s="753"/>
      <c r="B601" s="753"/>
      <c r="C601" s="753"/>
      <c r="D601" s="753"/>
      <c r="E601" s="753"/>
      <c r="F601" s="753"/>
      <c r="G601" s="753"/>
      <c r="H601" s="753"/>
      <c r="I601" s="753"/>
      <c r="J601" s="753"/>
      <c r="K601" s="753"/>
      <c r="L601" s="753"/>
      <c r="M601" s="753"/>
    </row>
    <row r="602" spans="1:13" s="755" customFormat="1">
      <c r="A602" s="753"/>
      <c r="B602" s="753"/>
      <c r="C602" s="753"/>
      <c r="D602" s="753"/>
      <c r="E602" s="753"/>
      <c r="F602" s="753"/>
      <c r="G602" s="753"/>
      <c r="H602" s="753"/>
      <c r="I602" s="753"/>
      <c r="J602" s="753"/>
      <c r="K602" s="753"/>
      <c r="L602" s="753"/>
      <c r="M602" s="753"/>
    </row>
    <row r="603" spans="1:13" s="755" customFormat="1">
      <c r="A603" s="753"/>
      <c r="B603" s="753"/>
      <c r="C603" s="753"/>
      <c r="D603" s="753"/>
      <c r="E603" s="753"/>
      <c r="F603" s="753"/>
      <c r="G603" s="753"/>
      <c r="H603" s="753"/>
      <c r="I603" s="753"/>
      <c r="J603" s="753"/>
      <c r="K603" s="753"/>
      <c r="L603" s="753"/>
      <c r="M603" s="753"/>
    </row>
    <row r="604" spans="1:13" s="755" customFormat="1">
      <c r="A604" s="753"/>
      <c r="B604" s="753"/>
      <c r="C604" s="753"/>
      <c r="D604" s="753"/>
      <c r="E604" s="753"/>
      <c r="F604" s="753"/>
      <c r="G604" s="753"/>
      <c r="H604" s="753"/>
      <c r="I604" s="753"/>
      <c r="J604" s="753"/>
      <c r="K604" s="753"/>
      <c r="L604" s="753"/>
      <c r="M604" s="753"/>
    </row>
    <row r="605" spans="1:13" s="755" customFormat="1">
      <c r="A605" s="753"/>
      <c r="B605" s="753"/>
      <c r="C605" s="753"/>
      <c r="D605" s="753"/>
      <c r="E605" s="753"/>
      <c r="F605" s="753"/>
      <c r="G605" s="753"/>
      <c r="H605" s="753"/>
      <c r="I605" s="753"/>
      <c r="J605" s="753"/>
      <c r="K605" s="753"/>
      <c r="L605" s="753"/>
      <c r="M605" s="753"/>
    </row>
    <row r="606" spans="1:13" s="755" customFormat="1">
      <c r="A606" s="753"/>
      <c r="B606" s="753"/>
      <c r="C606" s="753"/>
      <c r="D606" s="753"/>
      <c r="E606" s="753"/>
      <c r="F606" s="753"/>
      <c r="G606" s="753"/>
      <c r="H606" s="753"/>
      <c r="I606" s="753"/>
      <c r="J606" s="753"/>
      <c r="K606" s="753"/>
      <c r="L606" s="753"/>
      <c r="M606" s="753"/>
    </row>
    <row r="607" spans="1:13" s="755" customFormat="1">
      <c r="A607" s="753"/>
      <c r="B607" s="753"/>
      <c r="C607" s="753"/>
      <c r="D607" s="753"/>
      <c r="E607" s="753"/>
      <c r="F607" s="753"/>
      <c r="G607" s="753"/>
      <c r="H607" s="753"/>
      <c r="I607" s="753"/>
      <c r="J607" s="753"/>
      <c r="K607" s="753"/>
      <c r="L607" s="753"/>
      <c r="M607" s="753"/>
    </row>
    <row r="608" spans="1:13" s="755" customFormat="1">
      <c r="A608" s="753"/>
      <c r="B608" s="753"/>
      <c r="C608" s="753"/>
      <c r="D608" s="753"/>
      <c r="E608" s="753"/>
      <c r="F608" s="753"/>
      <c r="G608" s="753"/>
      <c r="H608" s="753"/>
      <c r="I608" s="753"/>
      <c r="J608" s="753"/>
      <c r="K608" s="753"/>
      <c r="L608" s="753"/>
      <c r="M608" s="753"/>
    </row>
    <row r="609" spans="1:13" s="755" customFormat="1">
      <c r="A609" s="753"/>
      <c r="B609" s="753"/>
      <c r="C609" s="753"/>
      <c r="D609" s="753"/>
      <c r="E609" s="753"/>
      <c r="F609" s="753"/>
      <c r="G609" s="753"/>
      <c r="H609" s="753"/>
      <c r="I609" s="753"/>
      <c r="J609" s="753"/>
      <c r="K609" s="753"/>
      <c r="L609" s="753"/>
      <c r="M609" s="753"/>
    </row>
    <row r="610" spans="1:13" s="755" customFormat="1">
      <c r="A610" s="753"/>
      <c r="B610" s="753"/>
      <c r="C610" s="753"/>
      <c r="D610" s="753"/>
      <c r="E610" s="753"/>
      <c r="F610" s="753"/>
      <c r="G610" s="753"/>
      <c r="H610" s="753"/>
      <c r="I610" s="753"/>
      <c r="J610" s="753"/>
      <c r="K610" s="753"/>
      <c r="L610" s="753"/>
      <c r="M610" s="753"/>
    </row>
    <row r="611" spans="1:13" s="755" customFormat="1">
      <c r="A611" s="753"/>
      <c r="B611" s="753"/>
      <c r="C611" s="753"/>
      <c r="D611" s="753"/>
      <c r="E611" s="753"/>
      <c r="F611" s="753"/>
      <c r="G611" s="753"/>
      <c r="H611" s="753"/>
      <c r="I611" s="753"/>
      <c r="J611" s="753"/>
      <c r="K611" s="753"/>
      <c r="L611" s="753"/>
      <c r="M611" s="753"/>
    </row>
    <row r="612" spans="1:13" s="755" customFormat="1">
      <c r="A612" s="753"/>
      <c r="B612" s="753"/>
      <c r="C612" s="753"/>
      <c r="D612" s="753"/>
      <c r="E612" s="753"/>
      <c r="F612" s="753"/>
      <c r="G612" s="753"/>
      <c r="H612" s="753"/>
      <c r="I612" s="753"/>
      <c r="J612" s="753"/>
      <c r="K612" s="753"/>
      <c r="L612" s="753"/>
      <c r="M612" s="753"/>
    </row>
    <row r="613" spans="1:13" s="755" customFormat="1">
      <c r="A613" s="753"/>
      <c r="B613" s="753"/>
      <c r="C613" s="753"/>
      <c r="D613" s="753"/>
      <c r="E613" s="753"/>
      <c r="F613" s="753"/>
      <c r="G613" s="753"/>
      <c r="H613" s="753"/>
      <c r="I613" s="753"/>
      <c r="J613" s="753"/>
      <c r="K613" s="753"/>
      <c r="L613" s="753"/>
      <c r="M613" s="753"/>
    </row>
    <row r="614" spans="1:13" s="755" customFormat="1">
      <c r="A614" s="753"/>
      <c r="B614" s="753"/>
      <c r="C614" s="753"/>
      <c r="D614" s="753"/>
      <c r="E614" s="753"/>
      <c r="F614" s="753"/>
      <c r="G614" s="753"/>
      <c r="H614" s="753"/>
      <c r="I614" s="753"/>
      <c r="J614" s="753"/>
      <c r="K614" s="753"/>
      <c r="L614" s="753"/>
      <c r="M614" s="753"/>
    </row>
    <row r="615" spans="1:13" s="755" customFormat="1">
      <c r="A615" s="753"/>
      <c r="B615" s="753"/>
      <c r="C615" s="753"/>
      <c r="D615" s="753"/>
      <c r="E615" s="753"/>
      <c r="F615" s="753"/>
      <c r="G615" s="753"/>
      <c r="H615" s="753"/>
      <c r="I615" s="753"/>
      <c r="J615" s="753"/>
      <c r="K615" s="753"/>
      <c r="L615" s="753"/>
      <c r="M615" s="753"/>
    </row>
    <row r="616" spans="1:13" s="755" customFormat="1">
      <c r="A616" s="753"/>
      <c r="B616" s="753"/>
      <c r="C616" s="753"/>
      <c r="D616" s="753"/>
      <c r="E616" s="753"/>
      <c r="F616" s="753"/>
      <c r="G616" s="753"/>
      <c r="H616" s="753"/>
      <c r="I616" s="753"/>
      <c r="J616" s="753"/>
      <c r="K616" s="753"/>
      <c r="L616" s="753"/>
      <c r="M616" s="753"/>
    </row>
    <row r="617" spans="1:13" s="755" customFormat="1">
      <c r="A617" s="753"/>
      <c r="B617" s="753"/>
      <c r="C617" s="753"/>
      <c r="D617" s="753"/>
      <c r="E617" s="753"/>
      <c r="F617" s="753"/>
      <c r="G617" s="753"/>
      <c r="H617" s="753"/>
      <c r="I617" s="753"/>
      <c r="J617" s="753"/>
      <c r="K617" s="753"/>
      <c r="L617" s="753"/>
      <c r="M617" s="753"/>
    </row>
    <row r="618" spans="1:13" s="755" customFormat="1">
      <c r="A618" s="753"/>
      <c r="B618" s="753"/>
      <c r="C618" s="753"/>
      <c r="D618" s="753"/>
      <c r="E618" s="753"/>
      <c r="F618" s="753"/>
      <c r="G618" s="753"/>
      <c r="H618" s="753"/>
      <c r="I618" s="753"/>
      <c r="J618" s="753"/>
      <c r="K618" s="753"/>
      <c r="L618" s="753"/>
      <c r="M618" s="753"/>
    </row>
    <row r="619" spans="1:13" s="755" customFormat="1">
      <c r="A619" s="753"/>
      <c r="B619" s="753"/>
      <c r="C619" s="753"/>
      <c r="D619" s="753"/>
      <c r="E619" s="753"/>
      <c r="F619" s="753"/>
      <c r="G619" s="753"/>
      <c r="H619" s="753"/>
      <c r="I619" s="753"/>
      <c r="J619" s="753"/>
      <c r="K619" s="753"/>
      <c r="L619" s="753"/>
      <c r="M619" s="753"/>
    </row>
    <row r="620" spans="1:13" s="755" customFormat="1">
      <c r="A620" s="753"/>
      <c r="B620" s="753"/>
      <c r="C620" s="753"/>
      <c r="D620" s="753"/>
      <c r="E620" s="753"/>
      <c r="F620" s="753"/>
      <c r="G620" s="753"/>
      <c r="H620" s="753"/>
      <c r="I620" s="753"/>
      <c r="J620" s="753"/>
      <c r="K620" s="753"/>
      <c r="L620" s="753"/>
      <c r="M620" s="753"/>
    </row>
    <row r="621" spans="1:13" s="755" customFormat="1">
      <c r="A621" s="753"/>
      <c r="B621" s="753"/>
      <c r="C621" s="753"/>
      <c r="D621" s="753"/>
      <c r="E621" s="753"/>
      <c r="F621" s="753"/>
      <c r="G621" s="753"/>
      <c r="H621" s="753"/>
      <c r="I621" s="753"/>
      <c r="J621" s="753"/>
      <c r="K621" s="753"/>
      <c r="L621" s="753"/>
      <c r="M621" s="753"/>
    </row>
    <row r="622" spans="1:13" s="755" customFormat="1">
      <c r="A622" s="753"/>
      <c r="B622" s="753"/>
      <c r="C622" s="753"/>
      <c r="D622" s="753"/>
      <c r="E622" s="753"/>
      <c r="F622" s="753"/>
      <c r="G622" s="753"/>
      <c r="H622" s="753"/>
      <c r="I622" s="753"/>
      <c r="J622" s="753"/>
      <c r="K622" s="753"/>
      <c r="L622" s="753"/>
      <c r="M622" s="753"/>
    </row>
    <row r="623" spans="1:13" s="755" customFormat="1">
      <c r="A623" s="753"/>
      <c r="B623" s="753"/>
      <c r="C623" s="753"/>
      <c r="D623" s="753"/>
      <c r="E623" s="753"/>
      <c r="F623" s="753"/>
      <c r="G623" s="753"/>
      <c r="H623" s="753"/>
      <c r="I623" s="753"/>
      <c r="J623" s="753"/>
      <c r="K623" s="753"/>
      <c r="L623" s="753"/>
      <c r="M623" s="753"/>
    </row>
    <row r="624" spans="1:13" s="755" customFormat="1">
      <c r="A624" s="753"/>
      <c r="B624" s="753"/>
      <c r="C624" s="753"/>
      <c r="D624" s="753"/>
      <c r="E624" s="753"/>
      <c r="F624" s="753"/>
      <c r="G624" s="753"/>
      <c r="H624" s="753"/>
      <c r="I624" s="753"/>
      <c r="J624" s="753"/>
      <c r="K624" s="753"/>
      <c r="L624" s="753"/>
      <c r="M624" s="753"/>
    </row>
    <row r="625" spans="1:13" s="755" customFormat="1">
      <c r="A625" s="753"/>
      <c r="B625" s="753"/>
      <c r="C625" s="753"/>
      <c r="D625" s="753"/>
      <c r="E625" s="753"/>
      <c r="F625" s="753"/>
      <c r="G625" s="753"/>
      <c r="H625" s="753"/>
      <c r="I625" s="753"/>
      <c r="J625" s="753"/>
      <c r="K625" s="753"/>
      <c r="L625" s="753"/>
      <c r="M625" s="753"/>
    </row>
    <row r="626" spans="1:13" s="755" customFormat="1">
      <c r="A626" s="753"/>
      <c r="B626" s="753"/>
      <c r="C626" s="753"/>
      <c r="D626" s="753"/>
      <c r="E626" s="753"/>
      <c r="F626" s="753"/>
      <c r="G626" s="753"/>
      <c r="H626" s="753"/>
      <c r="I626" s="753"/>
      <c r="J626" s="753"/>
      <c r="K626" s="753"/>
      <c r="L626" s="753"/>
      <c r="M626" s="753"/>
    </row>
    <row r="627" spans="1:13" s="755" customFormat="1">
      <c r="A627" s="753"/>
      <c r="B627" s="753"/>
      <c r="C627" s="753"/>
      <c r="D627" s="753"/>
      <c r="E627" s="753"/>
      <c r="F627" s="753"/>
      <c r="G627" s="753"/>
      <c r="H627" s="753"/>
      <c r="I627" s="753"/>
      <c r="J627" s="753"/>
      <c r="K627" s="753"/>
      <c r="L627" s="753"/>
      <c r="M627" s="753"/>
    </row>
    <row r="628" spans="1:13" s="755" customFormat="1">
      <c r="A628" s="753"/>
      <c r="B628" s="753"/>
      <c r="C628" s="753"/>
      <c r="D628" s="753"/>
      <c r="E628" s="753"/>
      <c r="F628" s="753"/>
      <c r="G628" s="753"/>
      <c r="H628" s="753"/>
      <c r="I628" s="753"/>
      <c r="J628" s="753"/>
      <c r="K628" s="753"/>
      <c r="L628" s="753"/>
      <c r="M628" s="753"/>
    </row>
    <row r="629" spans="1:13" s="755" customFormat="1">
      <c r="A629" s="753"/>
      <c r="B629" s="753"/>
      <c r="C629" s="753"/>
      <c r="D629" s="753"/>
      <c r="E629" s="753"/>
      <c r="F629" s="753"/>
      <c r="G629" s="753"/>
      <c r="H629" s="753"/>
      <c r="I629" s="753"/>
      <c r="J629" s="753"/>
      <c r="K629" s="753"/>
      <c r="L629" s="753"/>
      <c r="M629" s="753"/>
    </row>
    <row r="630" spans="1:13" s="755" customFormat="1">
      <c r="A630" s="753"/>
      <c r="B630" s="753"/>
      <c r="C630" s="753"/>
      <c r="D630" s="753"/>
      <c r="E630" s="753"/>
      <c r="F630" s="753"/>
      <c r="G630" s="753"/>
      <c r="H630" s="753"/>
      <c r="I630" s="753"/>
      <c r="J630" s="753"/>
      <c r="K630" s="753"/>
      <c r="L630" s="753"/>
      <c r="M630" s="753"/>
    </row>
    <row r="631" spans="1:13" s="755" customFormat="1">
      <c r="A631" s="753"/>
      <c r="B631" s="753"/>
      <c r="C631" s="753"/>
      <c r="D631" s="753"/>
      <c r="E631" s="753"/>
      <c r="F631" s="753"/>
      <c r="G631" s="753"/>
      <c r="H631" s="753"/>
      <c r="I631" s="753"/>
      <c r="J631" s="753"/>
      <c r="K631" s="753"/>
      <c r="L631" s="753"/>
      <c r="M631" s="753"/>
    </row>
    <row r="632" spans="1:13" s="755" customFormat="1">
      <c r="A632" s="753"/>
      <c r="B632" s="753"/>
      <c r="C632" s="753"/>
      <c r="D632" s="753"/>
      <c r="E632" s="753"/>
      <c r="F632" s="753"/>
      <c r="G632" s="753"/>
      <c r="H632" s="753"/>
      <c r="I632" s="753"/>
      <c r="J632" s="753"/>
      <c r="K632" s="753"/>
      <c r="L632" s="753"/>
      <c r="M632" s="753"/>
    </row>
    <row r="633" spans="1:13" s="755" customFormat="1">
      <c r="A633" s="753"/>
      <c r="B633" s="753"/>
      <c r="C633" s="753"/>
      <c r="D633" s="753"/>
      <c r="E633" s="753"/>
      <c r="F633" s="753"/>
      <c r="G633" s="753"/>
      <c r="H633" s="753"/>
      <c r="I633" s="753"/>
      <c r="J633" s="753"/>
      <c r="K633" s="753"/>
      <c r="L633" s="753"/>
      <c r="M633" s="753"/>
    </row>
    <row r="634" spans="1:13" s="755" customFormat="1">
      <c r="A634" s="753"/>
      <c r="B634" s="753"/>
      <c r="C634" s="753"/>
      <c r="D634" s="753"/>
      <c r="E634" s="753"/>
      <c r="F634" s="753"/>
      <c r="G634" s="753"/>
      <c r="H634" s="753"/>
      <c r="I634" s="753"/>
      <c r="J634" s="753"/>
      <c r="K634" s="753"/>
      <c r="L634" s="753"/>
      <c r="M634" s="753"/>
    </row>
    <row r="635" spans="1:13" s="755" customFormat="1">
      <c r="A635" s="753"/>
      <c r="B635" s="753"/>
      <c r="C635" s="753"/>
      <c r="D635" s="753"/>
      <c r="E635" s="753"/>
      <c r="F635" s="753"/>
      <c r="G635" s="753"/>
      <c r="H635" s="753"/>
      <c r="I635" s="753"/>
      <c r="J635" s="753"/>
      <c r="K635" s="753"/>
      <c r="L635" s="753"/>
      <c r="M635" s="753"/>
    </row>
    <row r="636" spans="1:13" s="755" customFormat="1">
      <c r="A636" s="753"/>
      <c r="B636" s="753"/>
      <c r="C636" s="753"/>
      <c r="D636" s="753"/>
      <c r="E636" s="753"/>
      <c r="F636" s="753"/>
      <c r="G636" s="753"/>
      <c r="H636" s="753"/>
      <c r="I636" s="753"/>
      <c r="J636" s="753"/>
      <c r="K636" s="753"/>
      <c r="L636" s="753"/>
      <c r="M636" s="753"/>
    </row>
    <row r="637" spans="1:13" s="755" customFormat="1">
      <c r="A637" s="753"/>
      <c r="B637" s="753"/>
      <c r="C637" s="753"/>
      <c r="D637" s="753"/>
      <c r="E637" s="753"/>
      <c r="F637" s="753"/>
      <c r="G637" s="753"/>
      <c r="H637" s="753"/>
      <c r="I637" s="753"/>
      <c r="J637" s="753"/>
      <c r="K637" s="753"/>
      <c r="L637" s="753"/>
      <c r="M637" s="753"/>
    </row>
    <row r="638" spans="1:13" s="755" customFormat="1">
      <c r="A638" s="753"/>
      <c r="B638" s="753"/>
      <c r="C638" s="753"/>
      <c r="D638" s="753"/>
      <c r="E638" s="753"/>
      <c r="F638" s="753"/>
      <c r="G638" s="753"/>
      <c r="H638" s="753"/>
      <c r="I638" s="753"/>
      <c r="J638" s="753"/>
      <c r="K638" s="753"/>
      <c r="L638" s="753"/>
      <c r="M638" s="753"/>
    </row>
    <row r="639" spans="1:13" s="755" customFormat="1">
      <c r="A639" s="753"/>
      <c r="B639" s="753"/>
      <c r="C639" s="753"/>
      <c r="D639" s="753"/>
      <c r="E639" s="753"/>
      <c r="F639" s="753"/>
      <c r="G639" s="753"/>
      <c r="H639" s="753"/>
      <c r="I639" s="753"/>
      <c r="J639" s="753"/>
      <c r="K639" s="753"/>
      <c r="L639" s="753"/>
      <c r="M639" s="753"/>
    </row>
    <row r="640" spans="1:13" s="755" customFormat="1">
      <c r="A640" s="753"/>
      <c r="B640" s="753"/>
      <c r="C640" s="753"/>
      <c r="D640" s="753"/>
      <c r="E640" s="753"/>
      <c r="F640" s="753"/>
      <c r="G640" s="753"/>
      <c r="H640" s="753"/>
      <c r="I640" s="753"/>
      <c r="J640" s="753"/>
      <c r="K640" s="753"/>
      <c r="L640" s="753"/>
      <c r="M640" s="753"/>
    </row>
    <row r="641" spans="1:13" s="755" customFormat="1">
      <c r="A641" s="753"/>
      <c r="B641" s="753"/>
      <c r="C641" s="753"/>
      <c r="D641" s="753"/>
      <c r="E641" s="753"/>
      <c r="F641" s="753"/>
      <c r="G641" s="753"/>
      <c r="H641" s="753"/>
      <c r="I641" s="753"/>
      <c r="J641" s="753"/>
      <c r="K641" s="753"/>
      <c r="L641" s="753"/>
      <c r="M641" s="753"/>
    </row>
    <row r="642" spans="1:13" s="755" customFormat="1">
      <c r="A642" s="753"/>
      <c r="B642" s="753"/>
      <c r="C642" s="753"/>
      <c r="D642" s="753"/>
      <c r="E642" s="753"/>
      <c r="F642" s="753"/>
      <c r="G642" s="753"/>
      <c r="H642" s="753"/>
      <c r="I642" s="753"/>
      <c r="J642" s="753"/>
      <c r="K642" s="753"/>
      <c r="L642" s="753"/>
      <c r="M642" s="753"/>
    </row>
    <row r="643" spans="1:13" s="755" customFormat="1">
      <c r="A643" s="753"/>
      <c r="B643" s="753"/>
      <c r="C643" s="753"/>
      <c r="D643" s="753"/>
      <c r="E643" s="753"/>
      <c r="F643" s="753"/>
      <c r="G643" s="753"/>
      <c r="H643" s="753"/>
      <c r="I643" s="753"/>
      <c r="J643" s="753"/>
      <c r="K643" s="753"/>
      <c r="L643" s="753"/>
      <c r="M643" s="753"/>
    </row>
    <row r="644" spans="1:13" s="755" customFormat="1">
      <c r="A644" s="753"/>
      <c r="B644" s="753"/>
      <c r="C644" s="753"/>
      <c r="D644" s="753"/>
      <c r="E644" s="753"/>
      <c r="F644" s="753"/>
      <c r="G644" s="753"/>
      <c r="H644" s="753"/>
      <c r="I644" s="753"/>
      <c r="J644" s="753"/>
      <c r="K644" s="753"/>
      <c r="L644" s="753"/>
      <c r="M644" s="753"/>
    </row>
    <row r="645" spans="1:13" s="755" customFormat="1">
      <c r="A645" s="753"/>
      <c r="B645" s="753"/>
      <c r="C645" s="753"/>
      <c r="D645" s="753"/>
      <c r="E645" s="753"/>
      <c r="F645" s="753"/>
      <c r="G645" s="753"/>
      <c r="H645" s="753"/>
      <c r="I645" s="753"/>
      <c r="J645" s="753"/>
      <c r="K645" s="753"/>
      <c r="L645" s="753"/>
      <c r="M645" s="753"/>
    </row>
    <row r="646" spans="1:13" s="755" customFormat="1">
      <c r="A646" s="753"/>
      <c r="B646" s="753"/>
      <c r="C646" s="753"/>
      <c r="D646" s="753"/>
      <c r="E646" s="753"/>
      <c r="F646" s="753"/>
      <c r="G646" s="753"/>
      <c r="H646" s="753"/>
      <c r="I646" s="753"/>
      <c r="J646" s="753"/>
      <c r="K646" s="753"/>
      <c r="L646" s="753"/>
      <c r="M646" s="753"/>
    </row>
    <row r="647" spans="1:13" s="755" customFormat="1">
      <c r="A647" s="753"/>
      <c r="B647" s="753"/>
      <c r="C647" s="753"/>
      <c r="D647" s="753"/>
      <c r="E647" s="753"/>
      <c r="F647" s="753"/>
      <c r="G647" s="753"/>
      <c r="H647" s="753"/>
      <c r="I647" s="753"/>
      <c r="J647" s="753"/>
      <c r="K647" s="753"/>
      <c r="L647" s="753"/>
      <c r="M647" s="753"/>
    </row>
    <row r="648" spans="1:13" s="755" customFormat="1">
      <c r="A648" s="753"/>
      <c r="B648" s="753"/>
      <c r="C648" s="753"/>
      <c r="D648" s="753"/>
      <c r="E648" s="753"/>
      <c r="F648" s="753"/>
      <c r="G648" s="753"/>
      <c r="H648" s="753"/>
      <c r="I648" s="753"/>
      <c r="J648" s="753"/>
      <c r="K648" s="753"/>
      <c r="L648" s="753"/>
      <c r="M648" s="753"/>
    </row>
    <row r="649" spans="1:13" s="755" customFormat="1">
      <c r="A649" s="753"/>
      <c r="B649" s="753"/>
      <c r="C649" s="753"/>
      <c r="D649" s="753"/>
      <c r="E649" s="753"/>
      <c r="F649" s="753"/>
      <c r="G649" s="753"/>
      <c r="H649" s="753"/>
      <c r="I649" s="753"/>
      <c r="J649" s="753"/>
      <c r="K649" s="753"/>
      <c r="L649" s="753"/>
      <c r="M649" s="753"/>
    </row>
    <row r="650" spans="1:13" s="755" customFormat="1">
      <c r="A650" s="753"/>
      <c r="B650" s="753"/>
      <c r="C650" s="753"/>
      <c r="D650" s="753"/>
      <c r="E650" s="753"/>
      <c r="F650" s="753"/>
      <c r="G650" s="753"/>
      <c r="H650" s="753"/>
      <c r="I650" s="753"/>
      <c r="J650" s="753"/>
      <c r="K650" s="753"/>
      <c r="L650" s="753"/>
      <c r="M650" s="753"/>
    </row>
    <row r="651" spans="1:13" s="755" customFormat="1">
      <c r="A651" s="753"/>
      <c r="B651" s="753"/>
      <c r="C651" s="753"/>
      <c r="D651" s="753"/>
      <c r="E651" s="753"/>
      <c r="F651" s="753"/>
      <c r="G651" s="753"/>
      <c r="H651" s="753"/>
      <c r="I651" s="753"/>
      <c r="J651" s="753"/>
      <c r="K651" s="753"/>
      <c r="L651" s="753"/>
      <c r="M651" s="753"/>
    </row>
    <row r="652" spans="1:13" s="755" customFormat="1">
      <c r="A652" s="753"/>
      <c r="B652" s="753"/>
      <c r="C652" s="753"/>
      <c r="D652" s="753"/>
      <c r="E652" s="753"/>
      <c r="F652" s="753"/>
      <c r="G652" s="753"/>
      <c r="H652" s="753"/>
      <c r="I652" s="753"/>
      <c r="J652" s="753"/>
      <c r="K652" s="753"/>
      <c r="L652" s="753"/>
      <c r="M652" s="753"/>
    </row>
    <row r="653" spans="1:13" s="755" customFormat="1">
      <c r="A653" s="753"/>
      <c r="B653" s="753"/>
      <c r="C653" s="753"/>
      <c r="D653" s="753"/>
      <c r="E653" s="753"/>
      <c r="F653" s="753"/>
      <c r="G653" s="753"/>
      <c r="H653" s="753"/>
      <c r="I653" s="753"/>
      <c r="J653" s="753"/>
      <c r="K653" s="753"/>
      <c r="L653" s="753"/>
      <c r="M653" s="753"/>
    </row>
    <row r="654" spans="1:13" s="755" customFormat="1">
      <c r="A654" s="753"/>
      <c r="B654" s="753"/>
      <c r="C654" s="753"/>
      <c r="D654" s="753"/>
      <c r="E654" s="753"/>
      <c r="F654" s="753"/>
      <c r="G654" s="753"/>
      <c r="H654" s="753"/>
      <c r="I654" s="753"/>
      <c r="J654" s="753"/>
      <c r="K654" s="753"/>
      <c r="L654" s="753"/>
      <c r="M654" s="753"/>
    </row>
    <row r="655" spans="1:13" s="755" customFormat="1">
      <c r="A655" s="753"/>
      <c r="B655" s="753"/>
      <c r="C655" s="753"/>
      <c r="D655" s="753"/>
      <c r="E655" s="753"/>
      <c r="F655" s="753"/>
      <c r="G655" s="753"/>
      <c r="H655" s="753"/>
      <c r="I655" s="753"/>
      <c r="J655" s="753"/>
      <c r="K655" s="753"/>
      <c r="L655" s="753"/>
      <c r="M655" s="753"/>
    </row>
    <row r="656" spans="1:13" s="755" customFormat="1">
      <c r="A656" s="753"/>
      <c r="B656" s="753"/>
      <c r="C656" s="753"/>
      <c r="D656" s="753"/>
      <c r="E656" s="753"/>
      <c r="F656" s="753"/>
      <c r="G656" s="753"/>
      <c r="H656" s="753"/>
      <c r="I656" s="753"/>
      <c r="J656" s="753"/>
      <c r="K656" s="753"/>
      <c r="L656" s="753"/>
      <c r="M656" s="753"/>
    </row>
    <row r="657" spans="1:13" s="755" customFormat="1">
      <c r="A657" s="753"/>
      <c r="B657" s="753"/>
      <c r="C657" s="753"/>
      <c r="D657" s="753"/>
      <c r="E657" s="753"/>
      <c r="F657" s="753"/>
      <c r="G657" s="753"/>
      <c r="H657" s="753"/>
      <c r="I657" s="753"/>
      <c r="J657" s="753"/>
      <c r="K657" s="753"/>
      <c r="L657" s="753"/>
      <c r="M657" s="753"/>
    </row>
    <row r="658" spans="1:13" s="755" customFormat="1">
      <c r="A658" s="753"/>
      <c r="B658" s="753"/>
      <c r="C658" s="753"/>
      <c r="D658" s="753"/>
      <c r="E658" s="753"/>
      <c r="F658" s="753"/>
      <c r="G658" s="753"/>
      <c r="H658" s="753"/>
      <c r="I658" s="753"/>
      <c r="J658" s="753"/>
      <c r="K658" s="753"/>
      <c r="L658" s="753"/>
      <c r="M658" s="753"/>
    </row>
    <row r="659" spans="1:13" s="755" customFormat="1">
      <c r="A659" s="753"/>
      <c r="B659" s="753"/>
      <c r="C659" s="753"/>
      <c r="D659" s="753"/>
      <c r="E659" s="753"/>
      <c r="F659" s="753"/>
      <c r="G659" s="753"/>
      <c r="H659" s="753"/>
      <c r="I659" s="753"/>
      <c r="J659" s="753"/>
      <c r="K659" s="753"/>
      <c r="L659" s="753"/>
      <c r="M659" s="753"/>
    </row>
    <row r="660" spans="1:13" s="755" customFormat="1">
      <c r="A660" s="753"/>
      <c r="B660" s="753"/>
      <c r="C660" s="753"/>
      <c r="D660" s="753"/>
      <c r="E660" s="753"/>
      <c r="F660" s="753"/>
      <c r="G660" s="753"/>
      <c r="H660" s="753"/>
      <c r="I660" s="753"/>
      <c r="J660" s="753"/>
      <c r="K660" s="753"/>
      <c r="L660" s="753"/>
      <c r="M660" s="753"/>
    </row>
    <row r="661" spans="1:13" s="755" customFormat="1">
      <c r="A661" s="753"/>
      <c r="B661" s="753"/>
      <c r="C661" s="753"/>
      <c r="D661" s="753"/>
      <c r="E661" s="753"/>
      <c r="F661" s="753"/>
      <c r="G661" s="753"/>
      <c r="H661" s="753"/>
      <c r="I661" s="753"/>
      <c r="J661" s="753"/>
      <c r="K661" s="753"/>
      <c r="L661" s="753"/>
      <c r="M661" s="753"/>
    </row>
    <row r="662" spans="1:13" s="755" customFormat="1">
      <c r="A662" s="753"/>
      <c r="B662" s="753"/>
      <c r="C662" s="753"/>
      <c r="D662" s="753"/>
      <c r="E662" s="753"/>
      <c r="F662" s="753"/>
      <c r="G662" s="753"/>
      <c r="H662" s="753"/>
      <c r="I662" s="753"/>
      <c r="J662" s="753"/>
      <c r="K662" s="753"/>
      <c r="L662" s="753"/>
      <c r="M662" s="753"/>
    </row>
    <row r="663" spans="1:13" s="755" customFormat="1">
      <c r="A663" s="753"/>
      <c r="B663" s="753"/>
      <c r="C663" s="753"/>
      <c r="D663" s="753"/>
      <c r="E663" s="753"/>
      <c r="F663" s="753"/>
      <c r="G663" s="753"/>
      <c r="H663" s="753"/>
      <c r="I663" s="753"/>
      <c r="J663" s="753"/>
      <c r="K663" s="753"/>
      <c r="L663" s="753"/>
      <c r="M663" s="753"/>
    </row>
    <row r="664" spans="1:13" s="755" customFormat="1">
      <c r="A664" s="753"/>
      <c r="B664" s="753"/>
      <c r="C664" s="753"/>
      <c r="D664" s="753"/>
      <c r="E664" s="753"/>
      <c r="F664" s="753"/>
      <c r="G664" s="753"/>
      <c r="H664" s="753"/>
      <c r="I664" s="753"/>
      <c r="J664" s="753"/>
      <c r="K664" s="753"/>
      <c r="L664" s="753"/>
      <c r="M664" s="753"/>
    </row>
    <row r="665" spans="1:13" s="755" customFormat="1">
      <c r="A665" s="753"/>
      <c r="B665" s="753"/>
      <c r="C665" s="753"/>
      <c r="D665" s="753"/>
      <c r="E665" s="753"/>
      <c r="F665" s="753"/>
      <c r="G665" s="753"/>
      <c r="H665" s="753"/>
      <c r="I665" s="753"/>
      <c r="J665" s="753"/>
      <c r="K665" s="753"/>
      <c r="L665" s="753"/>
      <c r="M665" s="753"/>
    </row>
    <row r="666" spans="1:13" s="755" customFormat="1">
      <c r="A666" s="753"/>
      <c r="B666" s="753"/>
      <c r="C666" s="753"/>
      <c r="D666" s="753"/>
      <c r="E666" s="753"/>
      <c r="F666" s="753"/>
      <c r="G666" s="753"/>
      <c r="H666" s="753"/>
      <c r="I666" s="753"/>
      <c r="J666" s="753"/>
      <c r="K666" s="753"/>
      <c r="L666" s="753"/>
      <c r="M666" s="753"/>
    </row>
    <row r="667" spans="1:13" s="755" customFormat="1">
      <c r="A667" s="753"/>
      <c r="B667" s="753"/>
      <c r="C667" s="753"/>
      <c r="D667" s="753"/>
      <c r="E667" s="753"/>
      <c r="F667" s="753"/>
      <c r="G667" s="753"/>
      <c r="H667" s="753"/>
      <c r="I667" s="753"/>
      <c r="J667" s="753"/>
      <c r="K667" s="753"/>
      <c r="L667" s="753"/>
      <c r="M667" s="753"/>
    </row>
    <row r="668" spans="1:13" s="755" customFormat="1">
      <c r="A668" s="753"/>
      <c r="B668" s="753"/>
      <c r="C668" s="753"/>
      <c r="D668" s="753"/>
      <c r="E668" s="753"/>
      <c r="F668" s="753"/>
      <c r="G668" s="753"/>
      <c r="H668" s="753"/>
      <c r="I668" s="753"/>
      <c r="J668" s="753"/>
      <c r="K668" s="753"/>
      <c r="L668" s="753"/>
      <c r="M668" s="753"/>
    </row>
    <row r="669" spans="1:13" s="755" customFormat="1">
      <c r="A669" s="753"/>
      <c r="B669" s="753"/>
      <c r="C669" s="753"/>
      <c r="D669" s="753"/>
      <c r="E669" s="753"/>
      <c r="F669" s="753"/>
      <c r="G669" s="753"/>
      <c r="H669" s="753"/>
      <c r="I669" s="753"/>
      <c r="J669" s="753"/>
      <c r="K669" s="753"/>
      <c r="L669" s="753"/>
      <c r="M669" s="753"/>
    </row>
    <row r="670" spans="1:13" s="755" customFormat="1">
      <c r="A670" s="753"/>
      <c r="B670" s="753"/>
      <c r="C670" s="753"/>
      <c r="D670" s="753"/>
      <c r="E670" s="753"/>
      <c r="F670" s="753"/>
      <c r="G670" s="753"/>
      <c r="H670" s="753"/>
      <c r="I670" s="753"/>
      <c r="J670" s="753"/>
      <c r="K670" s="753"/>
      <c r="L670" s="753"/>
      <c r="M670" s="753"/>
    </row>
    <row r="671" spans="1:13" s="755" customFormat="1">
      <c r="A671" s="753"/>
      <c r="B671" s="753"/>
      <c r="C671" s="753"/>
      <c r="D671" s="753"/>
      <c r="E671" s="753"/>
      <c r="F671" s="753"/>
      <c r="G671" s="753"/>
      <c r="H671" s="753"/>
      <c r="I671" s="753"/>
      <c r="J671" s="753"/>
      <c r="K671" s="753"/>
      <c r="L671" s="753"/>
      <c r="M671" s="753"/>
    </row>
    <row r="672" spans="1:13" s="755" customFormat="1">
      <c r="A672" s="753"/>
      <c r="B672" s="753"/>
      <c r="C672" s="753"/>
      <c r="D672" s="753"/>
      <c r="E672" s="753"/>
      <c r="F672" s="753"/>
      <c r="G672" s="753"/>
      <c r="H672" s="753"/>
      <c r="I672" s="753"/>
      <c r="J672" s="753"/>
      <c r="K672" s="753"/>
      <c r="L672" s="753"/>
      <c r="M672" s="753"/>
    </row>
    <row r="673" spans="1:13" s="755" customFormat="1">
      <c r="A673" s="753"/>
      <c r="B673" s="753"/>
      <c r="C673" s="753"/>
      <c r="D673" s="753"/>
      <c r="E673" s="753"/>
      <c r="F673" s="753"/>
      <c r="G673" s="753"/>
      <c r="H673" s="753"/>
      <c r="I673" s="753"/>
      <c r="J673" s="753"/>
      <c r="K673" s="753"/>
      <c r="L673" s="753"/>
      <c r="M673" s="753"/>
    </row>
    <row r="674" spans="1:13" s="755" customFormat="1">
      <c r="A674" s="753"/>
      <c r="B674" s="753"/>
      <c r="C674" s="753"/>
      <c r="D674" s="753"/>
      <c r="E674" s="753"/>
      <c r="F674" s="753"/>
      <c r="G674" s="753"/>
      <c r="H674" s="753"/>
      <c r="I674" s="753"/>
      <c r="J674" s="753"/>
      <c r="K674" s="753"/>
      <c r="L674" s="753"/>
      <c r="M674" s="753"/>
    </row>
    <row r="675" spans="1:13" s="755" customFormat="1">
      <c r="A675" s="753"/>
      <c r="B675" s="753"/>
      <c r="C675" s="753"/>
      <c r="D675" s="753"/>
      <c r="E675" s="753"/>
      <c r="F675" s="753"/>
      <c r="G675" s="753"/>
      <c r="H675" s="753"/>
      <c r="I675" s="753"/>
      <c r="J675" s="753"/>
      <c r="K675" s="753"/>
      <c r="L675" s="753"/>
      <c r="M675" s="753"/>
    </row>
    <row r="676" spans="1:13" s="755" customFormat="1">
      <c r="A676" s="753"/>
      <c r="B676" s="753"/>
      <c r="C676" s="753"/>
      <c r="D676" s="753"/>
      <c r="E676" s="753"/>
      <c r="F676" s="753"/>
      <c r="G676" s="753"/>
      <c r="H676" s="753"/>
      <c r="I676" s="753"/>
      <c r="J676" s="753"/>
      <c r="K676" s="753"/>
      <c r="L676" s="753"/>
      <c r="M676" s="753"/>
    </row>
    <row r="677" spans="1:13" s="755" customFormat="1">
      <c r="A677" s="753"/>
      <c r="B677" s="753"/>
      <c r="C677" s="753"/>
      <c r="D677" s="753"/>
      <c r="E677" s="753"/>
      <c r="F677" s="753"/>
      <c r="G677" s="753"/>
      <c r="H677" s="753"/>
      <c r="I677" s="753"/>
      <c r="J677" s="753"/>
      <c r="K677" s="753"/>
      <c r="L677" s="753"/>
      <c r="M677" s="753"/>
    </row>
    <row r="678" spans="1:13" s="755" customFormat="1">
      <c r="A678" s="753"/>
      <c r="B678" s="753"/>
      <c r="C678" s="753"/>
      <c r="D678" s="753"/>
      <c r="E678" s="753"/>
      <c r="F678" s="753"/>
      <c r="G678" s="753"/>
      <c r="H678" s="753"/>
      <c r="I678" s="753"/>
      <c r="J678" s="753"/>
      <c r="K678" s="753"/>
      <c r="L678" s="753"/>
      <c r="M678" s="753"/>
    </row>
    <row r="679" spans="1:13" s="755" customFormat="1">
      <c r="A679" s="753"/>
      <c r="B679" s="753"/>
      <c r="C679" s="753"/>
      <c r="D679" s="753"/>
      <c r="E679" s="753"/>
      <c r="F679" s="753"/>
      <c r="G679" s="753"/>
      <c r="H679" s="753"/>
      <c r="I679" s="753"/>
      <c r="J679" s="753"/>
      <c r="K679" s="753"/>
      <c r="L679" s="753"/>
      <c r="M679" s="753"/>
    </row>
    <row r="680" spans="1:13" s="755" customFormat="1">
      <c r="A680" s="753"/>
      <c r="B680" s="753"/>
      <c r="C680" s="753"/>
      <c r="D680" s="753"/>
      <c r="E680" s="753"/>
      <c r="F680" s="753"/>
      <c r="G680" s="753"/>
      <c r="H680" s="753"/>
      <c r="I680" s="753"/>
      <c r="J680" s="753"/>
      <c r="K680" s="753"/>
      <c r="L680" s="753"/>
      <c r="M680" s="753"/>
    </row>
    <row r="681" spans="1:13" s="755" customFormat="1">
      <c r="A681" s="753"/>
      <c r="B681" s="753"/>
      <c r="C681" s="753"/>
      <c r="D681" s="753"/>
      <c r="E681" s="753"/>
      <c r="F681" s="753"/>
      <c r="G681" s="753"/>
      <c r="H681" s="753"/>
      <c r="I681" s="753"/>
      <c r="J681" s="753"/>
      <c r="K681" s="753"/>
      <c r="L681" s="753"/>
      <c r="M681" s="753"/>
    </row>
    <row r="682" spans="1:13" s="755" customFormat="1">
      <c r="A682" s="753"/>
      <c r="B682" s="753"/>
      <c r="C682" s="753"/>
      <c r="D682" s="753"/>
      <c r="E682" s="753"/>
      <c r="F682" s="753"/>
      <c r="G682" s="753"/>
      <c r="H682" s="753"/>
      <c r="I682" s="753"/>
      <c r="J682" s="753"/>
      <c r="K682" s="753"/>
      <c r="L682" s="753"/>
      <c r="M682" s="753"/>
    </row>
    <row r="683" spans="1:13" s="755" customFormat="1">
      <c r="A683" s="753"/>
      <c r="B683" s="753"/>
      <c r="C683" s="753"/>
      <c r="D683" s="753"/>
      <c r="E683" s="753"/>
      <c r="F683" s="753"/>
      <c r="G683" s="753"/>
      <c r="H683" s="753"/>
      <c r="I683" s="753"/>
      <c r="J683" s="753"/>
      <c r="K683" s="753"/>
      <c r="L683" s="753"/>
      <c r="M683" s="753"/>
    </row>
    <row r="684" spans="1:13" s="755" customFormat="1">
      <c r="A684" s="753"/>
      <c r="B684" s="753"/>
      <c r="C684" s="753"/>
      <c r="D684" s="753"/>
      <c r="E684" s="753"/>
      <c r="F684" s="753"/>
      <c r="G684" s="753"/>
      <c r="H684" s="753"/>
      <c r="I684" s="753"/>
      <c r="J684" s="753"/>
      <c r="K684" s="753"/>
      <c r="L684" s="753"/>
      <c r="M684" s="753"/>
    </row>
    <row r="685" spans="1:13" s="755" customFormat="1">
      <c r="A685" s="753"/>
      <c r="B685" s="753"/>
      <c r="C685" s="753"/>
      <c r="D685" s="753"/>
      <c r="E685" s="753"/>
      <c r="F685" s="753"/>
      <c r="G685" s="753"/>
      <c r="H685" s="753"/>
      <c r="I685" s="753"/>
      <c r="J685" s="753"/>
      <c r="K685" s="753"/>
      <c r="L685" s="753"/>
      <c r="M685" s="753"/>
    </row>
    <row r="686" spans="1:13" s="755" customFormat="1">
      <c r="A686" s="753"/>
      <c r="B686" s="753"/>
      <c r="C686" s="753"/>
      <c r="D686" s="753"/>
      <c r="E686" s="753"/>
      <c r="F686" s="753"/>
      <c r="G686" s="753"/>
      <c r="H686" s="753"/>
      <c r="I686" s="753"/>
      <c r="J686" s="753"/>
      <c r="K686" s="753"/>
      <c r="L686" s="753"/>
      <c r="M686" s="753"/>
    </row>
    <row r="687" spans="1:13" s="755" customFormat="1">
      <c r="A687" s="753"/>
      <c r="B687" s="753"/>
      <c r="C687" s="753"/>
      <c r="D687" s="753"/>
      <c r="E687" s="753"/>
      <c r="F687" s="753"/>
      <c r="G687" s="753"/>
      <c r="H687" s="753"/>
      <c r="I687" s="753"/>
      <c r="J687" s="753"/>
      <c r="K687" s="753"/>
      <c r="L687" s="753"/>
      <c r="M687" s="753"/>
    </row>
    <row r="688" spans="1:13" s="755" customFormat="1">
      <c r="A688" s="753"/>
      <c r="B688" s="753"/>
      <c r="C688" s="753"/>
      <c r="D688" s="753"/>
      <c r="E688" s="753"/>
      <c r="F688" s="753"/>
      <c r="G688" s="753"/>
      <c r="H688" s="753"/>
      <c r="I688" s="753"/>
      <c r="J688" s="753"/>
      <c r="K688" s="753"/>
      <c r="L688" s="753"/>
      <c r="M688" s="753"/>
    </row>
    <row r="689" spans="1:13" s="755" customFormat="1">
      <c r="A689" s="753"/>
      <c r="B689" s="753"/>
      <c r="C689" s="753"/>
      <c r="D689" s="753"/>
      <c r="E689" s="753"/>
      <c r="F689" s="753"/>
      <c r="G689" s="753"/>
      <c r="H689" s="753"/>
      <c r="I689" s="753"/>
      <c r="J689" s="753"/>
      <c r="K689" s="753"/>
      <c r="L689" s="753"/>
      <c r="M689" s="753"/>
    </row>
    <row r="690" spans="1:13" s="755" customFormat="1">
      <c r="A690" s="753"/>
      <c r="B690" s="753"/>
      <c r="C690" s="753"/>
      <c r="D690" s="753"/>
      <c r="E690" s="753"/>
      <c r="F690" s="753"/>
      <c r="G690" s="753"/>
      <c r="H690" s="753"/>
      <c r="I690" s="753"/>
      <c r="J690" s="753"/>
      <c r="K690" s="753"/>
      <c r="L690" s="753"/>
      <c r="M690" s="753"/>
    </row>
    <row r="691" spans="1:13" s="755" customFormat="1">
      <c r="A691" s="753"/>
      <c r="B691" s="753"/>
      <c r="C691" s="753"/>
      <c r="D691" s="753"/>
      <c r="E691" s="753"/>
      <c r="F691" s="753"/>
      <c r="G691" s="753"/>
      <c r="H691" s="753"/>
      <c r="I691" s="753"/>
      <c r="J691" s="753"/>
      <c r="K691" s="753"/>
      <c r="L691" s="753"/>
      <c r="M691" s="753"/>
    </row>
    <row r="692" spans="1:13" s="755" customFormat="1">
      <c r="A692" s="753"/>
      <c r="B692" s="753"/>
      <c r="C692" s="753"/>
      <c r="D692" s="753"/>
      <c r="E692" s="753"/>
      <c r="F692" s="753"/>
      <c r="G692" s="753"/>
      <c r="H692" s="753"/>
      <c r="I692" s="753"/>
      <c r="J692" s="753"/>
      <c r="K692" s="753"/>
      <c r="L692" s="753"/>
      <c r="M692" s="753"/>
    </row>
    <row r="693" spans="1:13" s="755" customFormat="1">
      <c r="A693" s="753"/>
      <c r="B693" s="753"/>
      <c r="C693" s="753"/>
      <c r="D693" s="753"/>
      <c r="E693" s="753"/>
      <c r="F693" s="753"/>
      <c r="G693" s="753"/>
      <c r="H693" s="753"/>
      <c r="I693" s="753"/>
      <c r="J693" s="753"/>
      <c r="K693" s="753"/>
      <c r="L693" s="753"/>
      <c r="M693" s="753"/>
    </row>
    <row r="694" spans="1:13" s="755" customFormat="1">
      <c r="A694" s="753"/>
      <c r="B694" s="753"/>
      <c r="C694" s="753"/>
      <c r="D694" s="753"/>
      <c r="E694" s="753"/>
      <c r="F694" s="753"/>
      <c r="G694" s="753"/>
      <c r="H694" s="753"/>
      <c r="I694" s="753"/>
      <c r="J694" s="753"/>
      <c r="K694" s="753"/>
      <c r="L694" s="753"/>
      <c r="M694" s="753"/>
    </row>
    <row r="695" spans="1:13" s="755" customFormat="1">
      <c r="A695" s="753"/>
      <c r="B695" s="753"/>
      <c r="C695" s="753"/>
      <c r="D695" s="753"/>
      <c r="E695" s="753"/>
      <c r="F695" s="753"/>
      <c r="G695" s="753"/>
      <c r="H695" s="753"/>
      <c r="I695" s="753"/>
      <c r="J695" s="753"/>
      <c r="K695" s="753"/>
      <c r="L695" s="753"/>
      <c r="M695" s="753"/>
    </row>
    <row r="696" spans="1:13" s="755" customFormat="1">
      <c r="A696" s="753"/>
      <c r="B696" s="753"/>
      <c r="C696" s="753"/>
      <c r="D696" s="753"/>
      <c r="E696" s="753"/>
      <c r="F696" s="753"/>
      <c r="G696" s="753"/>
      <c r="H696" s="753"/>
      <c r="I696" s="753"/>
      <c r="J696" s="753"/>
      <c r="K696" s="753"/>
      <c r="L696" s="753"/>
      <c r="M696" s="753"/>
    </row>
    <row r="697" spans="1:13" s="755" customFormat="1">
      <c r="A697" s="753"/>
      <c r="B697" s="753"/>
      <c r="C697" s="753"/>
      <c r="D697" s="753"/>
      <c r="E697" s="753"/>
      <c r="F697" s="753"/>
      <c r="G697" s="753"/>
      <c r="H697" s="753"/>
      <c r="I697" s="753"/>
      <c r="J697" s="753"/>
      <c r="K697" s="753"/>
      <c r="L697" s="753"/>
      <c r="M697" s="753"/>
    </row>
    <row r="698" spans="1:13" s="755" customFormat="1">
      <c r="A698" s="753"/>
      <c r="B698" s="753"/>
      <c r="C698" s="753"/>
      <c r="D698" s="753"/>
      <c r="E698" s="753"/>
      <c r="F698" s="753"/>
      <c r="G698" s="753"/>
      <c r="H698" s="753"/>
      <c r="I698" s="753"/>
      <c r="J698" s="753"/>
      <c r="K698" s="753"/>
      <c r="L698" s="753"/>
      <c r="M698" s="753"/>
    </row>
    <row r="699" spans="1:13" s="755" customFormat="1">
      <c r="A699" s="753"/>
      <c r="B699" s="753"/>
      <c r="C699" s="753"/>
      <c r="D699" s="753"/>
      <c r="E699" s="753"/>
      <c r="F699" s="753"/>
      <c r="G699" s="753"/>
      <c r="H699" s="753"/>
      <c r="I699" s="753"/>
      <c r="J699" s="753"/>
      <c r="K699" s="753"/>
      <c r="L699" s="753"/>
      <c r="M699" s="753"/>
    </row>
    <row r="700" spans="1:13" s="755" customFormat="1">
      <c r="A700" s="753"/>
      <c r="B700" s="753"/>
      <c r="C700" s="753"/>
      <c r="D700" s="753"/>
      <c r="E700" s="753"/>
      <c r="F700" s="753"/>
      <c r="G700" s="753"/>
      <c r="H700" s="753"/>
      <c r="I700" s="753"/>
      <c r="J700" s="753"/>
      <c r="K700" s="753"/>
      <c r="L700" s="753"/>
      <c r="M700" s="753"/>
    </row>
    <row r="701" spans="1:13" s="755" customFormat="1">
      <c r="A701" s="753"/>
      <c r="B701" s="753"/>
      <c r="C701" s="753"/>
      <c r="D701" s="753"/>
      <c r="E701" s="753"/>
      <c r="F701" s="753"/>
      <c r="G701" s="753"/>
      <c r="H701" s="753"/>
      <c r="I701" s="753"/>
      <c r="J701" s="753"/>
      <c r="K701" s="753"/>
      <c r="L701" s="753"/>
      <c r="M701" s="753"/>
    </row>
    <row r="702" spans="1:13" s="755" customFormat="1">
      <c r="A702" s="753"/>
      <c r="B702" s="753"/>
      <c r="C702" s="753"/>
      <c r="D702" s="753"/>
      <c r="E702" s="753"/>
      <c r="F702" s="753"/>
      <c r="G702" s="753"/>
      <c r="H702" s="753"/>
      <c r="I702" s="753"/>
      <c r="J702" s="753"/>
      <c r="K702" s="753"/>
      <c r="L702" s="753"/>
      <c r="M702" s="753"/>
    </row>
    <row r="703" spans="1:13" s="755" customFormat="1">
      <c r="A703" s="753"/>
      <c r="B703" s="753"/>
      <c r="C703" s="753"/>
      <c r="D703" s="753"/>
      <c r="E703" s="753"/>
      <c r="F703" s="753"/>
      <c r="G703" s="753"/>
      <c r="H703" s="753"/>
      <c r="I703" s="753"/>
      <c r="J703" s="753"/>
      <c r="K703" s="753"/>
      <c r="L703" s="753"/>
      <c r="M703" s="753"/>
    </row>
    <row r="704" spans="1:13" s="755" customFormat="1">
      <c r="A704" s="753"/>
      <c r="B704" s="753"/>
      <c r="C704" s="753"/>
      <c r="D704" s="753"/>
      <c r="E704" s="753"/>
      <c r="F704" s="753"/>
      <c r="G704" s="753"/>
      <c r="H704" s="753"/>
      <c r="I704" s="753"/>
      <c r="J704" s="753"/>
      <c r="K704" s="753"/>
      <c r="L704" s="753"/>
      <c r="M704" s="753"/>
    </row>
    <row r="705" spans="1:13" s="755" customFormat="1">
      <c r="A705" s="753"/>
      <c r="B705" s="753"/>
      <c r="C705" s="753"/>
      <c r="D705" s="753"/>
      <c r="E705" s="753"/>
      <c r="F705" s="753"/>
      <c r="G705" s="753"/>
      <c r="H705" s="753"/>
      <c r="I705" s="753"/>
      <c r="J705" s="753"/>
      <c r="K705" s="753"/>
      <c r="L705" s="753"/>
      <c r="M705" s="753"/>
    </row>
    <row r="706" spans="1:13" s="755" customFormat="1">
      <c r="A706" s="753"/>
      <c r="B706" s="753"/>
      <c r="C706" s="753"/>
      <c r="D706" s="753"/>
      <c r="E706" s="753"/>
      <c r="F706" s="753"/>
      <c r="G706" s="753"/>
      <c r="H706" s="753"/>
      <c r="I706" s="753"/>
      <c r="J706" s="753"/>
      <c r="K706" s="753"/>
      <c r="L706" s="753"/>
      <c r="M706" s="753"/>
    </row>
    <row r="707" spans="1:13" s="755" customFormat="1">
      <c r="A707" s="753"/>
      <c r="B707" s="753"/>
      <c r="C707" s="753"/>
      <c r="D707" s="753"/>
      <c r="E707" s="753"/>
      <c r="F707" s="753"/>
      <c r="G707" s="753"/>
      <c r="H707" s="753"/>
      <c r="I707" s="753"/>
      <c r="J707" s="753"/>
      <c r="K707" s="753"/>
      <c r="L707" s="753"/>
      <c r="M707" s="753"/>
    </row>
    <row r="708" spans="1:13" s="755" customFormat="1">
      <c r="A708" s="753"/>
      <c r="B708" s="753"/>
      <c r="C708" s="753"/>
      <c r="D708" s="753"/>
      <c r="E708" s="753"/>
      <c r="F708" s="753"/>
      <c r="G708" s="753"/>
      <c r="H708" s="753"/>
      <c r="I708" s="753"/>
      <c r="J708" s="753"/>
      <c r="K708" s="753"/>
      <c r="L708" s="753"/>
      <c r="M708" s="753"/>
    </row>
    <row r="709" spans="1:13" s="755" customFormat="1">
      <c r="A709" s="753"/>
      <c r="B709" s="753"/>
      <c r="C709" s="753"/>
      <c r="D709" s="753"/>
      <c r="E709" s="753"/>
      <c r="F709" s="753"/>
      <c r="G709" s="753"/>
      <c r="H709" s="753"/>
      <c r="I709" s="753"/>
      <c r="J709" s="753"/>
      <c r="K709" s="753"/>
      <c r="L709" s="753"/>
      <c r="M709" s="753"/>
    </row>
    <row r="710" spans="1:13" s="755" customFormat="1">
      <c r="A710" s="753"/>
      <c r="B710" s="753"/>
      <c r="C710" s="753"/>
      <c r="D710" s="753"/>
      <c r="E710" s="753"/>
      <c r="F710" s="753"/>
      <c r="G710" s="753"/>
      <c r="H710" s="753"/>
      <c r="I710" s="753"/>
      <c r="J710" s="753"/>
      <c r="K710" s="753"/>
      <c r="L710" s="753"/>
      <c r="M710" s="753"/>
    </row>
    <row r="711" spans="1:13" s="755" customFormat="1">
      <c r="A711" s="753"/>
      <c r="B711" s="753"/>
      <c r="C711" s="753"/>
      <c r="D711" s="753"/>
      <c r="E711" s="753"/>
      <c r="F711" s="753"/>
      <c r="G711" s="753"/>
      <c r="H711" s="753"/>
      <c r="I711" s="753"/>
      <c r="J711" s="753"/>
      <c r="K711" s="753"/>
      <c r="L711" s="753"/>
      <c r="M711" s="753"/>
    </row>
    <row r="712" spans="1:13" s="755" customFormat="1">
      <c r="A712" s="753"/>
      <c r="B712" s="753"/>
      <c r="C712" s="753"/>
      <c r="D712" s="753"/>
      <c r="E712" s="753"/>
      <c r="F712" s="753"/>
      <c r="G712" s="753"/>
      <c r="H712" s="753"/>
      <c r="I712" s="753"/>
      <c r="J712" s="753"/>
      <c r="K712" s="753"/>
      <c r="L712" s="753"/>
      <c r="M712" s="753"/>
    </row>
    <row r="713" spans="1:13" s="755" customFormat="1">
      <c r="A713" s="753"/>
      <c r="B713" s="753"/>
      <c r="C713" s="753"/>
      <c r="D713" s="753"/>
      <c r="E713" s="753"/>
      <c r="F713" s="753"/>
      <c r="G713" s="753"/>
      <c r="H713" s="753"/>
      <c r="I713" s="753"/>
      <c r="J713" s="753"/>
      <c r="K713" s="753"/>
      <c r="L713" s="753"/>
      <c r="M713" s="753"/>
    </row>
    <row r="714" spans="1:13" s="755" customFormat="1">
      <c r="A714" s="753"/>
      <c r="B714" s="753"/>
      <c r="C714" s="753"/>
      <c r="D714" s="753"/>
      <c r="E714" s="753"/>
      <c r="F714" s="753"/>
      <c r="G714" s="753"/>
      <c r="H714" s="753"/>
      <c r="I714" s="753"/>
      <c r="J714" s="753"/>
      <c r="K714" s="753"/>
      <c r="L714" s="753"/>
      <c r="M714" s="753"/>
    </row>
    <row r="715" spans="1:13" s="755" customFormat="1">
      <c r="A715" s="753"/>
      <c r="B715" s="753"/>
      <c r="C715" s="753"/>
      <c r="D715" s="753"/>
      <c r="E715" s="753"/>
      <c r="F715" s="753"/>
      <c r="G715" s="753"/>
      <c r="H715" s="753"/>
      <c r="I715" s="753"/>
      <c r="J715" s="753"/>
      <c r="K715" s="753"/>
      <c r="L715" s="753"/>
      <c r="M715" s="753"/>
    </row>
    <row r="716" spans="1:13" s="755" customFormat="1">
      <c r="A716" s="753"/>
      <c r="B716" s="753"/>
      <c r="C716" s="753"/>
      <c r="D716" s="753"/>
      <c r="E716" s="753"/>
      <c r="F716" s="753"/>
      <c r="G716" s="753"/>
      <c r="H716" s="753"/>
      <c r="I716" s="753"/>
      <c r="J716" s="753"/>
      <c r="K716" s="753"/>
      <c r="L716" s="753"/>
      <c r="M716" s="753"/>
    </row>
    <row r="717" spans="1:13" s="755" customFormat="1">
      <c r="A717" s="753"/>
      <c r="B717" s="753"/>
      <c r="C717" s="753"/>
      <c r="D717" s="753"/>
      <c r="E717" s="753"/>
      <c r="F717" s="753"/>
      <c r="G717" s="753"/>
      <c r="H717" s="753"/>
      <c r="I717" s="753"/>
      <c r="J717" s="753"/>
      <c r="K717" s="753"/>
      <c r="L717" s="753"/>
      <c r="M717" s="753"/>
    </row>
    <row r="718" spans="1:13" s="755" customFormat="1">
      <c r="A718" s="753"/>
      <c r="B718" s="753"/>
      <c r="C718" s="753"/>
      <c r="D718" s="753"/>
      <c r="E718" s="753"/>
      <c r="F718" s="753"/>
      <c r="G718" s="753"/>
      <c r="H718" s="753"/>
      <c r="I718" s="753"/>
      <c r="J718" s="753"/>
      <c r="K718" s="753"/>
      <c r="L718" s="753"/>
      <c r="M718" s="753"/>
    </row>
    <row r="719" spans="1:13" s="755" customFormat="1">
      <c r="A719" s="753"/>
      <c r="B719" s="753"/>
      <c r="C719" s="753"/>
      <c r="D719" s="753"/>
      <c r="E719" s="753"/>
      <c r="F719" s="753"/>
      <c r="G719" s="753"/>
      <c r="H719" s="753"/>
      <c r="I719" s="753"/>
      <c r="J719" s="753"/>
      <c r="K719" s="753"/>
      <c r="L719" s="753"/>
      <c r="M719" s="753"/>
    </row>
    <row r="720" spans="1:13" s="755" customFormat="1">
      <c r="A720" s="753"/>
      <c r="B720" s="753"/>
      <c r="C720" s="753"/>
      <c r="D720" s="753"/>
      <c r="E720" s="753"/>
      <c r="F720" s="753"/>
      <c r="G720" s="753"/>
      <c r="H720" s="753"/>
      <c r="I720" s="753"/>
      <c r="J720" s="753"/>
      <c r="K720" s="753"/>
      <c r="L720" s="753"/>
      <c r="M720" s="753"/>
    </row>
    <row r="721" spans="1:13" s="755" customFormat="1">
      <c r="A721" s="753"/>
      <c r="B721" s="753"/>
      <c r="C721" s="753"/>
      <c r="D721" s="753"/>
      <c r="E721" s="753"/>
      <c r="F721" s="753"/>
      <c r="G721" s="753"/>
      <c r="H721" s="753"/>
      <c r="I721" s="753"/>
      <c r="J721" s="753"/>
      <c r="K721" s="753"/>
      <c r="L721" s="753"/>
      <c r="M721" s="753"/>
    </row>
    <row r="722" spans="1:13" s="755" customFormat="1">
      <c r="A722" s="753"/>
      <c r="B722" s="753"/>
      <c r="C722" s="753"/>
      <c r="D722" s="753"/>
      <c r="E722" s="753"/>
      <c r="F722" s="753"/>
      <c r="G722" s="753"/>
      <c r="H722" s="753"/>
      <c r="I722" s="753"/>
      <c r="J722" s="753"/>
      <c r="K722" s="753"/>
      <c r="L722" s="753"/>
      <c r="M722" s="753"/>
    </row>
    <row r="723" spans="1:13" s="755" customFormat="1">
      <c r="A723" s="753"/>
      <c r="B723" s="753"/>
      <c r="C723" s="753"/>
      <c r="D723" s="753"/>
      <c r="E723" s="753"/>
      <c r="F723" s="753"/>
      <c r="G723" s="753"/>
      <c r="H723" s="753"/>
      <c r="I723" s="753"/>
      <c r="J723" s="753"/>
      <c r="K723" s="753"/>
      <c r="L723" s="753"/>
      <c r="M723" s="753"/>
    </row>
    <row r="724" spans="1:13" s="755" customFormat="1">
      <c r="A724" s="753"/>
      <c r="B724" s="753"/>
      <c r="C724" s="753"/>
      <c r="D724" s="753"/>
      <c r="E724" s="753"/>
      <c r="F724" s="753"/>
      <c r="G724" s="753"/>
      <c r="H724" s="753"/>
      <c r="I724" s="753"/>
      <c r="J724" s="753"/>
      <c r="K724" s="753"/>
      <c r="L724" s="753"/>
      <c r="M724" s="753"/>
    </row>
    <row r="725" spans="1:13" s="755" customFormat="1">
      <c r="A725" s="753"/>
      <c r="B725" s="753"/>
      <c r="C725" s="753"/>
      <c r="D725" s="753"/>
      <c r="E725" s="753"/>
      <c r="F725" s="753"/>
      <c r="G725" s="753"/>
      <c r="H725" s="753"/>
      <c r="I725" s="753"/>
      <c r="J725" s="753"/>
      <c r="K725" s="753"/>
      <c r="L725" s="753"/>
      <c r="M725" s="753"/>
    </row>
    <row r="726" spans="1:13" s="755" customFormat="1">
      <c r="A726" s="753"/>
      <c r="B726" s="753"/>
      <c r="C726" s="753"/>
      <c r="D726" s="753"/>
      <c r="E726" s="753"/>
      <c r="F726" s="753"/>
      <c r="G726" s="753"/>
      <c r="H726" s="753"/>
      <c r="I726" s="753"/>
      <c r="J726" s="753"/>
      <c r="K726" s="753"/>
      <c r="L726" s="753"/>
      <c r="M726" s="753"/>
    </row>
    <row r="727" spans="1:13" s="755" customFormat="1">
      <c r="A727" s="753"/>
      <c r="B727" s="753"/>
      <c r="C727" s="753"/>
      <c r="D727" s="753"/>
      <c r="E727" s="753"/>
      <c r="F727" s="753"/>
      <c r="G727" s="753"/>
      <c r="H727" s="753"/>
      <c r="I727" s="753"/>
      <c r="J727" s="753"/>
      <c r="K727" s="753"/>
      <c r="L727" s="753"/>
      <c r="M727" s="753"/>
    </row>
    <row r="728" spans="1:13" s="755" customFormat="1">
      <c r="A728" s="753"/>
      <c r="B728" s="753"/>
      <c r="C728" s="753"/>
      <c r="D728" s="753"/>
      <c r="E728" s="753"/>
      <c r="F728" s="753"/>
      <c r="G728" s="753"/>
      <c r="H728" s="753"/>
      <c r="I728" s="753"/>
      <c r="J728" s="753"/>
      <c r="K728" s="753"/>
      <c r="L728" s="753"/>
      <c r="M728" s="753"/>
    </row>
    <row r="729" spans="1:13" s="755" customFormat="1">
      <c r="A729" s="753"/>
      <c r="B729" s="753"/>
      <c r="C729" s="753"/>
      <c r="D729" s="753"/>
      <c r="E729" s="753"/>
      <c r="F729" s="753"/>
      <c r="G729" s="753"/>
      <c r="H729" s="753"/>
      <c r="I729" s="753"/>
      <c r="J729" s="753"/>
      <c r="K729" s="753"/>
      <c r="L729" s="753"/>
      <c r="M729" s="753"/>
    </row>
    <row r="730" spans="1:13" s="755" customFormat="1">
      <c r="A730" s="753"/>
      <c r="B730" s="753"/>
      <c r="C730" s="753"/>
      <c r="D730" s="753"/>
      <c r="E730" s="753"/>
      <c r="F730" s="753"/>
      <c r="G730" s="753"/>
      <c r="H730" s="753"/>
      <c r="I730" s="753"/>
      <c r="J730" s="753"/>
      <c r="K730" s="753"/>
      <c r="L730" s="753"/>
      <c r="M730" s="753"/>
    </row>
    <row r="731" spans="1:13" s="755" customFormat="1">
      <c r="A731" s="753"/>
      <c r="B731" s="753"/>
      <c r="C731" s="753"/>
      <c r="D731" s="753"/>
      <c r="E731" s="753"/>
      <c r="F731" s="753"/>
      <c r="G731" s="753"/>
      <c r="H731" s="753"/>
      <c r="I731" s="753"/>
      <c r="J731" s="753"/>
      <c r="K731" s="753"/>
      <c r="L731" s="753"/>
      <c r="M731" s="753"/>
    </row>
    <row r="732" spans="1:13" s="755" customFormat="1">
      <c r="A732" s="753"/>
      <c r="B732" s="753"/>
      <c r="C732" s="753"/>
      <c r="D732" s="753"/>
      <c r="E732" s="753"/>
      <c r="F732" s="753"/>
      <c r="G732" s="753"/>
      <c r="H732" s="753"/>
      <c r="I732" s="753"/>
      <c r="J732" s="753"/>
      <c r="K732" s="753"/>
      <c r="L732" s="753"/>
      <c r="M732" s="753"/>
    </row>
    <row r="733" spans="1:13" s="755" customFormat="1">
      <c r="A733" s="753"/>
      <c r="B733" s="753"/>
      <c r="C733" s="753"/>
      <c r="D733" s="753"/>
      <c r="E733" s="753"/>
      <c r="F733" s="753"/>
      <c r="G733" s="753"/>
      <c r="H733" s="753"/>
      <c r="I733" s="753"/>
      <c r="J733" s="753"/>
      <c r="K733" s="753"/>
      <c r="L733" s="753"/>
      <c r="M733" s="753"/>
    </row>
    <row r="734" spans="1:13" s="755" customFormat="1">
      <c r="A734" s="753"/>
      <c r="B734" s="753"/>
      <c r="C734" s="753"/>
      <c r="D734" s="753"/>
      <c r="E734" s="753"/>
      <c r="F734" s="753"/>
      <c r="G734" s="753"/>
      <c r="H734" s="753"/>
      <c r="I734" s="753"/>
      <c r="J734" s="753"/>
      <c r="K734" s="753"/>
      <c r="L734" s="753"/>
      <c r="M734" s="753"/>
    </row>
    <row r="735" spans="1:13" s="755" customFormat="1">
      <c r="A735" s="753"/>
      <c r="B735" s="753"/>
      <c r="C735" s="753"/>
      <c r="D735" s="753"/>
      <c r="E735" s="753"/>
      <c r="F735" s="753"/>
      <c r="G735" s="753"/>
      <c r="H735" s="753"/>
      <c r="I735" s="753"/>
      <c r="J735" s="753"/>
      <c r="K735" s="753"/>
      <c r="L735" s="753"/>
      <c r="M735" s="753"/>
    </row>
    <row r="736" spans="1:13" s="755" customFormat="1">
      <c r="A736" s="753"/>
      <c r="B736" s="753"/>
      <c r="C736" s="753"/>
      <c r="D736" s="753"/>
      <c r="E736" s="753"/>
      <c r="F736" s="753"/>
      <c r="G736" s="753"/>
      <c r="H736" s="753"/>
      <c r="I736" s="753"/>
      <c r="J736" s="753"/>
      <c r="K736" s="753"/>
      <c r="L736" s="753"/>
      <c r="M736" s="753"/>
    </row>
    <row r="737" spans="1:13" s="755" customFormat="1">
      <c r="A737" s="753"/>
      <c r="B737" s="753"/>
      <c r="C737" s="753"/>
      <c r="D737" s="753"/>
      <c r="E737" s="753"/>
      <c r="F737" s="753"/>
      <c r="G737" s="753"/>
      <c r="H737" s="753"/>
      <c r="I737" s="753"/>
      <c r="J737" s="753"/>
      <c r="K737" s="753"/>
      <c r="L737" s="753"/>
      <c r="M737" s="753"/>
    </row>
    <row r="738" spans="1:13" s="755" customFormat="1">
      <c r="A738" s="753"/>
      <c r="B738" s="753"/>
      <c r="C738" s="753"/>
      <c r="D738" s="753"/>
      <c r="E738" s="753"/>
      <c r="F738" s="753"/>
      <c r="G738" s="753"/>
      <c r="H738" s="753"/>
      <c r="I738" s="753"/>
      <c r="J738" s="753"/>
      <c r="K738" s="753"/>
      <c r="L738" s="753"/>
      <c r="M738" s="753"/>
    </row>
    <row r="739" spans="1:13" s="755" customFormat="1">
      <c r="A739" s="753"/>
      <c r="B739" s="753"/>
      <c r="C739" s="753"/>
      <c r="D739" s="753"/>
      <c r="E739" s="753"/>
      <c r="F739" s="753"/>
      <c r="G739" s="753"/>
      <c r="H739" s="753"/>
      <c r="I739" s="753"/>
      <c r="J739" s="753"/>
      <c r="K739" s="753"/>
      <c r="L739" s="753"/>
      <c r="M739" s="753"/>
    </row>
    <row r="740" spans="1:13" s="755" customFormat="1">
      <c r="A740" s="753"/>
      <c r="B740" s="753"/>
      <c r="C740" s="753"/>
      <c r="D740" s="753"/>
      <c r="E740" s="753"/>
      <c r="F740" s="753"/>
      <c r="G740" s="753"/>
      <c r="H740" s="753"/>
      <c r="I740" s="753"/>
      <c r="J740" s="753"/>
      <c r="K740" s="753"/>
      <c r="L740" s="753"/>
      <c r="M740" s="753"/>
    </row>
    <row r="741" spans="1:13" s="755" customFormat="1">
      <c r="A741" s="753"/>
      <c r="B741" s="753"/>
      <c r="C741" s="753"/>
      <c r="D741" s="753"/>
      <c r="E741" s="753"/>
      <c r="F741" s="753"/>
      <c r="G741" s="753"/>
      <c r="H741" s="753"/>
      <c r="I741" s="753"/>
      <c r="J741" s="753"/>
      <c r="K741" s="753"/>
      <c r="L741" s="753"/>
      <c r="M741" s="753"/>
    </row>
    <row r="742" spans="1:13" s="755" customFormat="1">
      <c r="A742" s="753"/>
      <c r="B742" s="753"/>
      <c r="C742" s="753"/>
      <c r="D742" s="753"/>
      <c r="E742" s="753"/>
      <c r="F742" s="753"/>
      <c r="G742" s="753"/>
      <c r="H742" s="753"/>
      <c r="I742" s="753"/>
      <c r="J742" s="753"/>
      <c r="K742" s="753"/>
      <c r="L742" s="753"/>
      <c r="M742" s="753"/>
    </row>
    <row r="743" spans="1:13" s="755" customFormat="1">
      <c r="A743" s="753"/>
      <c r="B743" s="753"/>
      <c r="C743" s="753"/>
      <c r="D743" s="753"/>
      <c r="E743" s="753"/>
      <c r="F743" s="753"/>
      <c r="G743" s="753"/>
      <c r="H743" s="753"/>
      <c r="I743" s="753"/>
      <c r="J743" s="753"/>
      <c r="K743" s="753"/>
      <c r="L743" s="753"/>
      <c r="M743" s="753"/>
    </row>
    <row r="744" spans="1:13" s="755" customFormat="1">
      <c r="A744" s="753"/>
      <c r="B744" s="753"/>
      <c r="C744" s="753"/>
      <c r="D744" s="753"/>
      <c r="E744" s="753"/>
      <c r="F744" s="753"/>
      <c r="G744" s="753"/>
      <c r="H744" s="753"/>
      <c r="I744" s="753"/>
      <c r="J744" s="753"/>
      <c r="K744" s="753"/>
      <c r="L744" s="753"/>
      <c r="M744" s="753"/>
    </row>
    <row r="745" spans="1:13" s="755" customFormat="1">
      <c r="A745" s="753"/>
      <c r="B745" s="753"/>
      <c r="C745" s="753"/>
      <c r="D745" s="753"/>
      <c r="E745" s="753"/>
      <c r="F745" s="753"/>
      <c r="G745" s="753"/>
      <c r="H745" s="753"/>
      <c r="I745" s="753"/>
      <c r="J745" s="753"/>
      <c r="K745" s="753"/>
      <c r="L745" s="753"/>
      <c r="M745" s="753"/>
    </row>
    <row r="746" spans="1:13" s="755" customFormat="1">
      <c r="A746" s="753"/>
      <c r="B746" s="753"/>
      <c r="C746" s="753"/>
      <c r="D746" s="753"/>
      <c r="E746" s="753"/>
      <c r="F746" s="753"/>
      <c r="G746" s="753"/>
      <c r="H746" s="753"/>
      <c r="I746" s="753"/>
      <c r="J746" s="753"/>
      <c r="K746" s="753"/>
      <c r="L746" s="753"/>
      <c r="M746" s="753"/>
    </row>
    <row r="747" spans="1:13" s="755" customFormat="1">
      <c r="A747" s="753"/>
      <c r="B747" s="753"/>
      <c r="C747" s="753"/>
      <c r="D747" s="753"/>
      <c r="E747" s="753"/>
      <c r="F747" s="753"/>
      <c r="G747" s="753"/>
      <c r="H747" s="753"/>
      <c r="I747" s="753"/>
      <c r="J747" s="753"/>
      <c r="K747" s="753"/>
      <c r="L747" s="753"/>
      <c r="M747" s="753"/>
    </row>
    <row r="748" spans="1:13" s="755" customFormat="1">
      <c r="A748" s="753"/>
      <c r="B748" s="753"/>
      <c r="C748" s="753"/>
      <c r="D748" s="753"/>
      <c r="E748" s="753"/>
      <c r="F748" s="753"/>
      <c r="G748" s="753"/>
      <c r="H748" s="753"/>
      <c r="I748" s="753"/>
      <c r="J748" s="753"/>
      <c r="K748" s="753"/>
      <c r="L748" s="753"/>
      <c r="M748" s="753"/>
    </row>
    <row r="749" spans="1:13" s="755" customFormat="1">
      <c r="A749" s="753"/>
      <c r="B749" s="753"/>
      <c r="C749" s="753"/>
      <c r="D749" s="753"/>
      <c r="E749" s="753"/>
      <c r="F749" s="753"/>
      <c r="G749" s="753"/>
      <c r="H749" s="753"/>
      <c r="I749" s="753"/>
      <c r="J749" s="753"/>
      <c r="K749" s="753"/>
      <c r="L749" s="753"/>
      <c r="M749" s="753"/>
    </row>
    <row r="750" spans="1:13" s="755" customFormat="1">
      <c r="A750" s="753"/>
      <c r="B750" s="753"/>
      <c r="C750" s="753"/>
      <c r="D750" s="753"/>
      <c r="E750" s="753"/>
      <c r="F750" s="753"/>
      <c r="G750" s="753"/>
      <c r="H750" s="753"/>
      <c r="I750" s="753"/>
      <c r="J750" s="753"/>
      <c r="K750" s="753"/>
      <c r="L750" s="753"/>
      <c r="M750" s="753"/>
    </row>
    <row r="751" spans="1:13" s="755" customFormat="1">
      <c r="A751" s="753"/>
      <c r="B751" s="753"/>
      <c r="C751" s="753"/>
      <c r="D751" s="753"/>
      <c r="E751" s="753"/>
      <c r="F751" s="753"/>
      <c r="G751" s="753"/>
      <c r="H751" s="753"/>
      <c r="I751" s="753"/>
      <c r="J751" s="753"/>
      <c r="K751" s="753"/>
      <c r="L751" s="753"/>
      <c r="M751" s="753"/>
    </row>
    <row r="752" spans="1:13" s="755" customFormat="1">
      <c r="A752" s="753"/>
      <c r="B752" s="753"/>
      <c r="C752" s="753"/>
      <c r="D752" s="753"/>
      <c r="E752" s="753"/>
      <c r="F752" s="753"/>
      <c r="G752" s="753"/>
      <c r="H752" s="753"/>
      <c r="I752" s="753"/>
      <c r="J752" s="753"/>
      <c r="K752" s="753"/>
      <c r="L752" s="753"/>
      <c r="M752" s="753"/>
    </row>
    <row r="753" spans="1:13" s="755" customFormat="1">
      <c r="A753" s="753"/>
      <c r="B753" s="753"/>
      <c r="C753" s="753"/>
      <c r="D753" s="753"/>
      <c r="E753" s="753"/>
      <c r="F753" s="753"/>
      <c r="G753" s="753"/>
      <c r="H753" s="753"/>
      <c r="I753" s="753"/>
      <c r="J753" s="753"/>
      <c r="K753" s="753"/>
      <c r="L753" s="753"/>
      <c r="M753" s="753"/>
    </row>
    <row r="754" spans="1:13" s="755" customFormat="1">
      <c r="A754" s="753"/>
      <c r="B754" s="753"/>
      <c r="C754" s="753"/>
      <c r="D754" s="753"/>
      <c r="E754" s="753"/>
      <c r="F754" s="753"/>
      <c r="G754" s="753"/>
      <c r="H754" s="753"/>
      <c r="I754" s="753"/>
      <c r="J754" s="753"/>
      <c r="K754" s="753"/>
      <c r="L754" s="753"/>
      <c r="M754" s="753"/>
    </row>
    <row r="755" spans="1:13" s="755" customFormat="1">
      <c r="A755" s="753"/>
      <c r="B755" s="753"/>
      <c r="C755" s="753"/>
      <c r="D755" s="753"/>
      <c r="E755" s="753"/>
      <c r="F755" s="753"/>
      <c r="G755" s="753"/>
      <c r="H755" s="753"/>
      <c r="I755" s="753"/>
      <c r="J755" s="753"/>
      <c r="K755" s="753"/>
      <c r="L755" s="753"/>
      <c r="M755" s="753"/>
    </row>
    <row r="756" spans="1:13" s="755" customFormat="1">
      <c r="A756" s="753"/>
      <c r="B756" s="753"/>
      <c r="C756" s="753"/>
      <c r="D756" s="753"/>
      <c r="E756" s="753"/>
      <c r="F756" s="753"/>
      <c r="G756" s="753"/>
      <c r="H756" s="753"/>
      <c r="I756" s="753"/>
      <c r="J756" s="753"/>
      <c r="K756" s="753"/>
      <c r="L756" s="753"/>
      <c r="M756" s="753"/>
    </row>
    <row r="757" spans="1:13" s="755" customFormat="1">
      <c r="A757" s="753"/>
      <c r="B757" s="753"/>
      <c r="C757" s="753"/>
      <c r="D757" s="753"/>
      <c r="E757" s="753"/>
      <c r="F757" s="753"/>
      <c r="G757" s="753"/>
      <c r="H757" s="753"/>
      <c r="I757" s="753"/>
      <c r="J757" s="753"/>
      <c r="K757" s="753"/>
      <c r="L757" s="753"/>
      <c r="M757" s="753"/>
    </row>
    <row r="758" spans="1:13" s="755" customFormat="1">
      <c r="A758" s="753"/>
      <c r="B758" s="753"/>
      <c r="C758" s="753"/>
      <c r="D758" s="753"/>
      <c r="E758" s="753"/>
      <c r="F758" s="753"/>
      <c r="G758" s="753"/>
      <c r="H758" s="753"/>
      <c r="I758" s="753"/>
      <c r="J758" s="753"/>
      <c r="K758" s="753"/>
      <c r="L758" s="753"/>
      <c r="M758" s="753"/>
    </row>
    <row r="759" spans="1:13" s="755" customFormat="1">
      <c r="A759" s="753"/>
      <c r="B759" s="753"/>
      <c r="C759" s="753"/>
      <c r="D759" s="753"/>
      <c r="E759" s="753"/>
      <c r="F759" s="753"/>
      <c r="G759" s="753"/>
      <c r="H759" s="753"/>
      <c r="I759" s="753"/>
      <c r="J759" s="753"/>
      <c r="K759" s="753"/>
      <c r="L759" s="753"/>
      <c r="M759" s="753"/>
    </row>
    <row r="760" spans="1:13" s="755" customFormat="1">
      <c r="A760" s="753"/>
      <c r="B760" s="753"/>
      <c r="C760" s="753"/>
      <c r="D760" s="753"/>
      <c r="E760" s="753"/>
      <c r="F760" s="753"/>
      <c r="G760" s="753"/>
      <c r="H760" s="753"/>
      <c r="I760" s="753"/>
      <c r="J760" s="753"/>
      <c r="K760" s="753"/>
      <c r="L760" s="753"/>
      <c r="M760" s="753"/>
    </row>
    <row r="761" spans="1:13" s="755" customFormat="1">
      <c r="A761" s="753"/>
      <c r="B761" s="753"/>
      <c r="C761" s="753"/>
      <c r="D761" s="753"/>
      <c r="E761" s="753"/>
      <c r="F761" s="753"/>
      <c r="G761" s="753"/>
      <c r="H761" s="753"/>
      <c r="I761" s="753"/>
      <c r="J761" s="753"/>
      <c r="K761" s="753"/>
      <c r="L761" s="753"/>
      <c r="M761" s="753"/>
    </row>
    <row r="762" spans="1:13" s="755" customFormat="1">
      <c r="A762" s="753"/>
      <c r="B762" s="753"/>
      <c r="C762" s="753"/>
      <c r="D762" s="753"/>
      <c r="E762" s="753"/>
      <c r="F762" s="753"/>
      <c r="G762" s="753"/>
      <c r="H762" s="753"/>
      <c r="I762" s="753"/>
      <c r="J762" s="753"/>
      <c r="K762" s="753"/>
      <c r="L762" s="753"/>
      <c r="M762" s="753"/>
    </row>
    <row r="763" spans="1:13" s="755" customFormat="1">
      <c r="A763" s="753"/>
      <c r="B763" s="753"/>
      <c r="C763" s="753"/>
      <c r="D763" s="753"/>
      <c r="E763" s="753"/>
      <c r="F763" s="753"/>
      <c r="G763" s="753"/>
      <c r="H763" s="753"/>
      <c r="I763" s="753"/>
      <c r="J763" s="753"/>
      <c r="K763" s="753"/>
      <c r="L763" s="753"/>
      <c r="M763" s="753"/>
    </row>
    <row r="764" spans="1:13" s="755" customFormat="1">
      <c r="A764" s="753"/>
      <c r="B764" s="753"/>
      <c r="C764" s="753"/>
      <c r="D764" s="753"/>
      <c r="E764" s="753"/>
      <c r="F764" s="753"/>
      <c r="G764" s="753"/>
      <c r="H764" s="753"/>
      <c r="I764" s="753"/>
      <c r="J764" s="753"/>
      <c r="K764" s="753"/>
      <c r="L764" s="753"/>
      <c r="M764" s="753"/>
    </row>
    <row r="765" spans="1:13" s="755" customFormat="1">
      <c r="A765" s="753"/>
      <c r="B765" s="753"/>
      <c r="C765" s="753"/>
      <c r="D765" s="753"/>
      <c r="E765" s="753"/>
      <c r="F765" s="753"/>
      <c r="G765" s="753"/>
      <c r="H765" s="753"/>
      <c r="I765" s="753"/>
      <c r="J765" s="753"/>
      <c r="K765" s="753"/>
      <c r="L765" s="753"/>
      <c r="M765" s="753"/>
    </row>
    <row r="766" spans="1:13" s="755" customFormat="1">
      <c r="A766" s="753"/>
      <c r="B766" s="753"/>
      <c r="C766" s="753"/>
      <c r="D766" s="753"/>
      <c r="E766" s="753"/>
      <c r="F766" s="753"/>
      <c r="G766" s="753"/>
      <c r="H766" s="753"/>
      <c r="I766" s="753"/>
      <c r="J766" s="753"/>
      <c r="K766" s="753"/>
      <c r="L766" s="753"/>
      <c r="M766" s="753"/>
    </row>
    <row r="767" spans="1:13" s="755" customFormat="1">
      <c r="A767" s="753"/>
      <c r="B767" s="753"/>
      <c r="C767" s="753"/>
      <c r="D767" s="753"/>
      <c r="E767" s="753"/>
      <c r="F767" s="753"/>
      <c r="G767" s="753"/>
      <c r="H767" s="753"/>
      <c r="I767" s="753"/>
      <c r="J767" s="753"/>
      <c r="K767" s="753"/>
      <c r="L767" s="753"/>
      <c r="M767" s="753"/>
    </row>
    <row r="768" spans="1:13" s="755" customFormat="1">
      <c r="A768" s="753"/>
      <c r="B768" s="753"/>
      <c r="C768" s="753"/>
      <c r="D768" s="753"/>
      <c r="E768" s="753"/>
      <c r="F768" s="753"/>
      <c r="G768" s="753"/>
      <c r="H768" s="753"/>
      <c r="I768" s="753"/>
      <c r="J768" s="753"/>
      <c r="K768" s="753"/>
      <c r="L768" s="753"/>
      <c r="M768" s="753"/>
    </row>
    <row r="769" spans="1:13" s="755" customFormat="1">
      <c r="A769" s="753"/>
      <c r="B769" s="753"/>
      <c r="C769" s="753"/>
      <c r="D769" s="753"/>
      <c r="E769" s="753"/>
      <c r="F769" s="753"/>
      <c r="G769" s="753"/>
      <c r="H769" s="753"/>
      <c r="I769" s="753"/>
      <c r="J769" s="753"/>
      <c r="K769" s="753"/>
      <c r="L769" s="753"/>
      <c r="M769" s="753"/>
    </row>
    <row r="770" spans="1:13" s="755" customFormat="1">
      <c r="A770" s="753"/>
      <c r="B770" s="753"/>
      <c r="C770" s="753"/>
      <c r="D770" s="753"/>
      <c r="E770" s="753"/>
      <c r="F770" s="753"/>
      <c r="G770" s="753"/>
      <c r="H770" s="753"/>
      <c r="I770" s="753"/>
      <c r="J770" s="753"/>
      <c r="K770" s="753"/>
      <c r="L770" s="753"/>
      <c r="M770" s="753"/>
    </row>
    <row r="771" spans="1:13" s="755" customFormat="1">
      <c r="A771" s="753"/>
      <c r="B771" s="753"/>
      <c r="C771" s="753"/>
      <c r="D771" s="753"/>
      <c r="E771" s="753"/>
      <c r="F771" s="753"/>
      <c r="G771" s="753"/>
      <c r="H771" s="753"/>
      <c r="I771" s="753"/>
      <c r="J771" s="753"/>
      <c r="K771" s="753"/>
      <c r="L771" s="753"/>
      <c r="M771" s="753"/>
    </row>
    <row r="772" spans="1:13" s="755" customFormat="1">
      <c r="A772" s="816"/>
      <c r="B772" s="753"/>
      <c r="C772" s="753"/>
      <c r="D772" s="753"/>
      <c r="E772" s="753"/>
      <c r="F772" s="753"/>
      <c r="G772" s="753"/>
      <c r="H772" s="753"/>
      <c r="I772" s="753"/>
      <c r="J772" s="753"/>
      <c r="K772" s="753"/>
      <c r="L772" s="753"/>
      <c r="M772" s="753"/>
    </row>
    <row r="773" spans="1:13" s="755" customFormat="1">
      <c r="A773" s="816"/>
      <c r="B773" s="753"/>
      <c r="C773" s="753"/>
      <c r="D773" s="753"/>
      <c r="E773" s="753"/>
      <c r="F773" s="753"/>
      <c r="G773" s="753"/>
      <c r="H773" s="753"/>
      <c r="I773" s="753"/>
      <c r="J773" s="753"/>
      <c r="K773" s="753"/>
      <c r="L773" s="753"/>
      <c r="M773" s="753"/>
    </row>
    <row r="774" spans="1:13" s="755" customFormat="1">
      <c r="A774" s="816"/>
      <c r="B774" s="753"/>
      <c r="C774" s="753"/>
      <c r="D774" s="753"/>
      <c r="E774" s="753"/>
      <c r="F774" s="753"/>
      <c r="G774" s="753"/>
      <c r="H774" s="753"/>
      <c r="I774" s="753"/>
      <c r="J774" s="753"/>
      <c r="K774" s="753"/>
      <c r="L774" s="753"/>
      <c r="M774" s="753"/>
    </row>
    <row r="775" spans="1:13" s="755" customFormat="1">
      <c r="A775" s="816"/>
      <c r="B775" s="753"/>
      <c r="C775" s="753"/>
      <c r="D775" s="753"/>
      <c r="E775" s="753"/>
      <c r="F775" s="753"/>
      <c r="G775" s="753"/>
      <c r="H775" s="753"/>
      <c r="I775" s="753"/>
      <c r="J775" s="753"/>
      <c r="K775" s="753"/>
      <c r="L775" s="753"/>
      <c r="M775" s="753"/>
    </row>
    <row r="776" spans="1:13" s="755" customFormat="1">
      <c r="A776" s="816"/>
      <c r="B776" s="753"/>
      <c r="C776" s="753"/>
      <c r="D776" s="753"/>
      <c r="E776" s="753"/>
      <c r="F776" s="753"/>
      <c r="G776" s="753"/>
      <c r="H776" s="753"/>
      <c r="I776" s="753"/>
      <c r="J776" s="753"/>
      <c r="K776" s="753"/>
      <c r="L776" s="753"/>
      <c r="M776" s="753"/>
    </row>
    <row r="777" spans="1:13" s="755" customFormat="1">
      <c r="A777" s="816"/>
      <c r="B777" s="753"/>
      <c r="C777" s="753"/>
      <c r="D777" s="753"/>
      <c r="E777" s="753"/>
      <c r="F777" s="753"/>
      <c r="G777" s="753"/>
      <c r="H777" s="753"/>
      <c r="I777" s="753"/>
      <c r="J777" s="753"/>
      <c r="K777" s="753"/>
      <c r="L777" s="753"/>
      <c r="M777" s="753"/>
    </row>
    <row r="778" spans="1:13" s="755" customFormat="1">
      <c r="A778" s="816"/>
      <c r="B778" s="753"/>
      <c r="C778" s="753"/>
      <c r="D778" s="753"/>
      <c r="E778" s="753"/>
      <c r="F778" s="753"/>
      <c r="G778" s="753"/>
      <c r="H778" s="753"/>
      <c r="I778" s="753"/>
      <c r="J778" s="753"/>
      <c r="K778" s="753"/>
      <c r="L778" s="753"/>
      <c r="M778" s="753"/>
    </row>
    <row r="779" spans="1:13" s="755" customFormat="1">
      <c r="A779" s="816"/>
      <c r="B779" s="753"/>
      <c r="C779" s="753"/>
      <c r="D779" s="753"/>
      <c r="E779" s="753"/>
      <c r="F779" s="753"/>
      <c r="G779" s="753"/>
      <c r="H779" s="753"/>
      <c r="I779" s="753"/>
      <c r="J779" s="753"/>
      <c r="K779" s="753"/>
      <c r="L779" s="753"/>
      <c r="M779" s="753"/>
    </row>
    <row r="780" spans="1:13" s="755" customFormat="1">
      <c r="A780" s="816"/>
      <c r="B780" s="753"/>
      <c r="C780" s="753"/>
      <c r="D780" s="753"/>
      <c r="E780" s="753"/>
      <c r="F780" s="753"/>
      <c r="G780" s="753"/>
      <c r="H780" s="753"/>
      <c r="I780" s="753"/>
      <c r="J780" s="753"/>
      <c r="K780" s="753"/>
      <c r="L780" s="753"/>
      <c r="M780" s="753"/>
    </row>
    <row r="781" spans="1:13" s="755" customFormat="1">
      <c r="A781" s="816"/>
      <c r="B781" s="753"/>
      <c r="C781" s="753"/>
      <c r="D781" s="753"/>
      <c r="E781" s="753"/>
      <c r="F781" s="753"/>
      <c r="G781" s="753"/>
      <c r="H781" s="753"/>
      <c r="I781" s="753"/>
      <c r="J781" s="753"/>
      <c r="K781" s="753"/>
      <c r="L781" s="753"/>
      <c r="M781" s="753"/>
    </row>
    <row r="782" spans="1:13" s="755" customFormat="1">
      <c r="A782" s="816"/>
      <c r="B782" s="753"/>
      <c r="C782" s="753"/>
      <c r="D782" s="753"/>
      <c r="E782" s="753"/>
      <c r="F782" s="753"/>
      <c r="G782" s="753"/>
      <c r="H782" s="753"/>
      <c r="I782" s="753"/>
      <c r="J782" s="753"/>
      <c r="K782" s="753"/>
      <c r="L782" s="753"/>
      <c r="M782" s="753"/>
    </row>
    <row r="783" spans="1:13" s="755" customFormat="1">
      <c r="A783" s="816"/>
      <c r="B783" s="753"/>
      <c r="C783" s="753"/>
      <c r="D783" s="753"/>
      <c r="E783" s="753"/>
      <c r="F783" s="753"/>
      <c r="G783" s="753"/>
      <c r="H783" s="753"/>
      <c r="I783" s="753"/>
      <c r="J783" s="753"/>
      <c r="K783" s="753"/>
      <c r="L783" s="753"/>
      <c r="M783" s="753"/>
    </row>
    <row r="784" spans="1:13" s="755" customFormat="1">
      <c r="A784" s="816"/>
      <c r="B784" s="753"/>
      <c r="C784" s="753"/>
      <c r="D784" s="753"/>
      <c r="E784" s="753"/>
      <c r="F784" s="753"/>
      <c r="G784" s="753"/>
      <c r="H784" s="753"/>
      <c r="I784" s="753"/>
      <c r="J784" s="753"/>
      <c r="K784" s="753"/>
      <c r="L784" s="753"/>
      <c r="M784" s="753"/>
    </row>
    <row r="785" spans="1:13" s="755" customFormat="1">
      <c r="A785" s="816"/>
      <c r="B785" s="753"/>
      <c r="C785" s="753"/>
      <c r="D785" s="753"/>
      <c r="E785" s="753"/>
      <c r="F785" s="753"/>
      <c r="G785" s="753"/>
      <c r="H785" s="753"/>
      <c r="I785" s="753"/>
      <c r="J785" s="753"/>
      <c r="K785" s="753"/>
      <c r="L785" s="753"/>
      <c r="M785" s="753"/>
    </row>
    <row r="786" spans="1:13" s="755" customFormat="1">
      <c r="A786" s="816"/>
      <c r="B786" s="753"/>
      <c r="C786" s="753"/>
      <c r="D786" s="753"/>
      <c r="E786" s="753"/>
      <c r="F786" s="753"/>
      <c r="G786" s="753"/>
      <c r="H786" s="753"/>
      <c r="I786" s="753"/>
      <c r="J786" s="753"/>
      <c r="K786" s="753"/>
      <c r="L786" s="753"/>
      <c r="M786" s="753"/>
    </row>
    <row r="787" spans="1:13" s="755" customFormat="1">
      <c r="A787" s="816"/>
      <c r="B787" s="753"/>
      <c r="C787" s="753"/>
      <c r="D787" s="753"/>
      <c r="E787" s="753"/>
      <c r="F787" s="753"/>
      <c r="G787" s="753"/>
      <c r="H787" s="753"/>
      <c r="I787" s="753"/>
      <c r="J787" s="753"/>
      <c r="K787" s="753"/>
      <c r="L787" s="753"/>
      <c r="M787" s="753"/>
    </row>
    <row r="788" spans="1:13" s="755" customFormat="1">
      <c r="A788" s="816"/>
      <c r="B788" s="753"/>
      <c r="C788" s="753"/>
      <c r="D788" s="753"/>
      <c r="E788" s="753"/>
      <c r="F788" s="753"/>
      <c r="G788" s="753"/>
      <c r="H788" s="753"/>
      <c r="I788" s="753"/>
      <c r="J788" s="753"/>
      <c r="K788" s="753"/>
      <c r="L788" s="753"/>
      <c r="M788" s="753"/>
    </row>
    <row r="789" spans="1:13" s="755" customFormat="1">
      <c r="A789" s="816"/>
      <c r="B789" s="753"/>
      <c r="C789" s="753"/>
      <c r="D789" s="753"/>
      <c r="E789" s="753"/>
      <c r="F789" s="753"/>
      <c r="G789" s="753"/>
      <c r="H789" s="753"/>
      <c r="I789" s="753"/>
      <c r="J789" s="753"/>
      <c r="K789" s="753"/>
      <c r="L789" s="753"/>
      <c r="M789" s="753"/>
    </row>
    <row r="790" spans="1:13" s="755" customFormat="1">
      <c r="A790" s="816"/>
      <c r="B790" s="753"/>
      <c r="C790" s="753"/>
      <c r="D790" s="753"/>
      <c r="E790" s="753"/>
      <c r="F790" s="753"/>
      <c r="G790" s="753"/>
      <c r="H790" s="753"/>
      <c r="I790" s="753"/>
      <c r="J790" s="753"/>
      <c r="K790" s="753"/>
      <c r="L790" s="753"/>
      <c r="M790" s="753"/>
    </row>
    <row r="791" spans="1:13" s="755" customFormat="1">
      <c r="A791" s="816"/>
      <c r="B791" s="753"/>
      <c r="C791" s="753"/>
      <c r="D791" s="753"/>
      <c r="E791" s="753"/>
      <c r="F791" s="753"/>
      <c r="G791" s="753"/>
      <c r="H791" s="753"/>
      <c r="I791" s="753"/>
      <c r="J791" s="753"/>
      <c r="K791" s="753"/>
      <c r="L791" s="753"/>
      <c r="M791" s="753"/>
    </row>
    <row r="792" spans="1:13" s="755" customFormat="1">
      <c r="A792" s="816"/>
      <c r="B792" s="753"/>
      <c r="C792" s="753"/>
      <c r="D792" s="753"/>
      <c r="E792" s="753"/>
      <c r="F792" s="753"/>
      <c r="G792" s="753"/>
      <c r="H792" s="753"/>
      <c r="I792" s="753"/>
      <c r="J792" s="753"/>
      <c r="K792" s="753"/>
      <c r="L792" s="753"/>
      <c r="M792" s="753"/>
    </row>
    <row r="793" spans="1:13" s="755" customFormat="1">
      <c r="A793" s="816"/>
      <c r="B793" s="753"/>
      <c r="C793" s="753"/>
      <c r="D793" s="753"/>
      <c r="E793" s="753"/>
      <c r="F793" s="753"/>
      <c r="G793" s="753"/>
      <c r="H793" s="753"/>
      <c r="I793" s="753"/>
      <c r="J793" s="753"/>
      <c r="K793" s="753"/>
      <c r="L793" s="753"/>
      <c r="M793" s="753"/>
    </row>
    <row r="794" spans="1:13" s="755" customFormat="1">
      <c r="A794" s="816"/>
      <c r="B794" s="753"/>
      <c r="C794" s="753"/>
      <c r="D794" s="753"/>
      <c r="E794" s="753"/>
      <c r="F794" s="753"/>
      <c r="G794" s="753"/>
      <c r="H794" s="753"/>
      <c r="I794" s="753"/>
      <c r="J794" s="753"/>
      <c r="K794" s="753"/>
      <c r="L794" s="753"/>
      <c r="M794" s="753"/>
    </row>
    <row r="795" spans="1:13" s="755" customFormat="1">
      <c r="A795" s="816"/>
      <c r="B795" s="753"/>
      <c r="C795" s="753"/>
      <c r="D795" s="753"/>
      <c r="E795" s="753"/>
      <c r="F795" s="753"/>
      <c r="G795" s="753"/>
      <c r="H795" s="753"/>
      <c r="I795" s="753"/>
      <c r="J795" s="753"/>
      <c r="K795" s="753"/>
      <c r="L795" s="753"/>
      <c r="M795" s="753"/>
    </row>
    <row r="796" spans="1:13" s="755" customFormat="1">
      <c r="A796" s="816"/>
      <c r="B796" s="753"/>
      <c r="C796" s="753"/>
      <c r="D796" s="753"/>
      <c r="E796" s="753"/>
      <c r="F796" s="753"/>
      <c r="G796" s="753"/>
      <c r="H796" s="753"/>
      <c r="I796" s="753"/>
      <c r="J796" s="753"/>
      <c r="K796" s="753"/>
      <c r="L796" s="753"/>
      <c r="M796" s="753"/>
    </row>
    <row r="797" spans="1:13" s="755" customFormat="1">
      <c r="A797" s="816"/>
      <c r="B797" s="753"/>
      <c r="C797" s="753"/>
      <c r="D797" s="753"/>
      <c r="E797" s="753"/>
      <c r="F797" s="753"/>
      <c r="G797" s="753"/>
      <c r="H797" s="753"/>
      <c r="I797" s="753"/>
      <c r="J797" s="753"/>
      <c r="K797" s="753"/>
      <c r="L797" s="753"/>
      <c r="M797" s="753"/>
    </row>
    <row r="798" spans="1:13" s="755" customFormat="1">
      <c r="A798" s="816"/>
      <c r="B798" s="753"/>
      <c r="C798" s="753"/>
      <c r="D798" s="753"/>
      <c r="E798" s="753"/>
      <c r="F798" s="753"/>
      <c r="G798" s="753"/>
      <c r="H798" s="753"/>
      <c r="I798" s="753"/>
      <c r="J798" s="753"/>
      <c r="K798" s="753"/>
      <c r="L798" s="753"/>
      <c r="M798" s="753"/>
    </row>
    <row r="799" spans="1:13" s="755" customFormat="1">
      <c r="A799" s="816"/>
      <c r="B799" s="753"/>
      <c r="C799" s="753"/>
      <c r="D799" s="753"/>
      <c r="E799" s="753"/>
      <c r="F799" s="753"/>
      <c r="G799" s="753"/>
      <c r="H799" s="753"/>
      <c r="I799" s="753"/>
      <c r="J799" s="753"/>
      <c r="K799" s="753"/>
      <c r="L799" s="753"/>
      <c r="M799" s="753"/>
    </row>
    <row r="800" spans="1:13" s="755" customFormat="1">
      <c r="A800" s="816"/>
      <c r="B800" s="753"/>
      <c r="C800" s="753"/>
      <c r="D800" s="753"/>
      <c r="E800" s="753"/>
      <c r="F800" s="753"/>
      <c r="G800" s="753"/>
      <c r="H800" s="753"/>
      <c r="I800" s="753"/>
      <c r="J800" s="753"/>
      <c r="K800" s="753"/>
      <c r="L800" s="753"/>
      <c r="M800" s="753"/>
    </row>
    <row r="801" spans="1:13" s="755" customFormat="1">
      <c r="A801" s="816"/>
      <c r="B801" s="753"/>
      <c r="C801" s="753"/>
      <c r="D801" s="753"/>
      <c r="E801" s="753"/>
      <c r="F801" s="753"/>
      <c r="G801" s="753"/>
      <c r="H801" s="753"/>
      <c r="I801" s="753"/>
      <c r="J801" s="753"/>
      <c r="K801" s="753"/>
      <c r="L801" s="753"/>
      <c r="M801" s="753"/>
    </row>
    <row r="802" spans="1:13" s="755" customFormat="1">
      <c r="A802" s="816"/>
      <c r="B802" s="753"/>
      <c r="C802" s="753"/>
      <c r="D802" s="753"/>
      <c r="E802" s="753"/>
      <c r="F802" s="753"/>
      <c r="G802" s="753"/>
      <c r="H802" s="753"/>
      <c r="I802" s="753"/>
      <c r="J802" s="753"/>
      <c r="K802" s="753"/>
      <c r="L802" s="753"/>
      <c r="M802" s="753"/>
    </row>
    <row r="803" spans="1:13" s="755" customFormat="1">
      <c r="A803" s="816"/>
      <c r="B803" s="753"/>
      <c r="C803" s="753"/>
      <c r="D803" s="753"/>
      <c r="E803" s="753"/>
      <c r="F803" s="753"/>
      <c r="G803" s="753"/>
      <c r="H803" s="753"/>
      <c r="I803" s="753"/>
      <c r="J803" s="753"/>
      <c r="K803" s="753"/>
      <c r="L803" s="753"/>
      <c r="M803" s="753"/>
    </row>
    <row r="804" spans="1:13" s="755" customFormat="1">
      <c r="A804" s="816"/>
      <c r="B804" s="753"/>
      <c r="C804" s="753"/>
      <c r="D804" s="753"/>
      <c r="E804" s="753"/>
      <c r="F804" s="753"/>
      <c r="G804" s="753"/>
      <c r="H804" s="753"/>
      <c r="I804" s="753"/>
      <c r="J804" s="753"/>
      <c r="K804" s="753"/>
      <c r="L804" s="753"/>
      <c r="M804" s="753"/>
    </row>
    <row r="805" spans="1:13" s="755" customFormat="1">
      <c r="A805" s="816"/>
      <c r="B805" s="753"/>
      <c r="C805" s="753"/>
      <c r="D805" s="753"/>
      <c r="E805" s="753"/>
      <c r="F805" s="753"/>
      <c r="G805" s="753"/>
      <c r="H805" s="753"/>
      <c r="I805" s="753"/>
      <c r="J805" s="753"/>
      <c r="K805" s="753"/>
      <c r="L805" s="753"/>
      <c r="M805" s="753"/>
    </row>
    <row r="806" spans="1:13" s="755" customFormat="1">
      <c r="A806" s="816"/>
      <c r="B806" s="753"/>
      <c r="C806" s="753"/>
      <c r="D806" s="753"/>
      <c r="E806" s="753"/>
      <c r="F806" s="753"/>
      <c r="G806" s="753"/>
      <c r="H806" s="753"/>
      <c r="I806" s="753"/>
      <c r="J806" s="753"/>
      <c r="K806" s="753"/>
      <c r="L806" s="753"/>
      <c r="M806" s="753"/>
    </row>
    <row r="807" spans="1:13" s="755" customFormat="1">
      <c r="A807" s="816"/>
      <c r="B807" s="753"/>
      <c r="C807" s="753"/>
      <c r="D807" s="753"/>
      <c r="E807" s="753"/>
      <c r="F807" s="753"/>
      <c r="G807" s="753"/>
      <c r="H807" s="753"/>
      <c r="I807" s="753"/>
      <c r="J807" s="753"/>
      <c r="K807" s="753"/>
      <c r="L807" s="753"/>
      <c r="M807" s="753"/>
    </row>
    <row r="808" spans="1:13" s="755" customFormat="1">
      <c r="A808" s="816"/>
      <c r="B808" s="753"/>
      <c r="C808" s="753"/>
      <c r="D808" s="753"/>
      <c r="E808" s="753"/>
      <c r="F808" s="753"/>
      <c r="G808" s="753"/>
      <c r="H808" s="753"/>
      <c r="I808" s="753"/>
      <c r="J808" s="753"/>
      <c r="K808" s="753"/>
      <c r="L808" s="753"/>
      <c r="M808" s="753"/>
    </row>
    <row r="809" spans="1:13" s="755" customFormat="1">
      <c r="A809" s="816"/>
      <c r="B809" s="753"/>
      <c r="C809" s="753"/>
      <c r="D809" s="753"/>
      <c r="E809" s="753"/>
      <c r="F809" s="753"/>
      <c r="G809" s="753"/>
      <c r="H809" s="753"/>
      <c r="I809" s="753"/>
      <c r="J809" s="753"/>
      <c r="K809" s="753"/>
      <c r="L809" s="753"/>
      <c r="M809" s="753"/>
    </row>
    <row r="810" spans="1:13" s="755" customFormat="1">
      <c r="A810" s="816"/>
      <c r="B810" s="753"/>
      <c r="C810" s="753"/>
      <c r="D810" s="753"/>
      <c r="E810" s="753"/>
      <c r="F810" s="753"/>
      <c r="G810" s="753"/>
      <c r="H810" s="753"/>
      <c r="I810" s="753"/>
      <c r="J810" s="753"/>
      <c r="K810" s="753"/>
      <c r="L810" s="753"/>
      <c r="M810" s="753"/>
    </row>
    <row r="811" spans="1:13" s="755" customFormat="1">
      <c r="A811" s="816"/>
      <c r="B811" s="753"/>
      <c r="C811" s="753"/>
      <c r="D811" s="753"/>
      <c r="E811" s="753"/>
      <c r="F811" s="753"/>
      <c r="G811" s="753"/>
      <c r="H811" s="753"/>
      <c r="I811" s="753"/>
      <c r="J811" s="753"/>
      <c r="K811" s="753"/>
      <c r="L811" s="753"/>
      <c r="M811" s="753"/>
    </row>
    <row r="812" spans="1:13" s="755" customFormat="1">
      <c r="A812" s="816"/>
      <c r="B812" s="753"/>
      <c r="C812" s="753"/>
      <c r="D812" s="753"/>
      <c r="E812" s="753"/>
      <c r="F812" s="753"/>
      <c r="G812" s="753"/>
      <c r="H812" s="753"/>
      <c r="I812" s="753"/>
      <c r="J812" s="753"/>
      <c r="K812" s="753"/>
      <c r="L812" s="753"/>
      <c r="M812" s="753"/>
    </row>
    <row r="813" spans="1:13" s="755" customFormat="1">
      <c r="A813" s="816"/>
      <c r="B813" s="753"/>
      <c r="C813" s="753"/>
      <c r="D813" s="753"/>
      <c r="E813" s="753"/>
      <c r="F813" s="753"/>
      <c r="G813" s="753"/>
      <c r="H813" s="753"/>
      <c r="I813" s="753"/>
      <c r="J813" s="753"/>
      <c r="K813" s="753"/>
      <c r="L813" s="753"/>
      <c r="M813" s="753"/>
    </row>
    <row r="814" spans="1:13" s="755" customFormat="1">
      <c r="A814" s="816"/>
      <c r="B814" s="753"/>
      <c r="C814" s="753"/>
      <c r="D814" s="753"/>
      <c r="E814" s="753"/>
      <c r="F814" s="753"/>
      <c r="G814" s="753"/>
      <c r="H814" s="753"/>
      <c r="I814" s="753"/>
      <c r="J814" s="753"/>
      <c r="K814" s="753"/>
      <c r="L814" s="753"/>
      <c r="M814" s="753"/>
    </row>
    <row r="815" spans="1:13" s="755" customFormat="1">
      <c r="A815" s="816"/>
      <c r="B815" s="753"/>
      <c r="C815" s="753"/>
      <c r="D815" s="753"/>
      <c r="E815" s="753"/>
      <c r="F815" s="753"/>
      <c r="G815" s="753"/>
      <c r="H815" s="753"/>
      <c r="I815" s="753"/>
      <c r="J815" s="753"/>
      <c r="K815" s="753"/>
      <c r="L815" s="753"/>
      <c r="M815" s="753"/>
    </row>
    <row r="816" spans="1:13" s="755" customFormat="1">
      <c r="A816" s="816"/>
      <c r="B816" s="753"/>
      <c r="C816" s="753"/>
      <c r="D816" s="753"/>
      <c r="E816" s="753"/>
      <c r="F816" s="753"/>
      <c r="G816" s="753"/>
      <c r="H816" s="753"/>
      <c r="I816" s="753"/>
      <c r="J816" s="753"/>
      <c r="K816" s="753"/>
      <c r="L816" s="753"/>
      <c r="M816" s="753"/>
    </row>
    <row r="817" spans="1:13" s="755" customFormat="1">
      <c r="A817" s="816"/>
      <c r="B817" s="753"/>
      <c r="C817" s="753"/>
      <c r="D817" s="753"/>
      <c r="E817" s="753"/>
      <c r="F817" s="753"/>
      <c r="G817" s="753"/>
      <c r="H817" s="753"/>
      <c r="I817" s="753"/>
      <c r="J817" s="753"/>
      <c r="K817" s="753"/>
      <c r="L817" s="753"/>
      <c r="M817" s="753"/>
    </row>
    <row r="818" spans="1:13" s="755" customFormat="1">
      <c r="A818" s="816"/>
      <c r="B818" s="753"/>
      <c r="C818" s="753"/>
      <c r="D818" s="753"/>
      <c r="E818" s="753"/>
      <c r="F818" s="753"/>
      <c r="G818" s="753"/>
      <c r="H818" s="753"/>
      <c r="I818" s="753"/>
      <c r="J818" s="753"/>
      <c r="K818" s="753"/>
      <c r="L818" s="753"/>
      <c r="M818" s="753"/>
    </row>
    <row r="819" spans="1:13" s="755" customFormat="1">
      <c r="A819" s="816"/>
      <c r="B819" s="753"/>
      <c r="C819" s="753"/>
      <c r="D819" s="753"/>
      <c r="E819" s="753"/>
      <c r="F819" s="753"/>
      <c r="G819" s="753"/>
      <c r="H819" s="753"/>
      <c r="I819" s="753"/>
      <c r="J819" s="753"/>
      <c r="K819" s="753"/>
      <c r="L819" s="753"/>
      <c r="M819" s="753"/>
    </row>
    <row r="820" spans="1:13" s="755" customFormat="1">
      <c r="A820" s="816"/>
      <c r="B820" s="753"/>
      <c r="C820" s="753"/>
      <c r="D820" s="753"/>
      <c r="E820" s="753"/>
      <c r="F820" s="753"/>
      <c r="G820" s="753"/>
      <c r="H820" s="753"/>
      <c r="I820" s="753"/>
      <c r="J820" s="753"/>
      <c r="K820" s="753"/>
      <c r="L820" s="753"/>
      <c r="M820" s="753"/>
    </row>
    <row r="821" spans="1:13" s="755" customFormat="1">
      <c r="A821" s="816"/>
      <c r="B821" s="753"/>
      <c r="C821" s="753"/>
      <c r="D821" s="753"/>
      <c r="E821" s="753"/>
      <c r="F821" s="753"/>
      <c r="G821" s="753"/>
      <c r="H821" s="753"/>
      <c r="I821" s="753"/>
      <c r="J821" s="753"/>
      <c r="K821" s="753"/>
      <c r="L821" s="753"/>
      <c r="M821" s="753"/>
    </row>
    <row r="822" spans="1:13" s="755" customFormat="1">
      <c r="A822" s="816"/>
      <c r="B822" s="753"/>
      <c r="C822" s="753"/>
      <c r="D822" s="753"/>
      <c r="E822" s="753"/>
      <c r="F822" s="753"/>
      <c r="G822" s="753"/>
      <c r="H822" s="753"/>
      <c r="I822" s="753"/>
      <c r="J822" s="753"/>
      <c r="K822" s="753"/>
      <c r="L822" s="753"/>
      <c r="M822" s="753"/>
    </row>
    <row r="823" spans="1:13" s="755" customFormat="1">
      <c r="A823" s="816"/>
      <c r="B823" s="753"/>
      <c r="C823" s="753"/>
      <c r="D823" s="753"/>
      <c r="E823" s="753"/>
      <c r="F823" s="753"/>
      <c r="G823" s="753"/>
      <c r="H823" s="753"/>
      <c r="I823" s="753"/>
      <c r="J823" s="753"/>
      <c r="K823" s="753"/>
      <c r="L823" s="753"/>
      <c r="M823" s="753"/>
    </row>
    <row r="824" spans="1:13" s="755" customFormat="1">
      <c r="A824" s="816"/>
      <c r="B824" s="753"/>
      <c r="C824" s="753"/>
      <c r="D824" s="753"/>
      <c r="E824" s="753"/>
      <c r="F824" s="753"/>
      <c r="G824" s="753"/>
      <c r="H824" s="753"/>
      <c r="I824" s="753"/>
      <c r="J824" s="753"/>
      <c r="K824" s="753"/>
      <c r="L824" s="753"/>
      <c r="M824" s="753"/>
    </row>
    <row r="825" spans="1:13" s="755" customFormat="1">
      <c r="A825" s="816"/>
      <c r="B825" s="753"/>
      <c r="C825" s="753"/>
      <c r="D825" s="753"/>
      <c r="E825" s="753"/>
      <c r="F825" s="753"/>
      <c r="G825" s="753"/>
      <c r="H825" s="753"/>
      <c r="I825" s="753"/>
      <c r="J825" s="753"/>
      <c r="K825" s="753"/>
      <c r="L825" s="753"/>
      <c r="M825" s="753"/>
    </row>
    <row r="826" spans="1:13" s="755" customFormat="1">
      <c r="A826" s="816"/>
      <c r="B826" s="753"/>
      <c r="C826" s="753"/>
      <c r="D826" s="753"/>
      <c r="E826" s="753"/>
      <c r="F826" s="753"/>
      <c r="G826" s="753"/>
      <c r="H826" s="753"/>
      <c r="I826" s="753"/>
      <c r="J826" s="753"/>
      <c r="K826" s="753"/>
      <c r="L826" s="753"/>
      <c r="M826" s="753"/>
    </row>
    <row r="827" spans="1:13" s="755" customFormat="1">
      <c r="A827" s="816"/>
      <c r="B827" s="753"/>
      <c r="C827" s="753"/>
      <c r="D827" s="753"/>
      <c r="E827" s="753"/>
      <c r="F827" s="753"/>
      <c r="G827" s="753"/>
      <c r="H827" s="753"/>
      <c r="I827" s="753"/>
      <c r="J827" s="753"/>
      <c r="K827" s="753"/>
      <c r="L827" s="753"/>
      <c r="M827" s="753"/>
    </row>
    <row r="828" spans="1:13" s="755" customFormat="1">
      <c r="A828" s="816"/>
      <c r="B828" s="753"/>
      <c r="C828" s="753"/>
      <c r="D828" s="753"/>
      <c r="E828" s="753"/>
      <c r="F828" s="753"/>
      <c r="G828" s="753"/>
      <c r="H828" s="753"/>
      <c r="I828" s="753"/>
      <c r="J828" s="753"/>
      <c r="K828" s="753"/>
      <c r="L828" s="753"/>
      <c r="M828" s="753"/>
    </row>
    <row r="829" spans="1:13" s="755" customFormat="1">
      <c r="A829" s="816"/>
      <c r="B829" s="753"/>
      <c r="C829" s="753"/>
      <c r="D829" s="753"/>
      <c r="E829" s="753"/>
      <c r="F829" s="753"/>
      <c r="G829" s="753"/>
      <c r="H829" s="753"/>
      <c r="I829" s="753"/>
      <c r="J829" s="753"/>
      <c r="K829" s="753"/>
      <c r="L829" s="753"/>
      <c r="M829" s="753"/>
    </row>
    <row r="830" spans="1:13" s="755" customFormat="1">
      <c r="A830" s="816"/>
      <c r="B830" s="753"/>
      <c r="C830" s="753"/>
      <c r="D830" s="753"/>
      <c r="E830" s="753"/>
      <c r="F830" s="753"/>
      <c r="G830" s="753"/>
      <c r="H830" s="753"/>
      <c r="I830" s="753"/>
      <c r="J830" s="753"/>
      <c r="K830" s="753"/>
      <c r="L830" s="753"/>
      <c r="M830" s="753"/>
    </row>
    <row r="831" spans="1:13" s="755" customFormat="1">
      <c r="A831" s="816"/>
      <c r="B831" s="753"/>
      <c r="C831" s="753"/>
      <c r="D831" s="753"/>
      <c r="E831" s="753"/>
      <c r="F831" s="753"/>
      <c r="G831" s="753"/>
      <c r="H831" s="753"/>
      <c r="I831" s="753"/>
      <c r="J831" s="753"/>
      <c r="K831" s="753"/>
      <c r="L831" s="753"/>
      <c r="M831" s="753"/>
    </row>
    <row r="832" spans="1:13" s="755" customFormat="1">
      <c r="A832" s="816"/>
      <c r="B832" s="753"/>
      <c r="C832" s="753"/>
      <c r="D832" s="753"/>
      <c r="E832" s="753"/>
      <c r="F832" s="753"/>
      <c r="G832" s="753"/>
      <c r="H832" s="753"/>
      <c r="I832" s="753"/>
      <c r="J832" s="753"/>
      <c r="K832" s="753"/>
      <c r="L832" s="753"/>
      <c r="M832" s="753"/>
    </row>
    <row r="833" spans="1:13" s="755" customFormat="1">
      <c r="A833" s="816"/>
      <c r="B833" s="753"/>
      <c r="C833" s="753"/>
      <c r="D833" s="753"/>
      <c r="E833" s="753"/>
      <c r="F833" s="753"/>
      <c r="G833" s="753"/>
      <c r="H833" s="753"/>
      <c r="I833" s="753"/>
      <c r="J833" s="753"/>
      <c r="K833" s="753"/>
      <c r="L833" s="753"/>
      <c r="M833" s="753"/>
    </row>
    <row r="834" spans="1:13" s="755" customFormat="1">
      <c r="A834" s="816"/>
      <c r="B834" s="753"/>
      <c r="C834" s="753"/>
      <c r="D834" s="753"/>
      <c r="E834" s="753"/>
      <c r="F834" s="753"/>
      <c r="G834" s="753"/>
      <c r="H834" s="753"/>
      <c r="I834" s="753"/>
      <c r="J834" s="753"/>
      <c r="K834" s="753"/>
      <c r="L834" s="753"/>
      <c r="M834" s="753"/>
    </row>
    <row r="835" spans="1:13" s="755" customFormat="1">
      <c r="A835" s="816"/>
      <c r="B835" s="753"/>
      <c r="C835" s="753"/>
      <c r="D835" s="753"/>
      <c r="E835" s="753"/>
      <c r="F835" s="753"/>
      <c r="G835" s="753"/>
      <c r="H835" s="753"/>
      <c r="I835" s="753"/>
      <c r="J835" s="753"/>
      <c r="K835" s="753"/>
      <c r="L835" s="753"/>
      <c r="M835" s="753"/>
    </row>
    <row r="836" spans="1:13" s="755" customFormat="1">
      <c r="A836" s="816"/>
      <c r="B836" s="753"/>
      <c r="C836" s="753"/>
      <c r="D836" s="753"/>
      <c r="E836" s="753"/>
      <c r="F836" s="753"/>
      <c r="G836" s="753"/>
      <c r="H836" s="753"/>
      <c r="I836" s="753"/>
      <c r="J836" s="753"/>
      <c r="K836" s="753"/>
      <c r="L836" s="753"/>
      <c r="M836" s="753"/>
    </row>
    <row r="837" spans="1:13" s="755" customFormat="1">
      <c r="A837" s="816"/>
      <c r="B837" s="753"/>
      <c r="C837" s="753"/>
      <c r="D837" s="753"/>
      <c r="E837" s="753"/>
      <c r="F837" s="753"/>
      <c r="G837" s="753"/>
      <c r="H837" s="753"/>
      <c r="I837" s="753"/>
      <c r="J837" s="753"/>
      <c r="K837" s="753"/>
      <c r="L837" s="753"/>
      <c r="M837" s="753"/>
    </row>
    <row r="838" spans="1:13" s="755" customFormat="1">
      <c r="A838" s="816"/>
      <c r="B838" s="753"/>
      <c r="C838" s="753"/>
      <c r="D838" s="753"/>
      <c r="E838" s="753"/>
      <c r="F838" s="753"/>
      <c r="G838" s="753"/>
      <c r="H838" s="753"/>
      <c r="I838" s="753"/>
      <c r="J838" s="753"/>
      <c r="K838" s="753"/>
      <c r="L838" s="753"/>
      <c r="M838" s="753"/>
    </row>
    <row r="839" spans="1:13" s="755" customFormat="1">
      <c r="A839" s="816"/>
      <c r="B839" s="753"/>
      <c r="C839" s="753"/>
      <c r="D839" s="753"/>
      <c r="E839" s="753"/>
      <c r="F839" s="753"/>
      <c r="G839" s="753"/>
      <c r="H839" s="753"/>
      <c r="I839" s="753"/>
      <c r="J839" s="753"/>
      <c r="K839" s="753"/>
      <c r="L839" s="753"/>
      <c r="M839" s="753"/>
    </row>
    <row r="840" spans="1:13" s="755" customFormat="1">
      <c r="A840" s="816"/>
      <c r="B840" s="753"/>
      <c r="C840" s="753"/>
      <c r="D840" s="753"/>
      <c r="E840" s="753"/>
      <c r="F840" s="753"/>
      <c r="G840" s="753"/>
      <c r="H840" s="753"/>
      <c r="I840" s="753"/>
      <c r="J840" s="753"/>
      <c r="K840" s="753"/>
      <c r="L840" s="753"/>
      <c r="M840" s="753"/>
    </row>
    <row r="841" spans="1:13" s="755" customFormat="1">
      <c r="A841" s="816"/>
      <c r="B841" s="753"/>
      <c r="C841" s="753"/>
      <c r="D841" s="753"/>
      <c r="E841" s="753"/>
      <c r="F841" s="753"/>
      <c r="G841" s="753"/>
      <c r="H841" s="753"/>
      <c r="I841" s="753"/>
      <c r="J841" s="753"/>
      <c r="K841" s="753"/>
      <c r="L841" s="753"/>
      <c r="M841" s="753"/>
    </row>
    <row r="842" spans="1:13" s="755" customFormat="1">
      <c r="A842" s="816"/>
      <c r="B842" s="753"/>
      <c r="C842" s="753"/>
      <c r="D842" s="753"/>
      <c r="E842" s="753"/>
      <c r="F842" s="753"/>
      <c r="G842" s="753"/>
      <c r="H842" s="753"/>
      <c r="I842" s="753"/>
      <c r="J842" s="753"/>
      <c r="K842" s="753"/>
      <c r="L842" s="753"/>
      <c r="M842" s="753"/>
    </row>
    <row r="843" spans="1:13" s="755" customFormat="1">
      <c r="A843" s="816"/>
      <c r="B843" s="753"/>
      <c r="C843" s="753"/>
      <c r="D843" s="753"/>
      <c r="E843" s="753"/>
      <c r="F843" s="753"/>
      <c r="G843" s="753"/>
      <c r="H843" s="753"/>
      <c r="I843" s="753"/>
      <c r="J843" s="753"/>
      <c r="K843" s="753"/>
      <c r="L843" s="753"/>
      <c r="M843" s="753"/>
    </row>
    <row r="844" spans="1:13" s="755" customFormat="1">
      <c r="A844" s="816"/>
      <c r="B844" s="753"/>
      <c r="C844" s="753"/>
      <c r="D844" s="753"/>
      <c r="E844" s="753"/>
      <c r="F844" s="753"/>
      <c r="G844" s="753"/>
      <c r="H844" s="753"/>
      <c r="I844" s="753"/>
      <c r="J844" s="753"/>
      <c r="K844" s="753"/>
      <c r="L844" s="753"/>
      <c r="M844" s="753"/>
    </row>
    <row r="845" spans="1:13" s="755" customFormat="1">
      <c r="A845" s="816"/>
      <c r="B845" s="753"/>
      <c r="C845" s="753"/>
      <c r="D845" s="753"/>
      <c r="E845" s="753"/>
      <c r="F845" s="753"/>
      <c r="G845" s="753"/>
      <c r="H845" s="753"/>
      <c r="I845" s="753"/>
      <c r="J845" s="753"/>
      <c r="K845" s="753"/>
      <c r="L845" s="753"/>
      <c r="M845" s="753"/>
    </row>
    <row r="846" spans="1:13" s="755" customFormat="1">
      <c r="A846" s="816"/>
      <c r="B846" s="753"/>
      <c r="C846" s="753"/>
      <c r="D846" s="753"/>
      <c r="E846" s="753"/>
      <c r="F846" s="753"/>
      <c r="G846" s="753"/>
      <c r="H846" s="753"/>
      <c r="I846" s="753"/>
      <c r="J846" s="753"/>
      <c r="K846" s="753"/>
      <c r="L846" s="753"/>
      <c r="M846" s="753"/>
    </row>
    <row r="847" spans="1:13" s="755" customFormat="1">
      <c r="A847" s="816"/>
      <c r="B847" s="753"/>
      <c r="C847" s="753"/>
      <c r="D847" s="753"/>
      <c r="E847" s="753"/>
      <c r="F847" s="753"/>
      <c r="G847" s="753"/>
      <c r="H847" s="753"/>
      <c r="I847" s="753"/>
      <c r="J847" s="753"/>
      <c r="K847" s="753"/>
      <c r="L847" s="753"/>
      <c r="M847" s="753"/>
    </row>
    <row r="848" spans="1:13" s="755" customFormat="1">
      <c r="A848" s="816"/>
      <c r="B848" s="753"/>
      <c r="C848" s="753"/>
      <c r="D848" s="753"/>
      <c r="E848" s="753"/>
      <c r="F848" s="753"/>
      <c r="G848" s="753"/>
      <c r="H848" s="753"/>
      <c r="I848" s="753"/>
      <c r="J848" s="753"/>
      <c r="K848" s="753"/>
      <c r="L848" s="753"/>
      <c r="M848" s="753"/>
    </row>
    <row r="849" spans="1:13" s="755" customFormat="1">
      <c r="A849" s="816"/>
      <c r="B849" s="753"/>
      <c r="C849" s="753"/>
      <c r="D849" s="753"/>
      <c r="E849" s="753"/>
      <c r="F849" s="753"/>
      <c r="G849" s="753"/>
      <c r="H849" s="753"/>
      <c r="I849" s="753"/>
      <c r="J849" s="753"/>
      <c r="K849" s="753"/>
      <c r="L849" s="753"/>
      <c r="M849" s="753"/>
    </row>
    <row r="850" spans="1:13" s="755" customFormat="1">
      <c r="A850" s="816"/>
      <c r="B850" s="753"/>
      <c r="C850" s="753"/>
      <c r="D850" s="753"/>
      <c r="E850" s="753"/>
      <c r="F850" s="753"/>
      <c r="G850" s="753"/>
      <c r="H850" s="753"/>
      <c r="I850" s="753"/>
      <c r="J850" s="753"/>
      <c r="K850" s="753"/>
      <c r="L850" s="753"/>
      <c r="M850" s="753"/>
    </row>
    <row r="851" spans="1:13" s="755" customFormat="1">
      <c r="A851" s="816"/>
      <c r="B851" s="753"/>
      <c r="C851" s="753"/>
      <c r="D851" s="753"/>
      <c r="E851" s="753"/>
      <c r="F851" s="753"/>
      <c r="G851" s="753"/>
      <c r="H851" s="753"/>
      <c r="I851" s="753"/>
      <c r="J851" s="753"/>
      <c r="K851" s="753"/>
      <c r="L851" s="753"/>
      <c r="M851" s="753"/>
    </row>
    <row r="852" spans="1:13" s="755" customFormat="1">
      <c r="A852" s="816"/>
      <c r="B852" s="753"/>
      <c r="C852" s="753"/>
      <c r="D852" s="753"/>
      <c r="E852" s="753"/>
      <c r="F852" s="753"/>
      <c r="G852" s="753"/>
      <c r="H852" s="753"/>
      <c r="I852" s="753"/>
      <c r="J852" s="753"/>
      <c r="K852" s="753"/>
      <c r="L852" s="753"/>
      <c r="M852" s="753"/>
    </row>
    <row r="853" spans="1:13" s="755" customFormat="1">
      <c r="A853" s="816"/>
      <c r="B853" s="753"/>
      <c r="C853" s="753"/>
      <c r="D853" s="753"/>
      <c r="E853" s="753"/>
      <c r="F853" s="753"/>
      <c r="G853" s="753"/>
      <c r="H853" s="753"/>
      <c r="I853" s="753"/>
      <c r="J853" s="753"/>
      <c r="K853" s="753"/>
      <c r="L853" s="753"/>
      <c r="M853" s="753"/>
    </row>
    <row r="854" spans="1:13" s="755" customFormat="1">
      <c r="A854" s="816"/>
      <c r="B854" s="753"/>
      <c r="C854" s="753"/>
      <c r="D854" s="753"/>
      <c r="E854" s="753"/>
      <c r="F854" s="753"/>
      <c r="G854" s="753"/>
      <c r="H854" s="753"/>
      <c r="I854" s="753"/>
      <c r="J854" s="753"/>
      <c r="K854" s="753"/>
      <c r="L854" s="753"/>
      <c r="M854" s="753"/>
    </row>
    <row r="855" spans="1:13" s="755" customFormat="1">
      <c r="A855" s="816"/>
      <c r="B855" s="753"/>
      <c r="C855" s="753"/>
      <c r="D855" s="753"/>
      <c r="E855" s="753"/>
      <c r="F855" s="753"/>
      <c r="G855" s="753"/>
      <c r="H855" s="753"/>
      <c r="I855" s="753"/>
      <c r="J855" s="753"/>
      <c r="K855" s="753"/>
      <c r="L855" s="753"/>
      <c r="M855" s="753"/>
    </row>
    <row r="856" spans="1:13" s="755" customFormat="1">
      <c r="A856" s="816"/>
      <c r="B856" s="753"/>
      <c r="C856" s="753"/>
      <c r="D856" s="753"/>
      <c r="E856" s="753"/>
      <c r="F856" s="753"/>
      <c r="G856" s="753"/>
      <c r="H856" s="753"/>
      <c r="I856" s="753"/>
      <c r="J856" s="753"/>
      <c r="K856" s="753"/>
      <c r="L856" s="753"/>
      <c r="M856" s="753"/>
    </row>
    <row r="857" spans="1:13" s="755" customFormat="1">
      <c r="A857" s="816"/>
      <c r="B857" s="753"/>
      <c r="C857" s="753"/>
      <c r="D857" s="753"/>
      <c r="E857" s="753"/>
      <c r="F857" s="753"/>
      <c r="G857" s="753"/>
      <c r="H857" s="753"/>
      <c r="I857" s="753"/>
      <c r="J857" s="753"/>
      <c r="K857" s="753"/>
      <c r="L857" s="753"/>
      <c r="M857" s="753"/>
    </row>
    <row r="858" spans="1:13" s="755" customFormat="1">
      <c r="A858" s="816"/>
      <c r="B858" s="753"/>
      <c r="C858" s="753"/>
      <c r="D858" s="753"/>
      <c r="E858" s="753"/>
      <c r="F858" s="753"/>
      <c r="G858" s="753"/>
      <c r="H858" s="753"/>
      <c r="I858" s="753"/>
      <c r="J858" s="753"/>
      <c r="K858" s="753"/>
      <c r="L858" s="753"/>
      <c r="M858" s="753"/>
    </row>
    <row r="859" spans="1:13" s="755" customFormat="1">
      <c r="A859" s="816"/>
      <c r="B859" s="753"/>
      <c r="C859" s="753"/>
      <c r="D859" s="753"/>
      <c r="E859" s="753"/>
      <c r="F859" s="753"/>
      <c r="G859" s="753"/>
      <c r="H859" s="753"/>
      <c r="I859" s="753"/>
      <c r="J859" s="753"/>
      <c r="K859" s="753"/>
      <c r="L859" s="753"/>
      <c r="M859" s="753"/>
    </row>
    <row r="860" spans="1:13" s="755" customFormat="1">
      <c r="A860" s="816"/>
      <c r="B860" s="753"/>
      <c r="C860" s="753"/>
      <c r="D860" s="753"/>
      <c r="E860" s="753"/>
      <c r="F860" s="753"/>
      <c r="G860" s="753"/>
      <c r="H860" s="753"/>
      <c r="I860" s="753"/>
      <c r="J860" s="753"/>
      <c r="K860" s="753"/>
      <c r="L860" s="753"/>
      <c r="M860" s="753"/>
    </row>
    <row r="861" spans="1:13" s="755" customFormat="1">
      <c r="A861" s="816"/>
      <c r="B861" s="753"/>
      <c r="C861" s="753"/>
      <c r="D861" s="753"/>
      <c r="E861" s="753"/>
      <c r="F861" s="753"/>
      <c r="G861" s="753"/>
      <c r="H861" s="753"/>
      <c r="I861" s="753"/>
      <c r="J861" s="753"/>
      <c r="K861" s="753"/>
      <c r="L861" s="753"/>
      <c r="M861" s="753"/>
    </row>
    <row r="862" spans="1:13" s="755" customFormat="1">
      <c r="A862" s="816"/>
      <c r="B862" s="753"/>
      <c r="C862" s="753"/>
      <c r="D862" s="753"/>
      <c r="E862" s="753"/>
      <c r="F862" s="753"/>
      <c r="G862" s="753"/>
      <c r="H862" s="753"/>
      <c r="I862" s="753"/>
      <c r="J862" s="753"/>
      <c r="K862" s="753"/>
      <c r="L862" s="753"/>
      <c r="M862" s="753"/>
    </row>
    <row r="863" spans="1:13" s="755" customFormat="1">
      <c r="A863" s="816"/>
      <c r="B863" s="753"/>
      <c r="C863" s="753"/>
      <c r="D863" s="753"/>
      <c r="E863" s="753"/>
      <c r="F863" s="753"/>
      <c r="G863" s="753"/>
      <c r="H863" s="753"/>
      <c r="I863" s="753"/>
      <c r="J863" s="753"/>
      <c r="K863" s="753"/>
      <c r="L863" s="753"/>
      <c r="M863" s="753"/>
    </row>
    <row r="864" spans="1:13" s="755" customFormat="1">
      <c r="A864" s="816"/>
      <c r="B864" s="753"/>
      <c r="C864" s="753"/>
      <c r="D864" s="753"/>
      <c r="E864" s="753"/>
      <c r="F864" s="753"/>
      <c r="G864" s="753"/>
      <c r="H864" s="753"/>
      <c r="I864" s="753"/>
      <c r="J864" s="753"/>
      <c r="K864" s="753"/>
      <c r="L864" s="753"/>
      <c r="M864" s="753"/>
    </row>
    <row r="865" spans="1:13" s="755" customFormat="1">
      <c r="A865" s="816"/>
      <c r="B865" s="753"/>
      <c r="C865" s="753"/>
      <c r="D865" s="753"/>
      <c r="E865" s="753"/>
      <c r="F865" s="753"/>
      <c r="G865" s="753"/>
      <c r="H865" s="753"/>
      <c r="I865" s="753"/>
      <c r="J865" s="753"/>
      <c r="K865" s="753"/>
      <c r="L865" s="753"/>
      <c r="M865" s="753"/>
    </row>
    <row r="866" spans="1:13" s="755" customFormat="1">
      <c r="A866" s="816"/>
      <c r="B866" s="753"/>
      <c r="C866" s="753"/>
      <c r="D866" s="753"/>
      <c r="E866" s="753"/>
      <c r="F866" s="753"/>
      <c r="G866" s="753"/>
      <c r="H866" s="753"/>
      <c r="I866" s="753"/>
      <c r="J866" s="753"/>
      <c r="K866" s="753"/>
      <c r="L866" s="753"/>
      <c r="M866" s="753"/>
    </row>
    <row r="867" spans="1:13" s="755" customFormat="1">
      <c r="A867" s="816"/>
      <c r="B867" s="753"/>
      <c r="C867" s="753"/>
      <c r="D867" s="753"/>
      <c r="E867" s="753"/>
      <c r="F867" s="753"/>
      <c r="G867" s="753"/>
      <c r="H867" s="753"/>
      <c r="I867" s="753"/>
      <c r="J867" s="753"/>
      <c r="K867" s="753"/>
      <c r="L867" s="753"/>
      <c r="M867" s="753"/>
    </row>
    <row r="868" spans="1:13" s="755" customFormat="1">
      <c r="A868" s="816"/>
      <c r="B868" s="753"/>
      <c r="C868" s="753"/>
      <c r="D868" s="753"/>
      <c r="E868" s="753"/>
      <c r="F868" s="753"/>
      <c r="G868" s="753"/>
      <c r="H868" s="753"/>
      <c r="I868" s="753"/>
      <c r="J868" s="753"/>
      <c r="K868" s="753"/>
      <c r="L868" s="753"/>
      <c r="M868" s="753"/>
    </row>
    <row r="869" spans="1:13" s="755" customFormat="1">
      <c r="A869" s="816"/>
      <c r="B869" s="753"/>
      <c r="C869" s="753"/>
      <c r="D869" s="753"/>
      <c r="E869" s="753"/>
      <c r="F869" s="753"/>
      <c r="G869" s="753"/>
      <c r="H869" s="753"/>
      <c r="I869" s="753"/>
      <c r="J869" s="753"/>
      <c r="K869" s="753"/>
      <c r="L869" s="753"/>
      <c r="M869" s="753"/>
    </row>
    <row r="870" spans="1:13" s="755" customFormat="1">
      <c r="A870" s="816"/>
      <c r="B870" s="753"/>
      <c r="C870" s="753"/>
      <c r="D870" s="753"/>
      <c r="E870" s="753"/>
      <c r="F870" s="753"/>
      <c r="G870" s="753"/>
      <c r="H870" s="753"/>
      <c r="I870" s="753"/>
      <c r="J870" s="753"/>
      <c r="K870" s="753"/>
      <c r="L870" s="753"/>
      <c r="M870" s="753"/>
    </row>
    <row r="871" spans="1:13" s="755" customFormat="1">
      <c r="A871" s="816"/>
      <c r="B871" s="753"/>
      <c r="C871" s="753"/>
      <c r="D871" s="753"/>
      <c r="E871" s="753"/>
      <c r="F871" s="753"/>
      <c r="G871" s="753"/>
      <c r="H871" s="753"/>
      <c r="I871" s="753"/>
      <c r="J871" s="753"/>
      <c r="K871" s="753"/>
      <c r="L871" s="753"/>
      <c r="M871" s="753"/>
    </row>
    <row r="872" spans="1:13" s="755" customFormat="1">
      <c r="A872" s="816"/>
      <c r="B872" s="753"/>
      <c r="C872" s="753"/>
      <c r="D872" s="753"/>
      <c r="E872" s="753"/>
      <c r="F872" s="753"/>
      <c r="G872" s="753"/>
      <c r="H872" s="753"/>
      <c r="I872" s="753"/>
      <c r="J872" s="753"/>
      <c r="K872" s="753"/>
      <c r="L872" s="753"/>
      <c r="M872" s="753"/>
    </row>
    <row r="873" spans="1:13" s="755" customFormat="1">
      <c r="A873" s="816"/>
      <c r="B873" s="753"/>
      <c r="C873" s="753"/>
      <c r="D873" s="753"/>
      <c r="E873" s="753"/>
      <c r="F873" s="753"/>
      <c r="G873" s="753"/>
      <c r="H873" s="753"/>
      <c r="I873" s="753"/>
      <c r="J873" s="753"/>
      <c r="K873" s="753"/>
      <c r="L873" s="753"/>
      <c r="M873" s="753"/>
    </row>
    <row r="874" spans="1:13" s="755" customFormat="1">
      <c r="A874" s="816"/>
      <c r="B874" s="753"/>
      <c r="C874" s="753"/>
      <c r="D874" s="753"/>
      <c r="E874" s="753"/>
      <c r="F874" s="753"/>
      <c r="G874" s="753"/>
      <c r="H874" s="753"/>
      <c r="I874" s="753"/>
      <c r="J874" s="753"/>
      <c r="K874" s="753"/>
      <c r="L874" s="753"/>
      <c r="M874" s="753"/>
    </row>
    <row r="875" spans="1:13" s="755" customFormat="1">
      <c r="A875" s="816"/>
      <c r="B875" s="753"/>
      <c r="C875" s="753"/>
      <c r="D875" s="753"/>
      <c r="E875" s="753"/>
      <c r="F875" s="753"/>
      <c r="G875" s="753"/>
      <c r="H875" s="753"/>
      <c r="I875" s="753"/>
      <c r="J875" s="753"/>
      <c r="K875" s="753"/>
      <c r="L875" s="753"/>
      <c r="M875" s="753"/>
    </row>
    <row r="876" spans="1:13" s="755" customFormat="1">
      <c r="A876" s="816"/>
      <c r="B876" s="753"/>
      <c r="C876" s="753"/>
      <c r="D876" s="753"/>
      <c r="E876" s="753"/>
      <c r="F876" s="753"/>
      <c r="G876" s="753"/>
      <c r="H876" s="753"/>
      <c r="I876" s="753"/>
      <c r="J876" s="753"/>
      <c r="K876" s="753"/>
      <c r="L876" s="753"/>
      <c r="M876" s="753"/>
    </row>
    <row r="877" spans="1:13" s="755" customFormat="1">
      <c r="A877" s="816"/>
      <c r="B877" s="753"/>
      <c r="C877" s="753"/>
      <c r="D877" s="753"/>
      <c r="E877" s="753"/>
      <c r="F877" s="753"/>
      <c r="G877" s="753"/>
      <c r="H877" s="753"/>
      <c r="I877" s="753"/>
      <c r="J877" s="753"/>
      <c r="K877" s="753"/>
      <c r="L877" s="753"/>
      <c r="M877" s="753"/>
    </row>
    <row r="878" spans="1:13" s="755" customFormat="1">
      <c r="A878" s="816"/>
      <c r="B878" s="753"/>
      <c r="C878" s="753"/>
      <c r="D878" s="753"/>
      <c r="E878" s="753"/>
      <c r="F878" s="753"/>
      <c r="G878" s="753"/>
      <c r="H878" s="753"/>
      <c r="I878" s="753"/>
      <c r="J878" s="753"/>
      <c r="K878" s="753"/>
      <c r="L878" s="753"/>
      <c r="M878" s="753"/>
    </row>
    <row r="879" spans="1:13" s="755" customFormat="1">
      <c r="A879" s="816"/>
      <c r="B879" s="753"/>
      <c r="C879" s="753"/>
      <c r="D879" s="753"/>
      <c r="E879" s="753"/>
      <c r="F879" s="753"/>
      <c r="G879" s="753"/>
      <c r="H879" s="753"/>
      <c r="I879" s="753"/>
      <c r="J879" s="753"/>
      <c r="K879" s="753"/>
      <c r="L879" s="753"/>
      <c r="M879" s="753"/>
    </row>
    <row r="880" spans="1:13" s="755" customFormat="1">
      <c r="A880" s="816"/>
      <c r="B880" s="753"/>
      <c r="C880" s="753"/>
      <c r="D880" s="753"/>
      <c r="E880" s="753"/>
      <c r="F880" s="753"/>
      <c r="G880" s="753"/>
      <c r="H880" s="753"/>
      <c r="I880" s="753"/>
      <c r="J880" s="753"/>
      <c r="K880" s="753"/>
      <c r="L880" s="753"/>
      <c r="M880" s="753"/>
    </row>
    <row r="881" spans="1:13" s="755" customFormat="1">
      <c r="A881" s="816"/>
      <c r="B881" s="753"/>
      <c r="C881" s="753"/>
      <c r="D881" s="753"/>
      <c r="E881" s="753"/>
      <c r="F881" s="753"/>
      <c r="G881" s="753"/>
      <c r="H881" s="753"/>
      <c r="I881" s="753"/>
      <c r="J881" s="753"/>
      <c r="K881" s="753"/>
      <c r="L881" s="753"/>
      <c r="M881" s="753"/>
    </row>
    <row r="882" spans="1:13" s="755" customFormat="1">
      <c r="A882" s="816"/>
      <c r="B882" s="753"/>
      <c r="C882" s="753"/>
      <c r="D882" s="753"/>
      <c r="E882" s="753"/>
      <c r="F882" s="753"/>
      <c r="G882" s="753"/>
      <c r="H882" s="753"/>
      <c r="I882" s="753"/>
      <c r="J882" s="753"/>
      <c r="K882" s="753"/>
      <c r="L882" s="753"/>
      <c r="M882" s="753"/>
    </row>
    <row r="883" spans="1:13" s="755" customFormat="1">
      <c r="A883" s="816"/>
      <c r="B883" s="753"/>
      <c r="C883" s="753"/>
      <c r="D883" s="753"/>
      <c r="E883" s="753"/>
      <c r="F883" s="753"/>
      <c r="G883" s="753"/>
      <c r="H883" s="753"/>
      <c r="I883" s="753"/>
      <c r="J883" s="753"/>
      <c r="K883" s="753"/>
      <c r="L883" s="753"/>
      <c r="M883" s="753"/>
    </row>
    <row r="884" spans="1:13" s="755" customFormat="1">
      <c r="A884" s="816"/>
      <c r="B884" s="753"/>
      <c r="C884" s="753"/>
      <c r="D884" s="753"/>
      <c r="E884" s="753"/>
      <c r="F884" s="753"/>
      <c r="G884" s="753"/>
      <c r="H884" s="753"/>
      <c r="I884" s="753"/>
      <c r="J884" s="753"/>
      <c r="K884" s="753"/>
      <c r="L884" s="753"/>
      <c r="M884" s="753"/>
    </row>
    <row r="885" spans="1:13" s="755" customFormat="1">
      <c r="A885" s="816"/>
      <c r="B885" s="753"/>
      <c r="C885" s="753"/>
      <c r="D885" s="753"/>
      <c r="E885" s="753"/>
      <c r="F885" s="753"/>
      <c r="G885" s="753"/>
      <c r="H885" s="753"/>
      <c r="I885" s="753"/>
      <c r="J885" s="753"/>
      <c r="K885" s="753"/>
      <c r="L885" s="753"/>
      <c r="M885" s="753"/>
    </row>
    <row r="886" spans="1:13" s="755" customFormat="1">
      <c r="A886" s="816"/>
      <c r="B886" s="753"/>
      <c r="C886" s="753"/>
      <c r="D886" s="753"/>
      <c r="E886" s="753"/>
      <c r="F886" s="753"/>
      <c r="G886" s="753"/>
      <c r="H886" s="753"/>
      <c r="I886" s="753"/>
      <c r="J886" s="753"/>
      <c r="K886" s="753"/>
      <c r="L886" s="753"/>
      <c r="M886" s="753"/>
    </row>
    <row r="887" spans="1:13" s="755" customFormat="1">
      <c r="A887" s="816"/>
      <c r="B887" s="753"/>
      <c r="C887" s="753"/>
      <c r="D887" s="753"/>
      <c r="E887" s="753"/>
      <c r="F887" s="753"/>
      <c r="G887" s="753"/>
      <c r="H887" s="753"/>
      <c r="I887" s="753"/>
      <c r="J887" s="753"/>
      <c r="K887" s="753"/>
      <c r="L887" s="753"/>
      <c r="M887" s="753"/>
    </row>
    <row r="888" spans="1:13" s="755" customFormat="1">
      <c r="A888" s="816"/>
      <c r="B888" s="753"/>
      <c r="C888" s="753"/>
      <c r="D888" s="753"/>
      <c r="E888" s="753"/>
      <c r="F888" s="753"/>
      <c r="G888" s="753"/>
      <c r="H888" s="753"/>
      <c r="I888" s="753"/>
      <c r="J888" s="753"/>
      <c r="K888" s="753"/>
      <c r="L888" s="753"/>
      <c r="M888" s="753"/>
    </row>
    <row r="889" spans="1:13" s="755" customFormat="1">
      <c r="A889" s="816"/>
      <c r="B889" s="753"/>
      <c r="C889" s="753"/>
      <c r="D889" s="753"/>
      <c r="E889" s="753"/>
      <c r="F889" s="753"/>
      <c r="G889" s="753"/>
      <c r="H889" s="753"/>
      <c r="I889" s="753"/>
      <c r="J889" s="753"/>
      <c r="K889" s="753"/>
      <c r="L889" s="753"/>
      <c r="M889" s="753"/>
    </row>
    <row r="890" spans="1:13" s="755" customFormat="1">
      <c r="A890" s="816"/>
      <c r="B890" s="753"/>
      <c r="C890" s="753"/>
      <c r="D890" s="753"/>
      <c r="E890" s="753"/>
      <c r="F890" s="753"/>
      <c r="G890" s="753"/>
      <c r="H890" s="753"/>
      <c r="I890" s="753"/>
      <c r="J890" s="753"/>
      <c r="K890" s="753"/>
      <c r="L890" s="753"/>
      <c r="M890" s="753"/>
    </row>
    <row r="891" spans="1:13" s="755" customFormat="1">
      <c r="A891" s="816"/>
      <c r="B891" s="753"/>
      <c r="C891" s="753"/>
      <c r="D891" s="753"/>
      <c r="E891" s="753"/>
      <c r="F891" s="753"/>
      <c r="G891" s="753"/>
      <c r="H891" s="753"/>
      <c r="I891" s="753"/>
      <c r="J891" s="753"/>
      <c r="K891" s="753"/>
      <c r="L891" s="753"/>
      <c r="M891" s="753"/>
    </row>
    <row r="892" spans="1:13" s="755" customFormat="1">
      <c r="A892" s="816"/>
      <c r="B892" s="753"/>
      <c r="C892" s="753"/>
      <c r="D892" s="753"/>
      <c r="E892" s="753"/>
      <c r="F892" s="753"/>
      <c r="G892" s="753"/>
      <c r="H892" s="753"/>
      <c r="I892" s="753"/>
      <c r="J892" s="753"/>
      <c r="K892" s="753"/>
      <c r="L892" s="753"/>
      <c r="M892" s="753"/>
    </row>
    <row r="893" spans="1:13" s="755" customFormat="1">
      <c r="A893" s="816"/>
      <c r="B893" s="753"/>
      <c r="C893" s="753"/>
      <c r="D893" s="753"/>
      <c r="E893" s="753"/>
      <c r="F893" s="753"/>
      <c r="G893" s="753"/>
      <c r="H893" s="753"/>
      <c r="I893" s="753"/>
      <c r="J893" s="753"/>
      <c r="K893" s="753"/>
      <c r="L893" s="753"/>
      <c r="M893" s="753"/>
    </row>
    <row r="894" spans="1:13" s="755" customFormat="1">
      <c r="A894" s="816"/>
      <c r="B894" s="753"/>
      <c r="C894" s="753"/>
      <c r="D894" s="753"/>
      <c r="E894" s="753"/>
      <c r="F894" s="753"/>
      <c r="G894" s="753"/>
      <c r="H894" s="753"/>
      <c r="I894" s="753"/>
      <c r="J894" s="753"/>
      <c r="K894" s="753"/>
      <c r="L894" s="753"/>
      <c r="M894" s="753"/>
    </row>
    <row r="895" spans="1:13" s="755" customFormat="1">
      <c r="A895" s="816"/>
      <c r="B895" s="753"/>
      <c r="C895" s="753"/>
      <c r="D895" s="753"/>
      <c r="E895" s="753"/>
      <c r="F895" s="753"/>
      <c r="G895" s="753"/>
      <c r="H895" s="753"/>
      <c r="I895" s="753"/>
      <c r="J895" s="753"/>
      <c r="K895" s="753"/>
      <c r="L895" s="753"/>
      <c r="M895" s="753"/>
    </row>
    <row r="896" spans="1:13" s="755" customFormat="1">
      <c r="A896" s="816"/>
      <c r="B896" s="753"/>
      <c r="C896" s="753"/>
      <c r="D896" s="753"/>
      <c r="E896" s="753"/>
      <c r="F896" s="753"/>
      <c r="G896" s="753"/>
      <c r="H896" s="753"/>
      <c r="I896" s="753"/>
      <c r="J896" s="753"/>
      <c r="K896" s="753"/>
      <c r="L896" s="753"/>
      <c r="M896" s="753"/>
    </row>
    <row r="897" spans="1:13" s="755" customFormat="1">
      <c r="A897" s="816"/>
      <c r="B897" s="753"/>
      <c r="C897" s="753"/>
      <c r="D897" s="753"/>
      <c r="E897" s="753"/>
      <c r="F897" s="753"/>
      <c r="G897" s="753"/>
      <c r="H897" s="753"/>
      <c r="I897" s="753"/>
      <c r="J897" s="753"/>
      <c r="K897" s="753"/>
      <c r="L897" s="753"/>
      <c r="M897" s="753"/>
    </row>
    <row r="898" spans="1:13" s="755" customFormat="1">
      <c r="A898" s="816"/>
      <c r="B898" s="753"/>
      <c r="C898" s="753"/>
      <c r="D898" s="753"/>
      <c r="E898" s="753"/>
      <c r="F898" s="753"/>
      <c r="G898" s="753"/>
      <c r="H898" s="753"/>
      <c r="I898" s="753"/>
      <c r="J898" s="753"/>
      <c r="K898" s="753"/>
      <c r="L898" s="753"/>
      <c r="M898" s="753"/>
    </row>
    <row r="899" spans="1:13" s="755" customFormat="1">
      <c r="A899" s="816"/>
      <c r="B899" s="753"/>
      <c r="C899" s="753"/>
      <c r="D899" s="753"/>
      <c r="E899" s="753"/>
      <c r="F899" s="753"/>
      <c r="G899" s="753"/>
      <c r="H899" s="753"/>
      <c r="I899" s="753"/>
      <c r="J899" s="753"/>
      <c r="K899" s="753"/>
      <c r="L899" s="753"/>
      <c r="M899" s="753"/>
    </row>
    <row r="900" spans="1:13" s="755" customFormat="1">
      <c r="A900" s="816"/>
      <c r="B900" s="753"/>
      <c r="C900" s="753"/>
      <c r="D900" s="753"/>
      <c r="E900" s="753"/>
      <c r="F900" s="753"/>
      <c r="G900" s="753"/>
      <c r="H900" s="753"/>
      <c r="I900" s="753"/>
      <c r="J900" s="753"/>
      <c r="K900" s="753"/>
      <c r="L900" s="753"/>
      <c r="M900" s="753"/>
    </row>
    <row r="901" spans="1:13" s="755" customFormat="1">
      <c r="A901" s="816"/>
      <c r="B901" s="753"/>
      <c r="C901" s="753"/>
      <c r="D901" s="753"/>
      <c r="E901" s="753"/>
      <c r="F901" s="753"/>
      <c r="G901" s="753"/>
      <c r="H901" s="753"/>
      <c r="I901" s="753"/>
      <c r="J901" s="753"/>
      <c r="K901" s="753"/>
      <c r="L901" s="753"/>
      <c r="M901" s="753"/>
    </row>
    <row r="902" spans="1:13" s="755" customFormat="1">
      <c r="A902" s="816"/>
      <c r="B902" s="753"/>
      <c r="C902" s="753"/>
      <c r="D902" s="753"/>
      <c r="E902" s="753"/>
      <c r="F902" s="753"/>
      <c r="G902" s="753"/>
      <c r="H902" s="753"/>
      <c r="I902" s="753"/>
      <c r="J902" s="753"/>
      <c r="K902" s="753"/>
      <c r="L902" s="753"/>
      <c r="M902" s="753"/>
    </row>
    <row r="903" spans="1:13" s="755" customFormat="1">
      <c r="A903" s="816"/>
      <c r="B903" s="753"/>
      <c r="C903" s="753"/>
      <c r="D903" s="753"/>
      <c r="E903" s="753"/>
      <c r="F903" s="753"/>
      <c r="G903" s="753"/>
      <c r="H903" s="753"/>
      <c r="I903" s="753"/>
      <c r="J903" s="753"/>
      <c r="K903" s="753"/>
      <c r="L903" s="753"/>
      <c r="M903" s="753"/>
    </row>
    <row r="904" spans="1:13" s="755" customFormat="1">
      <c r="A904" s="816"/>
      <c r="B904" s="753"/>
      <c r="C904" s="753"/>
      <c r="D904" s="753"/>
      <c r="E904" s="753"/>
      <c r="F904" s="753"/>
      <c r="G904" s="753"/>
      <c r="H904" s="753"/>
      <c r="I904" s="753"/>
      <c r="J904" s="753"/>
      <c r="K904" s="753"/>
      <c r="L904" s="753"/>
      <c r="M904" s="753"/>
    </row>
    <row r="905" spans="1:13" s="755" customFormat="1">
      <c r="A905" s="816"/>
      <c r="B905" s="753"/>
      <c r="C905" s="753"/>
      <c r="D905" s="753"/>
      <c r="E905" s="753"/>
      <c r="F905" s="753"/>
      <c r="G905" s="753"/>
      <c r="H905" s="753"/>
      <c r="I905" s="753"/>
      <c r="J905" s="753"/>
      <c r="K905" s="753"/>
      <c r="L905" s="753"/>
      <c r="M905" s="753"/>
    </row>
    <row r="906" spans="1:13" s="755" customFormat="1">
      <c r="A906" s="816"/>
      <c r="B906" s="753"/>
      <c r="C906" s="753"/>
      <c r="D906" s="753"/>
      <c r="E906" s="753"/>
      <c r="F906" s="753"/>
      <c r="G906" s="753"/>
      <c r="H906" s="753"/>
      <c r="I906" s="753"/>
      <c r="J906" s="753"/>
      <c r="K906" s="753"/>
      <c r="L906" s="753"/>
      <c r="M906" s="753"/>
    </row>
    <row r="907" spans="1:13" s="755" customFormat="1">
      <c r="A907" s="816"/>
      <c r="B907" s="753"/>
      <c r="C907" s="753"/>
      <c r="D907" s="753"/>
      <c r="E907" s="753"/>
      <c r="F907" s="753"/>
      <c r="G907" s="753"/>
      <c r="H907" s="753"/>
      <c r="I907" s="753"/>
      <c r="J907" s="753"/>
      <c r="K907" s="753"/>
      <c r="L907" s="753"/>
      <c r="M907" s="753"/>
    </row>
    <row r="908" spans="1:13" s="755" customFormat="1">
      <c r="A908" s="816"/>
      <c r="B908" s="753"/>
      <c r="C908" s="753"/>
      <c r="D908" s="753"/>
      <c r="E908" s="753"/>
      <c r="F908" s="753"/>
      <c r="G908" s="753"/>
      <c r="H908" s="753"/>
      <c r="I908" s="753"/>
      <c r="J908" s="753"/>
      <c r="K908" s="753"/>
      <c r="L908" s="753"/>
      <c r="M908" s="753"/>
    </row>
    <row r="909" spans="1:13" s="755" customFormat="1">
      <c r="A909" s="816"/>
      <c r="B909" s="753"/>
      <c r="C909" s="753"/>
      <c r="D909" s="753"/>
      <c r="E909" s="753"/>
      <c r="F909" s="753"/>
      <c r="G909" s="753"/>
      <c r="H909" s="753"/>
      <c r="I909" s="753"/>
      <c r="J909" s="753"/>
      <c r="K909" s="753"/>
      <c r="L909" s="753"/>
      <c r="M909" s="753"/>
    </row>
    <row r="910" spans="1:13" s="755" customFormat="1">
      <c r="A910" s="816"/>
      <c r="B910" s="753"/>
      <c r="C910" s="753"/>
      <c r="D910" s="753"/>
      <c r="E910" s="753"/>
      <c r="F910" s="753"/>
      <c r="G910" s="753"/>
      <c r="H910" s="753"/>
      <c r="I910" s="753"/>
      <c r="J910" s="753"/>
      <c r="K910" s="753"/>
      <c r="L910" s="753"/>
      <c r="M910" s="753"/>
    </row>
    <row r="911" spans="1:13" s="755" customFormat="1">
      <c r="A911" s="816"/>
      <c r="B911" s="753"/>
      <c r="C911" s="753"/>
      <c r="D911" s="753"/>
      <c r="E911" s="753"/>
      <c r="F911" s="753"/>
      <c r="G911" s="753"/>
      <c r="H911" s="753"/>
      <c r="I911" s="753"/>
      <c r="J911" s="753"/>
      <c r="K911" s="753"/>
      <c r="L911" s="753"/>
      <c r="M911" s="753"/>
    </row>
    <row r="912" spans="1:13" s="755" customFormat="1">
      <c r="A912" s="816"/>
      <c r="B912" s="753"/>
      <c r="C912" s="753"/>
      <c r="D912" s="753"/>
      <c r="E912" s="753"/>
      <c r="F912" s="753"/>
      <c r="G912" s="753"/>
      <c r="H912" s="753"/>
      <c r="I912" s="753"/>
      <c r="J912" s="753"/>
      <c r="K912" s="753"/>
      <c r="L912" s="753"/>
      <c r="M912" s="753"/>
    </row>
    <row r="913" spans="1:13" s="755" customFormat="1">
      <c r="A913" s="816"/>
      <c r="B913" s="753"/>
      <c r="C913" s="753"/>
      <c r="D913" s="753"/>
      <c r="E913" s="753"/>
      <c r="F913" s="753"/>
      <c r="G913" s="753"/>
      <c r="H913" s="753"/>
      <c r="I913" s="753"/>
      <c r="J913" s="753"/>
      <c r="K913" s="753"/>
      <c r="L913" s="753"/>
      <c r="M913" s="753"/>
    </row>
    <row r="914" spans="1:13" s="755" customFormat="1">
      <c r="A914" s="816"/>
      <c r="B914" s="753"/>
      <c r="C914" s="753"/>
      <c r="D914" s="753"/>
      <c r="E914" s="753"/>
      <c r="F914" s="753"/>
      <c r="G914" s="753"/>
      <c r="H914" s="753"/>
      <c r="I914" s="753"/>
      <c r="J914" s="753"/>
      <c r="K914" s="753"/>
      <c r="L914" s="753"/>
      <c r="M914" s="753"/>
    </row>
    <row r="915" spans="1:13" s="755" customFormat="1">
      <c r="A915" s="816"/>
      <c r="B915" s="753"/>
      <c r="C915" s="753"/>
      <c r="D915" s="753"/>
      <c r="E915" s="753"/>
      <c r="F915" s="753"/>
      <c r="G915" s="753"/>
      <c r="H915" s="753"/>
      <c r="I915" s="753"/>
      <c r="J915" s="753"/>
      <c r="K915" s="753"/>
      <c r="L915" s="753"/>
      <c r="M915" s="753"/>
    </row>
    <row r="916" spans="1:13" s="755" customFormat="1">
      <c r="A916" s="816"/>
      <c r="B916" s="753"/>
      <c r="C916" s="753"/>
      <c r="D916" s="753"/>
      <c r="E916" s="753"/>
      <c r="F916" s="753"/>
      <c r="G916" s="753"/>
      <c r="H916" s="753"/>
      <c r="I916" s="753"/>
      <c r="J916" s="753"/>
      <c r="K916" s="753"/>
      <c r="L916" s="753"/>
      <c r="M916" s="753"/>
    </row>
    <row r="917" spans="1:13" s="755" customFormat="1">
      <c r="A917" s="816"/>
      <c r="B917" s="753"/>
      <c r="C917" s="753"/>
      <c r="D917" s="753"/>
      <c r="E917" s="753"/>
      <c r="F917" s="753"/>
      <c r="G917" s="753"/>
      <c r="H917" s="753"/>
      <c r="I917" s="753"/>
      <c r="J917" s="753"/>
      <c r="K917" s="753"/>
      <c r="L917" s="753"/>
      <c r="M917" s="753"/>
    </row>
    <row r="918" spans="1:13" s="755" customFormat="1">
      <c r="A918" s="816"/>
      <c r="B918" s="753"/>
      <c r="C918" s="753"/>
      <c r="D918" s="753"/>
      <c r="E918" s="753"/>
      <c r="F918" s="753"/>
      <c r="G918" s="753"/>
      <c r="H918" s="753"/>
      <c r="I918" s="753"/>
      <c r="J918" s="753"/>
      <c r="K918" s="753"/>
      <c r="L918" s="753"/>
      <c r="M918" s="753"/>
    </row>
    <row r="919" spans="1:13" s="755" customFormat="1">
      <c r="A919" s="816"/>
      <c r="B919" s="753"/>
      <c r="C919" s="753"/>
      <c r="D919" s="753"/>
      <c r="E919" s="753"/>
      <c r="F919" s="753"/>
      <c r="G919" s="753"/>
      <c r="H919" s="753"/>
      <c r="I919" s="753"/>
      <c r="J919" s="753"/>
      <c r="K919" s="753"/>
      <c r="L919" s="753"/>
      <c r="M919" s="753"/>
    </row>
    <row r="920" spans="1:13" s="755" customFormat="1">
      <c r="A920" s="816"/>
      <c r="B920" s="753"/>
      <c r="C920" s="753"/>
      <c r="D920" s="753"/>
      <c r="E920" s="753"/>
      <c r="F920" s="753"/>
      <c r="G920" s="753"/>
      <c r="H920" s="753"/>
      <c r="I920" s="753"/>
      <c r="J920" s="753"/>
      <c r="K920" s="753"/>
      <c r="L920" s="753"/>
      <c r="M920" s="753"/>
    </row>
    <row r="921" spans="1:13" s="755" customFormat="1">
      <c r="A921" s="816"/>
      <c r="B921" s="753"/>
      <c r="C921" s="753"/>
      <c r="D921" s="753"/>
      <c r="E921" s="753"/>
      <c r="F921" s="753"/>
      <c r="G921" s="753"/>
      <c r="H921" s="753"/>
      <c r="I921" s="753"/>
      <c r="J921" s="753"/>
      <c r="K921" s="753"/>
      <c r="L921" s="753"/>
      <c r="M921" s="753"/>
    </row>
    <row r="922" spans="1:13" s="755" customFormat="1">
      <c r="A922" s="816"/>
      <c r="B922" s="753"/>
      <c r="C922" s="753"/>
      <c r="D922" s="753"/>
      <c r="E922" s="753"/>
      <c r="F922" s="753"/>
      <c r="G922" s="753"/>
      <c r="H922" s="753"/>
      <c r="I922" s="753"/>
      <c r="J922" s="753"/>
      <c r="K922" s="753"/>
      <c r="L922" s="753"/>
      <c r="M922" s="753"/>
    </row>
    <row r="923" spans="1:13" s="755" customFormat="1">
      <c r="A923" s="816"/>
      <c r="B923" s="753"/>
      <c r="C923" s="753"/>
      <c r="D923" s="753"/>
      <c r="E923" s="753"/>
      <c r="F923" s="753"/>
      <c r="G923" s="753"/>
      <c r="H923" s="753"/>
      <c r="I923" s="753"/>
      <c r="J923" s="753"/>
      <c r="K923" s="753"/>
      <c r="L923" s="753"/>
      <c r="M923" s="753"/>
    </row>
    <row r="924" spans="1:13" s="755" customFormat="1">
      <c r="A924" s="816"/>
      <c r="B924" s="753"/>
      <c r="C924" s="753"/>
      <c r="D924" s="753"/>
      <c r="E924" s="753"/>
      <c r="F924" s="753"/>
      <c r="G924" s="753"/>
      <c r="H924" s="753"/>
      <c r="I924" s="753"/>
      <c r="J924" s="753"/>
      <c r="K924" s="753"/>
      <c r="L924" s="753"/>
      <c r="M924" s="753"/>
    </row>
    <row r="925" spans="1:13" s="755" customFormat="1">
      <c r="A925" s="816"/>
      <c r="B925" s="753"/>
      <c r="C925" s="753"/>
      <c r="D925" s="753"/>
      <c r="E925" s="753"/>
      <c r="F925" s="753"/>
      <c r="G925" s="753"/>
      <c r="H925" s="753"/>
      <c r="I925" s="753"/>
      <c r="J925" s="753"/>
      <c r="K925" s="753"/>
      <c r="L925" s="753"/>
      <c r="M925" s="753"/>
    </row>
    <row r="926" spans="1:13" s="755" customFormat="1">
      <c r="A926" s="816"/>
      <c r="B926" s="753"/>
      <c r="C926" s="753"/>
      <c r="D926" s="753"/>
      <c r="E926" s="753"/>
      <c r="F926" s="753"/>
      <c r="G926" s="753"/>
      <c r="H926" s="753"/>
      <c r="I926" s="753"/>
      <c r="J926" s="753"/>
      <c r="K926" s="753"/>
      <c r="L926" s="753"/>
      <c r="M926" s="753"/>
    </row>
    <row r="927" spans="1:13" s="755" customFormat="1">
      <c r="A927" s="816"/>
      <c r="B927" s="753"/>
      <c r="C927" s="753"/>
      <c r="D927" s="753"/>
      <c r="E927" s="753"/>
      <c r="F927" s="753"/>
      <c r="G927" s="753"/>
      <c r="H927" s="753"/>
      <c r="I927" s="753"/>
      <c r="J927" s="753"/>
      <c r="K927" s="753"/>
      <c r="L927" s="753"/>
      <c r="M927" s="753"/>
    </row>
    <row r="928" spans="1:13" s="755" customFormat="1">
      <c r="A928" s="816"/>
      <c r="B928" s="753"/>
      <c r="C928" s="753"/>
      <c r="D928" s="753"/>
      <c r="E928" s="753"/>
      <c r="F928" s="753"/>
      <c r="G928" s="753"/>
      <c r="H928" s="753"/>
      <c r="I928" s="753"/>
      <c r="J928" s="753"/>
      <c r="K928" s="753"/>
      <c r="L928" s="753"/>
      <c r="M928" s="753"/>
    </row>
    <row r="929" spans="1:13" s="755" customFormat="1">
      <c r="A929" s="816"/>
      <c r="B929" s="753"/>
      <c r="C929" s="753"/>
      <c r="D929" s="753"/>
      <c r="E929" s="753"/>
      <c r="F929" s="753"/>
      <c r="G929" s="753"/>
      <c r="H929" s="753"/>
      <c r="I929" s="753"/>
      <c r="J929" s="753"/>
      <c r="K929" s="753"/>
      <c r="L929" s="753"/>
      <c r="M929" s="753"/>
    </row>
    <row r="930" spans="1:13" s="755" customFormat="1">
      <c r="A930" s="816"/>
      <c r="B930" s="753"/>
      <c r="C930" s="753"/>
      <c r="D930" s="753"/>
      <c r="E930" s="753"/>
      <c r="F930" s="753"/>
      <c r="G930" s="753"/>
      <c r="H930" s="753"/>
      <c r="I930" s="753"/>
      <c r="J930" s="753"/>
      <c r="K930" s="753"/>
      <c r="L930" s="753"/>
      <c r="M930" s="753"/>
    </row>
    <row r="931" spans="1:13" s="755" customFormat="1">
      <c r="A931" s="816"/>
      <c r="B931" s="753"/>
      <c r="C931" s="753"/>
      <c r="D931" s="753"/>
      <c r="E931" s="753"/>
      <c r="F931" s="753"/>
      <c r="G931" s="753"/>
      <c r="H931" s="753"/>
      <c r="I931" s="753"/>
      <c r="J931" s="753"/>
      <c r="K931" s="753"/>
      <c r="L931" s="753"/>
      <c r="M931" s="753"/>
    </row>
    <row r="932" spans="1:13" s="755" customFormat="1">
      <c r="A932" s="816"/>
      <c r="B932" s="753"/>
      <c r="C932" s="753"/>
      <c r="D932" s="753"/>
      <c r="E932" s="753"/>
      <c r="F932" s="753"/>
      <c r="G932" s="753"/>
      <c r="H932" s="753"/>
      <c r="I932" s="753"/>
      <c r="J932" s="753"/>
      <c r="K932" s="753"/>
      <c r="L932" s="753"/>
      <c r="M932" s="753"/>
    </row>
    <row r="933" spans="1:13" s="755" customFormat="1">
      <c r="A933" s="816"/>
      <c r="B933" s="753"/>
      <c r="C933" s="753"/>
      <c r="D933" s="753"/>
      <c r="E933" s="753"/>
      <c r="F933" s="753"/>
      <c r="G933" s="753"/>
      <c r="H933" s="753"/>
      <c r="I933" s="753"/>
      <c r="J933" s="753"/>
      <c r="K933" s="753"/>
      <c r="L933" s="753"/>
      <c r="M933" s="753"/>
    </row>
    <row r="934" spans="1:13" s="755" customFormat="1">
      <c r="A934" s="816"/>
      <c r="B934" s="753"/>
      <c r="C934" s="753"/>
      <c r="D934" s="753"/>
      <c r="E934" s="753"/>
      <c r="F934" s="753"/>
      <c r="G934" s="753"/>
      <c r="H934" s="753"/>
      <c r="I934" s="753"/>
      <c r="J934" s="753"/>
      <c r="K934" s="753"/>
      <c r="L934" s="753"/>
      <c r="M934" s="753"/>
    </row>
    <row r="935" spans="1:13" s="755" customFormat="1">
      <c r="A935" s="816"/>
      <c r="B935" s="753"/>
      <c r="C935" s="753"/>
      <c r="D935" s="753"/>
      <c r="E935" s="753"/>
      <c r="F935" s="753"/>
      <c r="G935" s="753"/>
      <c r="H935" s="753"/>
      <c r="I935" s="753"/>
      <c r="J935" s="753"/>
      <c r="K935" s="753"/>
      <c r="L935" s="753"/>
      <c r="M935" s="753"/>
    </row>
    <row r="936" spans="1:13" s="755" customFormat="1">
      <c r="A936" s="816"/>
      <c r="B936" s="753"/>
      <c r="C936" s="753"/>
      <c r="D936" s="753"/>
      <c r="E936" s="753"/>
      <c r="F936" s="753"/>
      <c r="G936" s="753"/>
      <c r="H936" s="753"/>
      <c r="I936" s="753"/>
      <c r="J936" s="753"/>
      <c r="K936" s="753"/>
      <c r="L936" s="753"/>
      <c r="M936" s="753"/>
    </row>
    <row r="937" spans="1:13" s="755" customFormat="1">
      <c r="A937" s="816"/>
      <c r="B937" s="753"/>
      <c r="C937" s="753"/>
      <c r="D937" s="753"/>
      <c r="E937" s="753"/>
      <c r="F937" s="753"/>
      <c r="G937" s="753"/>
      <c r="H937" s="753"/>
      <c r="I937" s="753"/>
      <c r="J937" s="753"/>
      <c r="K937" s="753"/>
      <c r="L937" s="753"/>
      <c r="M937" s="753"/>
    </row>
    <row r="938" spans="1:13" s="755" customFormat="1">
      <c r="A938" s="816"/>
      <c r="B938" s="753"/>
      <c r="C938" s="753"/>
      <c r="D938" s="753"/>
      <c r="E938" s="753"/>
      <c r="F938" s="753"/>
      <c r="G938" s="753"/>
      <c r="H938" s="753"/>
      <c r="I938" s="753"/>
      <c r="J938" s="753"/>
      <c r="K938" s="753"/>
      <c r="L938" s="753"/>
      <c r="M938" s="753"/>
    </row>
    <row r="939" spans="1:13" s="755" customFormat="1">
      <c r="A939" s="816"/>
      <c r="B939" s="753"/>
      <c r="C939" s="753"/>
      <c r="D939" s="753"/>
      <c r="E939" s="753"/>
      <c r="F939" s="753"/>
      <c r="G939" s="753"/>
      <c r="H939" s="753"/>
      <c r="I939" s="753"/>
      <c r="J939" s="753"/>
      <c r="K939" s="753"/>
      <c r="L939" s="753"/>
      <c r="M939" s="753"/>
    </row>
    <row r="940" spans="1:13" s="755" customFormat="1">
      <c r="A940" s="816"/>
      <c r="B940" s="753"/>
      <c r="C940" s="753"/>
      <c r="D940" s="753"/>
      <c r="E940" s="753"/>
      <c r="F940" s="753"/>
      <c r="G940" s="753"/>
      <c r="H940" s="753"/>
      <c r="I940" s="753"/>
      <c r="J940" s="753"/>
      <c r="K940" s="753"/>
      <c r="L940" s="753"/>
      <c r="M940" s="753"/>
    </row>
    <row r="941" spans="1:13" s="755" customFormat="1">
      <c r="A941" s="816"/>
      <c r="B941" s="753"/>
      <c r="C941" s="753"/>
      <c r="D941" s="753"/>
      <c r="E941" s="753"/>
      <c r="F941" s="753"/>
      <c r="G941" s="753"/>
      <c r="H941" s="753"/>
      <c r="I941" s="753"/>
      <c r="J941" s="753"/>
      <c r="K941" s="753"/>
      <c r="L941" s="753"/>
      <c r="M941" s="753"/>
    </row>
    <row r="942" spans="1:13" s="755" customFormat="1">
      <c r="A942" s="816"/>
      <c r="B942" s="753"/>
      <c r="C942" s="753"/>
      <c r="D942" s="753"/>
      <c r="E942" s="753"/>
      <c r="F942" s="753"/>
      <c r="G942" s="753"/>
      <c r="H942" s="753"/>
      <c r="I942" s="753"/>
      <c r="J942" s="753"/>
      <c r="K942" s="753"/>
      <c r="L942" s="753"/>
      <c r="M942" s="753"/>
    </row>
    <row r="943" spans="1:13" s="755" customFormat="1">
      <c r="A943" s="816"/>
      <c r="B943" s="753"/>
      <c r="C943" s="753"/>
      <c r="D943" s="753"/>
      <c r="E943" s="753"/>
      <c r="F943" s="753"/>
      <c r="G943" s="753"/>
      <c r="H943" s="753"/>
      <c r="I943" s="753"/>
      <c r="J943" s="753"/>
      <c r="K943" s="753"/>
      <c r="L943" s="753"/>
      <c r="M943" s="753"/>
    </row>
    <row r="944" spans="1:13" s="755" customFormat="1">
      <c r="A944" s="816"/>
      <c r="B944" s="753"/>
      <c r="C944" s="753"/>
      <c r="D944" s="753"/>
      <c r="E944" s="753"/>
      <c r="F944" s="753"/>
      <c r="G944" s="753"/>
      <c r="H944" s="753"/>
      <c r="I944" s="753"/>
      <c r="J944" s="753"/>
      <c r="K944" s="753"/>
      <c r="L944" s="753"/>
      <c r="M944" s="753"/>
    </row>
    <row r="945" spans="1:13" s="755" customFormat="1">
      <c r="A945" s="816"/>
      <c r="B945" s="753"/>
      <c r="C945" s="753"/>
      <c r="D945" s="753"/>
      <c r="E945" s="753"/>
      <c r="F945" s="753"/>
      <c r="G945" s="753"/>
      <c r="H945" s="753"/>
      <c r="I945" s="753"/>
      <c r="J945" s="753"/>
      <c r="K945" s="753"/>
      <c r="L945" s="753"/>
      <c r="M945" s="753"/>
    </row>
    <row r="946" spans="1:13" s="755" customFormat="1">
      <c r="A946" s="816"/>
      <c r="B946" s="753"/>
      <c r="C946" s="753"/>
      <c r="D946" s="753"/>
      <c r="E946" s="753"/>
      <c r="F946" s="753"/>
      <c r="G946" s="753"/>
      <c r="H946" s="753"/>
      <c r="I946" s="753"/>
      <c r="J946" s="753"/>
      <c r="K946" s="753"/>
      <c r="L946" s="753"/>
      <c r="M946" s="753"/>
    </row>
    <row r="947" spans="1:13" s="755" customFormat="1">
      <c r="A947" s="816"/>
      <c r="B947" s="753"/>
      <c r="C947" s="753"/>
      <c r="D947" s="753"/>
      <c r="E947" s="753"/>
      <c r="F947" s="753"/>
      <c r="G947" s="753"/>
      <c r="H947" s="753"/>
      <c r="I947" s="753"/>
      <c r="J947" s="753"/>
      <c r="K947" s="753"/>
      <c r="L947" s="753"/>
      <c r="M947" s="753"/>
    </row>
    <row r="948" spans="1:13" s="755" customFormat="1">
      <c r="A948" s="816"/>
      <c r="B948" s="753"/>
      <c r="C948" s="753"/>
      <c r="D948" s="753"/>
      <c r="E948" s="753"/>
      <c r="F948" s="753"/>
      <c r="G948" s="753"/>
      <c r="H948" s="753"/>
      <c r="I948" s="753"/>
      <c r="J948" s="753"/>
      <c r="K948" s="753"/>
      <c r="L948" s="753"/>
      <c r="M948" s="753"/>
    </row>
    <row r="949" spans="1:13" s="755" customFormat="1">
      <c r="A949" s="816"/>
      <c r="B949" s="753"/>
      <c r="C949" s="753"/>
      <c r="D949" s="753"/>
      <c r="E949" s="753"/>
      <c r="F949" s="753"/>
      <c r="G949" s="753"/>
      <c r="H949" s="753"/>
      <c r="I949" s="753"/>
      <c r="J949" s="753"/>
      <c r="K949" s="753"/>
      <c r="L949" s="753"/>
      <c r="M949" s="753"/>
    </row>
    <row r="950" spans="1:13" s="755" customFormat="1">
      <c r="A950" s="816"/>
      <c r="B950" s="753"/>
      <c r="C950" s="753"/>
      <c r="D950" s="753"/>
      <c r="E950" s="753"/>
      <c r="F950" s="753"/>
      <c r="G950" s="753"/>
      <c r="H950" s="753"/>
      <c r="I950" s="753"/>
      <c r="J950" s="753"/>
      <c r="K950" s="753"/>
      <c r="L950" s="753"/>
      <c r="M950" s="753"/>
    </row>
    <row r="951" spans="1:13" s="755" customFormat="1">
      <c r="A951" s="816"/>
      <c r="B951" s="753"/>
      <c r="C951" s="753"/>
      <c r="D951" s="753"/>
      <c r="E951" s="753"/>
      <c r="F951" s="753"/>
      <c r="G951" s="753"/>
      <c r="H951" s="753"/>
      <c r="I951" s="753"/>
      <c r="J951" s="753"/>
      <c r="K951" s="753"/>
      <c r="L951" s="753"/>
      <c r="M951" s="753"/>
    </row>
    <row r="952" spans="1:13" s="755" customFormat="1">
      <c r="A952" s="816"/>
      <c r="B952" s="753"/>
      <c r="C952" s="753"/>
      <c r="D952" s="753"/>
      <c r="E952" s="753"/>
      <c r="F952" s="753"/>
      <c r="G952" s="753"/>
      <c r="H952" s="753"/>
      <c r="I952" s="753"/>
      <c r="J952" s="753"/>
      <c r="K952" s="753"/>
      <c r="L952" s="753"/>
      <c r="M952" s="753"/>
    </row>
    <row r="953" spans="1:13" s="755" customFormat="1">
      <c r="A953" s="816"/>
      <c r="B953" s="753"/>
      <c r="C953" s="753"/>
      <c r="D953" s="753"/>
      <c r="E953" s="753"/>
      <c r="F953" s="753"/>
      <c r="G953" s="753"/>
      <c r="H953" s="753"/>
      <c r="I953" s="753"/>
      <c r="J953" s="753"/>
      <c r="K953" s="753"/>
      <c r="L953" s="753"/>
      <c r="M953" s="753"/>
    </row>
    <row r="954" spans="1:13" s="755" customFormat="1">
      <c r="A954" s="816"/>
      <c r="B954" s="753"/>
      <c r="C954" s="753"/>
      <c r="D954" s="753"/>
      <c r="E954" s="753"/>
      <c r="F954" s="753"/>
      <c r="G954" s="753"/>
      <c r="H954" s="753"/>
      <c r="I954" s="753"/>
      <c r="J954" s="753"/>
      <c r="K954" s="753"/>
      <c r="L954" s="753"/>
      <c r="M954" s="753"/>
    </row>
    <row r="955" spans="1:13" s="755" customFormat="1">
      <c r="A955" s="816"/>
      <c r="B955" s="753"/>
      <c r="C955" s="753"/>
      <c r="D955" s="753"/>
      <c r="E955" s="753"/>
      <c r="F955" s="753"/>
      <c r="G955" s="753"/>
      <c r="H955" s="753"/>
      <c r="I955" s="753"/>
      <c r="J955" s="753"/>
      <c r="K955" s="753"/>
      <c r="L955" s="753"/>
      <c r="M955" s="753"/>
    </row>
    <row r="956" spans="1:13" s="755" customFormat="1">
      <c r="A956" s="816"/>
      <c r="B956" s="753"/>
      <c r="C956" s="753"/>
      <c r="D956" s="753"/>
      <c r="E956" s="753"/>
      <c r="F956" s="753"/>
      <c r="G956" s="753"/>
      <c r="H956" s="753"/>
      <c r="I956" s="753"/>
      <c r="J956" s="753"/>
      <c r="K956" s="753"/>
      <c r="L956" s="753"/>
      <c r="M956" s="753"/>
    </row>
    <row r="957" spans="1:13" s="755" customFormat="1">
      <c r="A957" s="816"/>
      <c r="B957" s="753"/>
      <c r="C957" s="753"/>
      <c r="D957" s="753"/>
      <c r="E957" s="753"/>
      <c r="F957" s="753"/>
      <c r="G957" s="753"/>
      <c r="H957" s="753"/>
      <c r="I957" s="753"/>
      <c r="J957" s="753"/>
      <c r="K957" s="753"/>
      <c r="L957" s="753"/>
      <c r="M957" s="753"/>
    </row>
    <row r="958" spans="1:13" s="755" customFormat="1">
      <c r="A958" s="816"/>
      <c r="B958" s="753"/>
      <c r="C958" s="753"/>
      <c r="D958" s="753"/>
      <c r="E958" s="753"/>
      <c r="F958" s="753"/>
      <c r="G958" s="753"/>
      <c r="H958" s="753"/>
      <c r="I958" s="753"/>
      <c r="J958" s="753"/>
      <c r="K958" s="753"/>
      <c r="L958" s="753"/>
      <c r="M958" s="753"/>
    </row>
    <row r="959" spans="1:13" s="755" customFormat="1">
      <c r="A959" s="816"/>
      <c r="B959" s="753"/>
      <c r="C959" s="753"/>
      <c r="D959" s="753"/>
      <c r="E959" s="753"/>
      <c r="F959" s="753"/>
      <c r="G959" s="753"/>
      <c r="H959" s="753"/>
      <c r="I959" s="753"/>
      <c r="J959" s="753"/>
      <c r="K959" s="753"/>
      <c r="L959" s="753"/>
      <c r="M959" s="753"/>
    </row>
    <row r="960" spans="1:13" s="755" customFormat="1">
      <c r="A960" s="816"/>
      <c r="B960" s="753"/>
      <c r="C960" s="753"/>
      <c r="D960" s="753"/>
      <c r="E960" s="753"/>
      <c r="F960" s="753"/>
      <c r="G960" s="753"/>
      <c r="H960" s="753"/>
      <c r="I960" s="753"/>
      <c r="J960" s="753"/>
      <c r="K960" s="753"/>
      <c r="L960" s="753"/>
      <c r="M960" s="753"/>
    </row>
    <row r="961" spans="1:13" s="755" customFormat="1">
      <c r="A961" s="816"/>
      <c r="B961" s="753"/>
      <c r="C961" s="753"/>
      <c r="D961" s="753"/>
      <c r="E961" s="753"/>
      <c r="F961" s="753"/>
      <c r="G961" s="753"/>
      <c r="H961" s="753"/>
      <c r="I961" s="753"/>
      <c r="J961" s="753"/>
      <c r="K961" s="753"/>
      <c r="L961" s="753"/>
      <c r="M961" s="753"/>
    </row>
    <row r="962" spans="1:13" s="755" customFormat="1">
      <c r="A962" s="816"/>
      <c r="B962" s="753"/>
      <c r="C962" s="753"/>
      <c r="D962" s="753"/>
      <c r="E962" s="753"/>
      <c r="F962" s="753"/>
      <c r="G962" s="753"/>
      <c r="H962" s="753"/>
      <c r="I962" s="753"/>
      <c r="J962" s="753"/>
      <c r="K962" s="753"/>
      <c r="L962" s="753"/>
      <c r="M962" s="753"/>
    </row>
    <row r="963" spans="1:13" s="755" customFormat="1">
      <c r="A963" s="816"/>
      <c r="B963" s="753"/>
      <c r="C963" s="753"/>
      <c r="D963" s="753"/>
      <c r="E963" s="753"/>
      <c r="F963" s="753"/>
      <c r="G963" s="753"/>
      <c r="H963" s="753"/>
      <c r="I963" s="753"/>
      <c r="J963" s="753"/>
      <c r="K963" s="753"/>
      <c r="L963" s="753"/>
      <c r="M963" s="753"/>
    </row>
    <row r="964" spans="1:13" s="755" customFormat="1">
      <c r="A964" s="816"/>
      <c r="B964" s="753"/>
      <c r="C964" s="753"/>
      <c r="D964" s="753"/>
      <c r="E964" s="753"/>
      <c r="F964" s="753"/>
      <c r="G964" s="753"/>
      <c r="H964" s="753"/>
      <c r="I964" s="753"/>
      <c r="J964" s="753"/>
      <c r="K964" s="753"/>
      <c r="L964" s="753"/>
      <c r="M964" s="753"/>
    </row>
    <row r="965" spans="1:13" s="755" customFormat="1">
      <c r="A965" s="816"/>
      <c r="B965" s="753"/>
      <c r="C965" s="753"/>
      <c r="D965" s="753"/>
      <c r="E965" s="753"/>
      <c r="F965" s="753"/>
      <c r="G965" s="753"/>
      <c r="H965" s="753"/>
      <c r="I965" s="753"/>
      <c r="J965" s="753"/>
      <c r="K965" s="753"/>
      <c r="L965" s="753"/>
      <c r="M965" s="753"/>
    </row>
    <row r="966" spans="1:13" s="755" customFormat="1">
      <c r="A966" s="816"/>
      <c r="B966" s="753"/>
      <c r="C966" s="753"/>
      <c r="D966" s="753"/>
      <c r="E966" s="753"/>
      <c r="F966" s="753"/>
      <c r="G966" s="753"/>
      <c r="H966" s="753"/>
      <c r="I966" s="753"/>
      <c r="J966" s="753"/>
      <c r="K966" s="753"/>
      <c r="L966" s="753"/>
      <c r="M966" s="753"/>
    </row>
    <row r="967" spans="1:13" s="755" customFormat="1">
      <c r="A967" s="816"/>
      <c r="B967" s="753"/>
      <c r="C967" s="753"/>
      <c r="D967" s="753"/>
      <c r="E967" s="753"/>
      <c r="F967" s="753"/>
      <c r="G967" s="753"/>
      <c r="H967" s="753"/>
      <c r="I967" s="753"/>
      <c r="J967" s="753"/>
      <c r="K967" s="753"/>
      <c r="L967" s="753"/>
      <c r="M967" s="753"/>
    </row>
    <row r="968" spans="1:13" s="755" customFormat="1">
      <c r="A968" s="816"/>
      <c r="B968" s="753"/>
      <c r="C968" s="753"/>
      <c r="D968" s="753"/>
      <c r="E968" s="753"/>
      <c r="F968" s="753"/>
      <c r="G968" s="753"/>
      <c r="H968" s="753"/>
      <c r="I968" s="753"/>
      <c r="J968" s="753"/>
      <c r="K968" s="753"/>
      <c r="L968" s="753"/>
      <c r="M968" s="753"/>
    </row>
    <row r="969" spans="1:13" s="755" customFormat="1">
      <c r="A969" s="816"/>
      <c r="B969" s="753"/>
      <c r="C969" s="753"/>
      <c r="D969" s="753"/>
      <c r="E969" s="753"/>
      <c r="F969" s="753"/>
      <c r="G969" s="753"/>
      <c r="H969" s="753"/>
      <c r="I969" s="753"/>
      <c r="J969" s="753"/>
      <c r="K969" s="753"/>
      <c r="L969" s="753"/>
      <c r="M969" s="753"/>
    </row>
    <row r="970" spans="1:13" s="755" customFormat="1">
      <c r="A970" s="816"/>
      <c r="B970" s="753"/>
      <c r="C970" s="753"/>
      <c r="D970" s="753"/>
      <c r="E970" s="753"/>
      <c r="F970" s="753"/>
      <c r="G970" s="753"/>
      <c r="H970" s="753"/>
      <c r="I970" s="753"/>
      <c r="J970" s="753"/>
      <c r="K970" s="753"/>
      <c r="L970" s="753"/>
      <c r="M970" s="753"/>
    </row>
    <row r="971" spans="1:13" s="755" customFormat="1">
      <c r="A971" s="816"/>
      <c r="B971" s="753"/>
      <c r="C971" s="753"/>
      <c r="D971" s="753"/>
      <c r="E971" s="753"/>
      <c r="F971" s="753"/>
      <c r="G971" s="753"/>
      <c r="H971" s="753"/>
      <c r="I971" s="753"/>
      <c r="J971" s="753"/>
      <c r="K971" s="753"/>
      <c r="L971" s="753"/>
      <c r="M971" s="753"/>
    </row>
    <row r="972" spans="1:13" s="755" customFormat="1">
      <c r="A972" s="816"/>
      <c r="B972" s="753"/>
      <c r="C972" s="753"/>
      <c r="D972" s="753"/>
      <c r="E972" s="753"/>
      <c r="F972" s="753"/>
      <c r="G972" s="753"/>
      <c r="H972" s="753"/>
      <c r="I972" s="753"/>
      <c r="J972" s="753"/>
      <c r="K972" s="753"/>
      <c r="L972" s="753"/>
      <c r="M972" s="753"/>
    </row>
    <row r="973" spans="1:13" s="755" customFormat="1">
      <c r="A973" s="816"/>
      <c r="B973" s="753"/>
      <c r="C973" s="753"/>
      <c r="D973" s="753"/>
      <c r="E973" s="753"/>
      <c r="F973" s="753"/>
      <c r="G973" s="753"/>
      <c r="H973" s="753"/>
      <c r="I973" s="753"/>
      <c r="J973" s="753"/>
      <c r="K973" s="753"/>
      <c r="L973" s="753"/>
      <c r="M973" s="753"/>
    </row>
    <row r="974" spans="1:13" s="755" customFormat="1">
      <c r="A974" s="816"/>
      <c r="B974" s="753"/>
      <c r="C974" s="753"/>
      <c r="D974" s="753"/>
      <c r="E974" s="753"/>
      <c r="F974" s="753"/>
      <c r="G974" s="753"/>
      <c r="H974" s="753"/>
      <c r="I974" s="753"/>
      <c r="J974" s="753"/>
      <c r="K974" s="753"/>
      <c r="L974" s="753"/>
      <c r="M974" s="753"/>
    </row>
    <row r="975" spans="1:13" s="755" customFormat="1">
      <c r="A975" s="816"/>
      <c r="B975" s="753"/>
      <c r="C975" s="753"/>
      <c r="D975" s="753"/>
      <c r="E975" s="753"/>
      <c r="F975" s="753"/>
      <c r="G975" s="753"/>
      <c r="H975" s="753"/>
      <c r="I975" s="753"/>
      <c r="J975" s="753"/>
      <c r="K975" s="753"/>
      <c r="L975" s="753"/>
      <c r="M975" s="753"/>
    </row>
    <row r="976" spans="1:13" s="755" customFormat="1">
      <c r="A976" s="816"/>
      <c r="B976" s="753"/>
      <c r="C976" s="753"/>
      <c r="D976" s="753"/>
      <c r="E976" s="753"/>
      <c r="F976" s="753"/>
      <c r="G976" s="753"/>
      <c r="H976" s="753"/>
      <c r="I976" s="753"/>
      <c r="J976" s="753"/>
      <c r="K976" s="753"/>
      <c r="L976" s="753"/>
      <c r="M976" s="753"/>
    </row>
    <row r="977" spans="1:13" s="755" customFormat="1">
      <c r="A977" s="816"/>
      <c r="B977" s="753"/>
      <c r="C977" s="753"/>
      <c r="D977" s="753"/>
      <c r="E977" s="753"/>
      <c r="F977" s="753"/>
      <c r="G977" s="753"/>
      <c r="H977" s="753"/>
      <c r="I977" s="753"/>
      <c r="J977" s="753"/>
      <c r="K977" s="753"/>
      <c r="L977" s="753"/>
      <c r="M977" s="753"/>
    </row>
    <row r="978" spans="1:13" s="755" customFormat="1">
      <c r="A978" s="816"/>
      <c r="B978" s="753"/>
      <c r="C978" s="753"/>
      <c r="D978" s="753"/>
      <c r="E978" s="753"/>
      <c r="F978" s="753"/>
      <c r="G978" s="753"/>
      <c r="H978" s="753"/>
      <c r="I978" s="753"/>
      <c r="J978" s="753"/>
      <c r="K978" s="753"/>
      <c r="L978" s="753"/>
      <c r="M978" s="753"/>
    </row>
    <row r="979" spans="1:13" s="755" customFormat="1">
      <c r="A979" s="816"/>
      <c r="B979" s="753"/>
      <c r="C979" s="753"/>
      <c r="D979" s="753"/>
      <c r="E979" s="753"/>
      <c r="F979" s="753"/>
      <c r="G979" s="753"/>
      <c r="H979" s="753"/>
      <c r="I979" s="753"/>
      <c r="J979" s="753"/>
      <c r="K979" s="753"/>
      <c r="L979" s="753"/>
      <c r="M979" s="753"/>
    </row>
    <row r="980" spans="1:13" s="755" customFormat="1">
      <c r="A980" s="816"/>
      <c r="B980" s="753"/>
      <c r="C980" s="753"/>
      <c r="D980" s="753"/>
      <c r="E980" s="753"/>
      <c r="F980" s="753"/>
      <c r="G980" s="753"/>
      <c r="H980" s="753"/>
      <c r="I980" s="753"/>
      <c r="J980" s="753"/>
      <c r="K980" s="753"/>
      <c r="L980" s="753"/>
      <c r="M980" s="753"/>
    </row>
    <row r="981" spans="1:13" s="755" customFormat="1">
      <c r="A981" s="816"/>
      <c r="B981" s="753"/>
      <c r="C981" s="753"/>
      <c r="D981" s="753"/>
      <c r="E981" s="753"/>
      <c r="F981" s="753"/>
      <c r="G981" s="753"/>
      <c r="H981" s="753"/>
      <c r="I981" s="753"/>
      <c r="J981" s="753"/>
      <c r="K981" s="753"/>
      <c r="L981" s="753"/>
      <c r="M981" s="753"/>
    </row>
    <row r="982" spans="1:13" s="755" customFormat="1">
      <c r="A982" s="816"/>
      <c r="B982" s="753"/>
      <c r="C982" s="753"/>
      <c r="D982" s="753"/>
      <c r="E982" s="753"/>
      <c r="F982" s="753"/>
      <c r="G982" s="753"/>
      <c r="H982" s="753"/>
      <c r="I982" s="753"/>
      <c r="J982" s="753"/>
      <c r="K982" s="753"/>
      <c r="L982" s="753"/>
      <c r="M982" s="753"/>
    </row>
    <row r="983" spans="1:13" s="755" customFormat="1">
      <c r="A983" s="816"/>
      <c r="B983" s="753"/>
      <c r="C983" s="753"/>
      <c r="D983" s="753"/>
      <c r="E983" s="753"/>
      <c r="F983" s="753"/>
      <c r="G983" s="753"/>
      <c r="H983" s="753"/>
      <c r="I983" s="753"/>
      <c r="J983" s="753"/>
      <c r="K983" s="753"/>
      <c r="L983" s="753"/>
      <c r="M983" s="753"/>
    </row>
    <row r="984" spans="1:13" s="755" customFormat="1">
      <c r="A984" s="816"/>
      <c r="B984" s="753"/>
      <c r="C984" s="753"/>
      <c r="D984" s="753"/>
      <c r="E984" s="753"/>
      <c r="F984" s="753"/>
      <c r="G984" s="753"/>
      <c r="H984" s="753"/>
      <c r="I984" s="753"/>
      <c r="J984" s="753"/>
      <c r="K984" s="753"/>
      <c r="L984" s="753"/>
      <c r="M984" s="753"/>
    </row>
    <row r="985" spans="1:13" s="755" customFormat="1">
      <c r="A985" s="816"/>
      <c r="B985" s="753"/>
      <c r="C985" s="753"/>
      <c r="D985" s="753"/>
      <c r="E985" s="753"/>
      <c r="F985" s="753"/>
      <c r="G985" s="753"/>
      <c r="H985" s="753"/>
      <c r="I985" s="753"/>
      <c r="J985" s="753"/>
      <c r="K985" s="753"/>
      <c r="L985" s="753"/>
      <c r="M985" s="753"/>
    </row>
    <row r="986" spans="1:13" s="755" customFormat="1">
      <c r="A986" s="816"/>
      <c r="B986" s="753"/>
      <c r="C986" s="753"/>
      <c r="D986" s="753"/>
      <c r="E986" s="753"/>
      <c r="F986" s="753"/>
      <c r="G986" s="753"/>
      <c r="H986" s="753"/>
      <c r="I986" s="753"/>
      <c r="J986" s="753"/>
      <c r="K986" s="753"/>
      <c r="L986" s="753"/>
      <c r="M986" s="753"/>
    </row>
    <row r="987" spans="1:13" s="755" customFormat="1">
      <c r="A987" s="816"/>
      <c r="B987" s="753"/>
      <c r="C987" s="753"/>
      <c r="D987" s="753"/>
      <c r="E987" s="753"/>
      <c r="F987" s="753"/>
      <c r="G987" s="753"/>
      <c r="H987" s="753"/>
      <c r="I987" s="753"/>
      <c r="J987" s="753"/>
      <c r="K987" s="753"/>
      <c r="L987" s="753"/>
      <c r="M987" s="753"/>
    </row>
    <row r="988" spans="1:13" s="755" customFormat="1">
      <c r="A988" s="816"/>
      <c r="B988" s="753"/>
      <c r="C988" s="753"/>
      <c r="D988" s="753"/>
      <c r="E988" s="753"/>
      <c r="F988" s="753"/>
      <c r="G988" s="753"/>
      <c r="H988" s="753"/>
      <c r="I988" s="753"/>
      <c r="J988" s="753"/>
      <c r="K988" s="753"/>
      <c r="L988" s="753"/>
      <c r="M988" s="753"/>
    </row>
    <row r="989" spans="1:13" s="755" customFormat="1">
      <c r="A989" s="816"/>
      <c r="B989" s="753"/>
      <c r="C989" s="753"/>
      <c r="D989" s="753"/>
      <c r="E989" s="753"/>
      <c r="F989" s="753"/>
      <c r="G989" s="753"/>
      <c r="H989" s="753"/>
      <c r="I989" s="753"/>
      <c r="J989" s="753"/>
      <c r="K989" s="753"/>
      <c r="L989" s="753"/>
      <c r="M989" s="753"/>
    </row>
    <row r="990" spans="1:13" s="755" customFormat="1">
      <c r="A990" s="816"/>
      <c r="B990" s="753"/>
      <c r="C990" s="753"/>
      <c r="D990" s="753"/>
      <c r="E990" s="753"/>
      <c r="F990" s="753"/>
      <c r="G990" s="753"/>
      <c r="H990" s="753"/>
      <c r="I990" s="753"/>
      <c r="J990" s="753"/>
      <c r="K990" s="753"/>
      <c r="L990" s="753"/>
      <c r="M990" s="753"/>
    </row>
    <row r="991" spans="1:13" s="755" customFormat="1">
      <c r="A991" s="816"/>
      <c r="B991" s="753"/>
      <c r="C991" s="753"/>
      <c r="D991" s="753"/>
      <c r="E991" s="753"/>
      <c r="F991" s="753"/>
      <c r="G991" s="753"/>
      <c r="H991" s="753"/>
      <c r="I991" s="753"/>
      <c r="J991" s="753"/>
      <c r="K991" s="753"/>
      <c r="L991" s="753"/>
      <c r="M991" s="753"/>
    </row>
    <row r="992" spans="1:13" s="755" customFormat="1">
      <c r="A992" s="816"/>
      <c r="B992" s="753"/>
      <c r="C992" s="753"/>
      <c r="D992" s="753"/>
      <c r="E992" s="753"/>
      <c r="F992" s="753"/>
      <c r="G992" s="753"/>
      <c r="H992" s="753"/>
      <c r="I992" s="753"/>
      <c r="J992" s="753"/>
      <c r="K992" s="753"/>
      <c r="L992" s="753"/>
      <c r="M992" s="753"/>
    </row>
    <row r="993" spans="1:13" s="755" customFormat="1">
      <c r="A993" s="816"/>
      <c r="B993" s="753"/>
      <c r="C993" s="753"/>
      <c r="D993" s="753"/>
      <c r="E993" s="753"/>
      <c r="F993" s="753"/>
      <c r="G993" s="753"/>
      <c r="H993" s="753"/>
      <c r="I993" s="753"/>
      <c r="J993" s="753"/>
      <c r="K993" s="753"/>
      <c r="L993" s="753"/>
      <c r="M993" s="753"/>
    </row>
    <row r="994" spans="1:13" s="755" customFormat="1">
      <c r="A994" s="816"/>
      <c r="B994" s="753"/>
      <c r="C994" s="753"/>
      <c r="D994" s="753"/>
      <c r="E994" s="753"/>
      <c r="F994" s="753"/>
      <c r="G994" s="753"/>
      <c r="H994" s="753"/>
      <c r="I994" s="753"/>
      <c r="J994" s="753"/>
      <c r="K994" s="753"/>
      <c r="L994" s="753"/>
      <c r="M994" s="753"/>
    </row>
    <row r="995" spans="1:13" s="755" customFormat="1">
      <c r="A995" s="816"/>
      <c r="B995" s="753"/>
      <c r="C995" s="753"/>
      <c r="D995" s="753"/>
      <c r="E995" s="753"/>
      <c r="F995" s="753"/>
      <c r="G995" s="753"/>
      <c r="H995" s="753"/>
      <c r="I995" s="753"/>
      <c r="J995" s="753"/>
      <c r="K995" s="753"/>
      <c r="L995" s="753"/>
      <c r="M995" s="753"/>
    </row>
    <row r="996" spans="1:13" s="755" customFormat="1">
      <c r="A996" s="816"/>
      <c r="B996" s="753"/>
      <c r="C996" s="753"/>
      <c r="D996" s="753"/>
      <c r="E996" s="753"/>
      <c r="F996" s="753"/>
      <c r="G996" s="753"/>
      <c r="H996" s="753"/>
      <c r="I996" s="753"/>
      <c r="J996" s="753"/>
      <c r="K996" s="753"/>
      <c r="L996" s="753"/>
      <c r="M996" s="753"/>
    </row>
    <row r="997" spans="1:13" s="755" customFormat="1">
      <c r="A997" s="816"/>
      <c r="B997" s="753"/>
      <c r="C997" s="753"/>
      <c r="D997" s="753"/>
      <c r="E997" s="753"/>
      <c r="F997" s="753"/>
      <c r="G997" s="753"/>
      <c r="H997" s="753"/>
      <c r="I997" s="753"/>
      <c r="J997" s="753"/>
      <c r="K997" s="753"/>
      <c r="L997" s="753"/>
      <c r="M997" s="753"/>
    </row>
    <row r="998" spans="1:13" s="755" customFormat="1">
      <c r="A998" s="816"/>
      <c r="B998" s="753"/>
      <c r="C998" s="753"/>
      <c r="D998" s="753"/>
      <c r="E998" s="753"/>
      <c r="F998" s="753"/>
      <c r="G998" s="753"/>
      <c r="H998" s="753"/>
      <c r="I998" s="753"/>
      <c r="J998" s="753"/>
      <c r="K998" s="753"/>
      <c r="L998" s="753"/>
      <c r="M998" s="753"/>
    </row>
    <row r="999" spans="1:13" s="755" customFormat="1">
      <c r="A999" s="816"/>
      <c r="B999" s="753"/>
      <c r="C999" s="753"/>
      <c r="D999" s="753"/>
      <c r="E999" s="753"/>
      <c r="F999" s="753"/>
      <c r="G999" s="753"/>
      <c r="H999" s="753"/>
      <c r="I999" s="753"/>
      <c r="J999" s="753"/>
      <c r="K999" s="753"/>
      <c r="L999" s="753"/>
      <c r="M999" s="753"/>
    </row>
    <row r="1000" spans="1:13" s="755" customFormat="1">
      <c r="A1000" s="816"/>
      <c r="B1000" s="753"/>
      <c r="C1000" s="753"/>
      <c r="D1000" s="753"/>
      <c r="E1000" s="753"/>
      <c r="F1000" s="753"/>
      <c r="G1000" s="753"/>
      <c r="H1000" s="753"/>
      <c r="I1000" s="753"/>
      <c r="J1000" s="753"/>
      <c r="K1000" s="753"/>
      <c r="L1000" s="753"/>
      <c r="M1000" s="753"/>
    </row>
    <row r="1001" spans="1:13" s="755" customFormat="1">
      <c r="A1001" s="816"/>
      <c r="B1001" s="753"/>
      <c r="C1001" s="753"/>
      <c r="D1001" s="753"/>
      <c r="E1001" s="753"/>
      <c r="F1001" s="753"/>
      <c r="G1001" s="753"/>
      <c r="H1001" s="753"/>
      <c r="I1001" s="753"/>
      <c r="J1001" s="753"/>
      <c r="K1001" s="753"/>
      <c r="L1001" s="753"/>
      <c r="M1001" s="753"/>
    </row>
    <row r="1002" spans="1:13" s="755" customFormat="1">
      <c r="A1002" s="816"/>
      <c r="B1002" s="753"/>
      <c r="C1002" s="753"/>
      <c r="D1002" s="753"/>
      <c r="E1002" s="753"/>
      <c r="F1002" s="753"/>
      <c r="G1002" s="753"/>
      <c r="H1002" s="753"/>
      <c r="I1002" s="753"/>
      <c r="J1002" s="753"/>
      <c r="K1002" s="753"/>
      <c r="L1002" s="753"/>
      <c r="M1002" s="753"/>
    </row>
    <row r="1003" spans="1:13" s="755" customFormat="1">
      <c r="A1003" s="816"/>
      <c r="B1003" s="753"/>
      <c r="C1003" s="753"/>
      <c r="D1003" s="753"/>
      <c r="E1003" s="753"/>
      <c r="F1003" s="753"/>
      <c r="G1003" s="753"/>
      <c r="H1003" s="753"/>
      <c r="I1003" s="753"/>
      <c r="J1003" s="753"/>
      <c r="K1003" s="753"/>
      <c r="L1003" s="753"/>
      <c r="M1003" s="753"/>
    </row>
    <row r="1004" spans="1:13" s="755" customFormat="1">
      <c r="A1004" s="816"/>
      <c r="B1004" s="753"/>
      <c r="C1004" s="753"/>
      <c r="D1004" s="753"/>
      <c r="E1004" s="753"/>
      <c r="F1004" s="753"/>
      <c r="G1004" s="753"/>
      <c r="H1004" s="753"/>
      <c r="I1004" s="753"/>
      <c r="J1004" s="753"/>
      <c r="K1004" s="753"/>
      <c r="L1004" s="753"/>
      <c r="M1004" s="753"/>
    </row>
    <row r="1005" spans="1:13" s="755" customFormat="1">
      <c r="A1005" s="816"/>
      <c r="B1005" s="753"/>
      <c r="C1005" s="753"/>
      <c r="D1005" s="753"/>
      <c r="E1005" s="753"/>
      <c r="F1005" s="753"/>
      <c r="G1005" s="753"/>
      <c r="H1005" s="753"/>
      <c r="I1005" s="753"/>
      <c r="J1005" s="753"/>
      <c r="K1005" s="753"/>
      <c r="L1005" s="753"/>
      <c r="M1005" s="753"/>
    </row>
    <row r="1006" spans="1:13" s="755" customFormat="1">
      <c r="A1006" s="816"/>
      <c r="B1006" s="753"/>
      <c r="C1006" s="753"/>
      <c r="D1006" s="753"/>
      <c r="E1006" s="753"/>
      <c r="F1006" s="753"/>
      <c r="G1006" s="753"/>
      <c r="H1006" s="753"/>
      <c r="I1006" s="753"/>
      <c r="J1006" s="753"/>
      <c r="K1006" s="753"/>
      <c r="L1006" s="753"/>
      <c r="M1006" s="753"/>
    </row>
    <row r="1007" spans="1:13" s="755" customFormat="1">
      <c r="A1007" s="816"/>
      <c r="B1007" s="753"/>
      <c r="C1007" s="753"/>
      <c r="D1007" s="753"/>
      <c r="E1007" s="753"/>
      <c r="F1007" s="753"/>
      <c r="G1007" s="753"/>
      <c r="H1007" s="753"/>
      <c r="I1007" s="753"/>
      <c r="J1007" s="753"/>
      <c r="K1007" s="753"/>
      <c r="L1007" s="753"/>
      <c r="M1007" s="753"/>
    </row>
    <row r="1008" spans="1:13" s="755" customFormat="1">
      <c r="A1008" s="816"/>
      <c r="B1008" s="753"/>
      <c r="C1008" s="753"/>
      <c r="D1008" s="753"/>
      <c r="E1008" s="753"/>
      <c r="F1008" s="753"/>
      <c r="G1008" s="753"/>
      <c r="H1008" s="753"/>
      <c r="I1008" s="753"/>
      <c r="J1008" s="753"/>
      <c r="K1008" s="753"/>
      <c r="L1008" s="753"/>
      <c r="M1008" s="753"/>
    </row>
    <row r="1009" spans="1:13" s="755" customFormat="1">
      <c r="A1009" s="816"/>
      <c r="B1009" s="753"/>
      <c r="C1009" s="753"/>
      <c r="D1009" s="753"/>
      <c r="E1009" s="753"/>
      <c r="F1009" s="753"/>
      <c r="G1009" s="753"/>
      <c r="H1009" s="753"/>
      <c r="I1009" s="753"/>
      <c r="J1009" s="753"/>
      <c r="K1009" s="753"/>
      <c r="L1009" s="753"/>
      <c r="M1009" s="753"/>
    </row>
    <row r="1010" spans="1:13" s="755" customFormat="1">
      <c r="A1010" s="816"/>
      <c r="B1010" s="753"/>
      <c r="C1010" s="753"/>
      <c r="D1010" s="753"/>
      <c r="E1010" s="753"/>
      <c r="F1010" s="753"/>
      <c r="G1010" s="753"/>
      <c r="H1010" s="753"/>
      <c r="I1010" s="753"/>
      <c r="J1010" s="753"/>
      <c r="K1010" s="753"/>
      <c r="L1010" s="753"/>
      <c r="M1010" s="753"/>
    </row>
    <row r="1011" spans="1:13" s="755" customFormat="1">
      <c r="A1011" s="816"/>
      <c r="B1011" s="753"/>
      <c r="C1011" s="753"/>
      <c r="D1011" s="753"/>
      <c r="E1011" s="753"/>
      <c r="F1011" s="753"/>
      <c r="G1011" s="753"/>
      <c r="H1011" s="753"/>
      <c r="I1011" s="753"/>
      <c r="J1011" s="753"/>
      <c r="K1011" s="753"/>
      <c r="L1011" s="753"/>
      <c r="M1011" s="753"/>
    </row>
    <row r="1012" spans="1:13" s="755" customFormat="1">
      <c r="A1012" s="816"/>
      <c r="B1012" s="753"/>
      <c r="C1012" s="753"/>
      <c r="D1012" s="753"/>
      <c r="E1012" s="753"/>
      <c r="F1012" s="753"/>
      <c r="G1012" s="753"/>
      <c r="H1012" s="753"/>
      <c r="I1012" s="753"/>
      <c r="J1012" s="753"/>
      <c r="K1012" s="753"/>
      <c r="L1012" s="753"/>
      <c r="M1012" s="753"/>
    </row>
    <row r="1013" spans="1:13" s="755" customFormat="1">
      <c r="A1013" s="816"/>
      <c r="B1013" s="753"/>
      <c r="C1013" s="753"/>
      <c r="D1013" s="753"/>
      <c r="E1013" s="753"/>
      <c r="F1013" s="753"/>
      <c r="G1013" s="753"/>
      <c r="H1013" s="753"/>
      <c r="I1013" s="753"/>
      <c r="J1013" s="753"/>
      <c r="K1013" s="753"/>
      <c r="L1013" s="753"/>
      <c r="M1013" s="753"/>
    </row>
    <row r="1014" spans="1:13" s="755" customFormat="1">
      <c r="A1014" s="816"/>
      <c r="B1014" s="753"/>
      <c r="C1014" s="753"/>
      <c r="D1014" s="753"/>
      <c r="E1014" s="753"/>
      <c r="F1014" s="753"/>
      <c r="G1014" s="753"/>
      <c r="H1014" s="753"/>
      <c r="I1014" s="753"/>
      <c r="J1014" s="753"/>
      <c r="K1014" s="753"/>
      <c r="L1014" s="753"/>
      <c r="M1014" s="753"/>
    </row>
    <row r="1015" spans="1:13" s="755" customFormat="1">
      <c r="A1015" s="816"/>
      <c r="B1015" s="753"/>
      <c r="C1015" s="753"/>
      <c r="D1015" s="753"/>
      <c r="E1015" s="753"/>
      <c r="F1015" s="753"/>
      <c r="G1015" s="753"/>
      <c r="H1015" s="753"/>
      <c r="I1015" s="753"/>
      <c r="J1015" s="753"/>
      <c r="K1015" s="753"/>
      <c r="L1015" s="753"/>
      <c r="M1015" s="753"/>
    </row>
    <row r="1016" spans="1:13" s="755" customFormat="1">
      <c r="A1016" s="816"/>
      <c r="B1016" s="753"/>
      <c r="C1016" s="753"/>
      <c r="D1016" s="753"/>
      <c r="E1016" s="753"/>
      <c r="F1016" s="753"/>
      <c r="G1016" s="753"/>
      <c r="H1016" s="753"/>
      <c r="I1016" s="753"/>
      <c r="J1016" s="753"/>
      <c r="K1016" s="753"/>
      <c r="L1016" s="753"/>
      <c r="M1016" s="753"/>
    </row>
    <row r="1017" spans="1:13" s="755" customFormat="1">
      <c r="A1017" s="816"/>
      <c r="B1017" s="753"/>
      <c r="C1017" s="753"/>
      <c r="D1017" s="753"/>
      <c r="E1017" s="753"/>
      <c r="F1017" s="753"/>
      <c r="G1017" s="753"/>
      <c r="H1017" s="753"/>
      <c r="I1017" s="753"/>
      <c r="J1017" s="753"/>
      <c r="K1017" s="753"/>
      <c r="L1017" s="753"/>
      <c r="M1017" s="753"/>
    </row>
    <row r="1018" spans="1:13" s="755" customFormat="1">
      <c r="A1018" s="816"/>
      <c r="B1018" s="753"/>
      <c r="C1018" s="753"/>
      <c r="D1018" s="753"/>
      <c r="E1018" s="753"/>
      <c r="F1018" s="753"/>
      <c r="G1018" s="753"/>
      <c r="H1018" s="753"/>
      <c r="I1018" s="753"/>
      <c r="J1018" s="753"/>
      <c r="K1018" s="753"/>
      <c r="L1018" s="753"/>
      <c r="M1018" s="753"/>
    </row>
    <row r="1019" spans="1:13" s="755" customFormat="1">
      <c r="A1019" s="816"/>
      <c r="B1019" s="753"/>
      <c r="C1019" s="753"/>
      <c r="D1019" s="753"/>
      <c r="E1019" s="753"/>
      <c r="F1019" s="753"/>
      <c r="G1019" s="753"/>
      <c r="H1019" s="753"/>
      <c r="I1019" s="753"/>
      <c r="J1019" s="753"/>
      <c r="K1019" s="753"/>
      <c r="L1019" s="753"/>
      <c r="M1019" s="753"/>
    </row>
    <row r="1020" spans="1:13" s="755" customFormat="1">
      <c r="A1020" s="816"/>
      <c r="B1020" s="753"/>
      <c r="C1020" s="753"/>
      <c r="D1020" s="753"/>
      <c r="E1020" s="753"/>
      <c r="F1020" s="753"/>
      <c r="G1020" s="753"/>
      <c r="H1020" s="753"/>
      <c r="I1020" s="753"/>
      <c r="J1020" s="753"/>
      <c r="K1020" s="753"/>
      <c r="L1020" s="753"/>
      <c r="M1020" s="753"/>
    </row>
    <row r="1021" spans="1:13" s="755" customFormat="1">
      <c r="A1021" s="816"/>
      <c r="B1021" s="753"/>
      <c r="C1021" s="753"/>
      <c r="D1021" s="753"/>
      <c r="E1021" s="753"/>
      <c r="F1021" s="753"/>
      <c r="G1021" s="753"/>
      <c r="H1021" s="753"/>
      <c r="I1021" s="753"/>
      <c r="J1021" s="753"/>
      <c r="K1021" s="753"/>
      <c r="L1021" s="753"/>
      <c r="M1021" s="753"/>
    </row>
    <row r="1022" spans="1:13" s="755" customFormat="1">
      <c r="A1022" s="816"/>
      <c r="B1022" s="753"/>
      <c r="C1022" s="753"/>
      <c r="D1022" s="753"/>
      <c r="E1022" s="753"/>
      <c r="F1022" s="753"/>
      <c r="G1022" s="753"/>
      <c r="H1022" s="753"/>
      <c r="I1022" s="753"/>
      <c r="J1022" s="753"/>
      <c r="K1022" s="753"/>
      <c r="L1022" s="753"/>
      <c r="M1022" s="753"/>
    </row>
    <row r="1023" spans="1:13" s="755" customFormat="1">
      <c r="A1023" s="816"/>
      <c r="B1023" s="753"/>
      <c r="C1023" s="753"/>
      <c r="D1023" s="753"/>
      <c r="E1023" s="753"/>
      <c r="F1023" s="753"/>
      <c r="G1023" s="753"/>
      <c r="H1023" s="753"/>
      <c r="I1023" s="753"/>
      <c r="J1023" s="753"/>
      <c r="K1023" s="753"/>
      <c r="L1023" s="753"/>
      <c r="M1023" s="753"/>
    </row>
    <row r="1024" spans="1:13" s="755" customFormat="1">
      <c r="A1024" s="816"/>
      <c r="B1024" s="753"/>
      <c r="C1024" s="753"/>
      <c r="D1024" s="753"/>
      <c r="E1024" s="753"/>
      <c r="F1024" s="753"/>
      <c r="G1024" s="753"/>
      <c r="H1024" s="753"/>
      <c r="I1024" s="753"/>
      <c r="J1024" s="753"/>
      <c r="K1024" s="753"/>
      <c r="L1024" s="753"/>
      <c r="M1024" s="753"/>
    </row>
    <row r="1025" spans="1:13" s="755" customFormat="1">
      <c r="A1025" s="816"/>
      <c r="B1025" s="753"/>
      <c r="C1025" s="753"/>
      <c r="D1025" s="753"/>
      <c r="E1025" s="753"/>
      <c r="F1025" s="753"/>
      <c r="G1025" s="753"/>
      <c r="H1025" s="753"/>
      <c r="I1025" s="753"/>
      <c r="J1025" s="753"/>
      <c r="K1025" s="753"/>
      <c r="L1025" s="753"/>
      <c r="M1025" s="753"/>
    </row>
    <row r="1026" spans="1:13" s="755" customFormat="1">
      <c r="A1026" s="816"/>
      <c r="B1026" s="753"/>
      <c r="C1026" s="753"/>
      <c r="D1026" s="753"/>
      <c r="E1026" s="753"/>
      <c r="F1026" s="753"/>
      <c r="G1026" s="753"/>
      <c r="H1026" s="753"/>
      <c r="I1026" s="753"/>
      <c r="J1026" s="753"/>
      <c r="K1026" s="753"/>
      <c r="L1026" s="753"/>
      <c r="M1026" s="753"/>
    </row>
    <row r="1027" spans="1:13" s="755" customFormat="1">
      <c r="A1027" s="816"/>
      <c r="B1027" s="753"/>
      <c r="C1027" s="753"/>
      <c r="D1027" s="753"/>
      <c r="E1027" s="753"/>
      <c r="F1027" s="753"/>
      <c r="G1027" s="753"/>
      <c r="H1027" s="753"/>
      <c r="I1027" s="753"/>
      <c r="J1027" s="753"/>
      <c r="K1027" s="753"/>
      <c r="L1027" s="753"/>
      <c r="M1027" s="753"/>
    </row>
    <row r="1028" spans="1:13" s="755" customFormat="1">
      <c r="A1028" s="816"/>
      <c r="B1028" s="753"/>
      <c r="C1028" s="753"/>
      <c r="D1028" s="753"/>
      <c r="E1028" s="753"/>
      <c r="F1028" s="753"/>
      <c r="G1028" s="753"/>
      <c r="H1028" s="753"/>
      <c r="I1028" s="753"/>
      <c r="J1028" s="753"/>
      <c r="K1028" s="753"/>
      <c r="L1028" s="753"/>
      <c r="M1028" s="753"/>
    </row>
    <row r="1029" spans="1:13" s="755" customFormat="1">
      <c r="A1029" s="816"/>
      <c r="B1029" s="753"/>
      <c r="C1029" s="753"/>
      <c r="D1029" s="753"/>
      <c r="E1029" s="753"/>
      <c r="F1029" s="753"/>
      <c r="G1029" s="753"/>
      <c r="H1029" s="753"/>
      <c r="I1029" s="753"/>
      <c r="J1029" s="753"/>
      <c r="K1029" s="753"/>
      <c r="L1029" s="753"/>
      <c r="M1029" s="753"/>
    </row>
    <row r="1030" spans="1:13" s="755" customFormat="1">
      <c r="A1030" s="816"/>
      <c r="B1030" s="753"/>
      <c r="C1030" s="753"/>
      <c r="D1030" s="753"/>
      <c r="E1030" s="753"/>
      <c r="F1030" s="753"/>
      <c r="G1030" s="753"/>
      <c r="H1030" s="753"/>
      <c r="I1030" s="753"/>
      <c r="J1030" s="753"/>
      <c r="K1030" s="753"/>
      <c r="L1030" s="753"/>
      <c r="M1030" s="753"/>
    </row>
    <row r="1031" spans="1:13" s="755" customFormat="1">
      <c r="A1031" s="816"/>
      <c r="B1031" s="753"/>
      <c r="C1031" s="753"/>
      <c r="D1031" s="753"/>
      <c r="E1031" s="753"/>
      <c r="F1031" s="753"/>
      <c r="G1031" s="753"/>
      <c r="H1031" s="753"/>
      <c r="I1031" s="753"/>
      <c r="J1031" s="753"/>
      <c r="K1031" s="753"/>
      <c r="L1031" s="753"/>
      <c r="M1031" s="753"/>
    </row>
    <row r="1032" spans="1:13" s="755" customFormat="1">
      <c r="A1032" s="816"/>
      <c r="B1032" s="753"/>
      <c r="C1032" s="753"/>
      <c r="D1032" s="753"/>
      <c r="E1032" s="753"/>
      <c r="F1032" s="753"/>
      <c r="G1032" s="753"/>
      <c r="H1032" s="753"/>
      <c r="I1032" s="753"/>
      <c r="J1032" s="753"/>
      <c r="K1032" s="753"/>
      <c r="L1032" s="753"/>
      <c r="M1032" s="753"/>
    </row>
    <row r="1033" spans="1:13" s="755" customFormat="1">
      <c r="A1033" s="816"/>
      <c r="B1033" s="753"/>
      <c r="C1033" s="753"/>
      <c r="D1033" s="753"/>
      <c r="E1033" s="753"/>
      <c r="F1033" s="753"/>
      <c r="G1033" s="753"/>
      <c r="H1033" s="753"/>
      <c r="I1033" s="753"/>
      <c r="J1033" s="753"/>
      <c r="K1033" s="753"/>
      <c r="L1033" s="753"/>
      <c r="M1033" s="753"/>
    </row>
    <row r="1034" spans="1:13" s="755" customFormat="1">
      <c r="A1034" s="816"/>
      <c r="B1034" s="753"/>
      <c r="C1034" s="753"/>
      <c r="D1034" s="753"/>
      <c r="E1034" s="753"/>
      <c r="F1034" s="753"/>
      <c r="G1034" s="753"/>
      <c r="H1034" s="753"/>
      <c r="I1034" s="753"/>
      <c r="J1034" s="753"/>
      <c r="K1034" s="753"/>
      <c r="L1034" s="753"/>
      <c r="M1034" s="753"/>
    </row>
    <row r="1035" spans="1:13" s="755" customFormat="1">
      <c r="A1035" s="816"/>
      <c r="B1035" s="753"/>
      <c r="C1035" s="753"/>
      <c r="D1035" s="753"/>
      <c r="E1035" s="753"/>
      <c r="F1035" s="753"/>
      <c r="G1035" s="753"/>
      <c r="H1035" s="753"/>
      <c r="I1035" s="753"/>
      <c r="J1035" s="753"/>
      <c r="K1035" s="753"/>
      <c r="L1035" s="753"/>
      <c r="M1035" s="753"/>
    </row>
    <row r="1036" spans="1:13" s="755" customFormat="1">
      <c r="A1036" s="816"/>
      <c r="B1036" s="753"/>
      <c r="C1036" s="753"/>
      <c r="D1036" s="753"/>
      <c r="E1036" s="753"/>
      <c r="F1036" s="753"/>
      <c r="G1036" s="753"/>
      <c r="H1036" s="753"/>
      <c r="I1036" s="753"/>
      <c r="J1036" s="753"/>
      <c r="K1036" s="753"/>
      <c r="L1036" s="753"/>
      <c r="M1036" s="753"/>
    </row>
    <row r="1037" spans="1:13" s="755" customFormat="1">
      <c r="A1037" s="816"/>
      <c r="B1037" s="753"/>
      <c r="C1037" s="753"/>
      <c r="D1037" s="753"/>
      <c r="E1037" s="753"/>
      <c r="F1037" s="753"/>
      <c r="G1037" s="753"/>
      <c r="H1037" s="753"/>
      <c r="I1037" s="753"/>
      <c r="J1037" s="753"/>
      <c r="K1037" s="753"/>
      <c r="L1037" s="753"/>
      <c r="M1037" s="753"/>
    </row>
    <row r="1038" spans="1:13" s="755" customFormat="1">
      <c r="A1038" s="816"/>
      <c r="B1038" s="753"/>
      <c r="C1038" s="753"/>
      <c r="D1038" s="753"/>
      <c r="E1038" s="753"/>
      <c r="F1038" s="753"/>
      <c r="G1038" s="753"/>
      <c r="H1038" s="753"/>
      <c r="I1038" s="753"/>
      <c r="J1038" s="753"/>
      <c r="K1038" s="753"/>
      <c r="L1038" s="753"/>
      <c r="M1038" s="753"/>
    </row>
    <row r="1039" spans="1:13" s="755" customFormat="1">
      <c r="A1039" s="816"/>
      <c r="B1039" s="753"/>
      <c r="C1039" s="753"/>
      <c r="D1039" s="753"/>
      <c r="E1039" s="753"/>
      <c r="F1039" s="753"/>
      <c r="G1039" s="753"/>
      <c r="H1039" s="753"/>
      <c r="I1039" s="753"/>
      <c r="J1039" s="753"/>
      <c r="K1039" s="753"/>
      <c r="L1039" s="753"/>
      <c r="M1039" s="753"/>
    </row>
    <row r="1040" spans="1:13" s="755" customFormat="1">
      <c r="A1040" s="816"/>
      <c r="B1040" s="753"/>
      <c r="C1040" s="753"/>
      <c r="D1040" s="753"/>
      <c r="E1040" s="753"/>
      <c r="F1040" s="753"/>
      <c r="G1040" s="753"/>
      <c r="H1040" s="753"/>
      <c r="I1040" s="753"/>
      <c r="J1040" s="753"/>
      <c r="K1040" s="753"/>
      <c r="L1040" s="753"/>
      <c r="M1040" s="753"/>
    </row>
    <row r="1041" spans="1:13" s="755" customFormat="1">
      <c r="A1041" s="816"/>
      <c r="B1041" s="753"/>
      <c r="C1041" s="753"/>
      <c r="D1041" s="753"/>
      <c r="E1041" s="753"/>
      <c r="F1041" s="753"/>
      <c r="G1041" s="753"/>
      <c r="H1041" s="753"/>
      <c r="I1041" s="753"/>
      <c r="J1041" s="753"/>
      <c r="K1041" s="753"/>
      <c r="L1041" s="753"/>
      <c r="M1041" s="753"/>
    </row>
    <row r="1042" spans="1:13" s="755" customFormat="1">
      <c r="A1042" s="816"/>
      <c r="B1042" s="753"/>
      <c r="C1042" s="753"/>
      <c r="D1042" s="753"/>
      <c r="E1042" s="753"/>
      <c r="F1042" s="753"/>
      <c r="G1042" s="753"/>
      <c r="H1042" s="753"/>
      <c r="I1042" s="753"/>
      <c r="J1042" s="753"/>
      <c r="K1042" s="753"/>
      <c r="L1042" s="753"/>
      <c r="M1042" s="753"/>
    </row>
    <row r="1043" spans="1:13" s="755" customFormat="1">
      <c r="A1043" s="816"/>
      <c r="B1043" s="753"/>
      <c r="C1043" s="753"/>
      <c r="D1043" s="753"/>
      <c r="E1043" s="753"/>
      <c r="F1043" s="753"/>
      <c r="G1043" s="753"/>
      <c r="H1043" s="753"/>
      <c r="I1043" s="753"/>
      <c r="J1043" s="753"/>
      <c r="K1043" s="753"/>
      <c r="L1043" s="753"/>
      <c r="M1043" s="753"/>
    </row>
    <row r="1044" spans="1:13" s="755" customFormat="1">
      <c r="A1044" s="816"/>
      <c r="B1044" s="753"/>
      <c r="C1044" s="753"/>
      <c r="D1044" s="753"/>
      <c r="E1044" s="753"/>
      <c r="F1044" s="753"/>
      <c r="G1044" s="753"/>
      <c r="H1044" s="753"/>
      <c r="I1044" s="753"/>
      <c r="J1044" s="753"/>
      <c r="K1044" s="753"/>
      <c r="L1044" s="753"/>
      <c r="M1044" s="753"/>
    </row>
    <row r="1045" spans="1:13" s="755" customFormat="1">
      <c r="A1045" s="816"/>
      <c r="B1045" s="753"/>
      <c r="C1045" s="753"/>
      <c r="D1045" s="753"/>
      <c r="E1045" s="753"/>
      <c r="F1045" s="753"/>
      <c r="G1045" s="753"/>
      <c r="H1045" s="753"/>
      <c r="I1045" s="753"/>
      <c r="J1045" s="753"/>
      <c r="K1045" s="753"/>
      <c r="L1045" s="753"/>
      <c r="M1045" s="753"/>
    </row>
    <row r="1046" spans="1:13" s="755" customFormat="1">
      <c r="A1046" s="816"/>
      <c r="B1046" s="753"/>
      <c r="C1046" s="753"/>
      <c r="D1046" s="753"/>
      <c r="E1046" s="753"/>
      <c r="F1046" s="753"/>
      <c r="G1046" s="753"/>
      <c r="H1046" s="753"/>
      <c r="I1046" s="753"/>
      <c r="J1046" s="753"/>
      <c r="K1046" s="753"/>
      <c r="L1046" s="753"/>
      <c r="M1046" s="753"/>
    </row>
    <row r="1047" spans="1:13" s="755" customFormat="1">
      <c r="A1047" s="816"/>
      <c r="B1047" s="753"/>
      <c r="C1047" s="753"/>
      <c r="D1047" s="753"/>
      <c r="E1047" s="753"/>
      <c r="F1047" s="753"/>
      <c r="G1047" s="753"/>
      <c r="H1047" s="753"/>
      <c r="I1047" s="753"/>
      <c r="J1047" s="753"/>
      <c r="K1047" s="753"/>
      <c r="L1047" s="753"/>
      <c r="M1047" s="753"/>
    </row>
    <row r="1048" spans="1:13" s="755" customFormat="1">
      <c r="A1048" s="816"/>
      <c r="B1048" s="753"/>
      <c r="C1048" s="753"/>
      <c r="D1048" s="753"/>
      <c r="E1048" s="753"/>
      <c r="F1048" s="753"/>
      <c r="G1048" s="753"/>
      <c r="H1048" s="753"/>
      <c r="I1048" s="753"/>
      <c r="J1048" s="753"/>
      <c r="K1048" s="753"/>
      <c r="L1048" s="753"/>
      <c r="M1048" s="753"/>
    </row>
    <row r="1049" spans="1:13" s="755" customFormat="1">
      <c r="A1049" s="816"/>
      <c r="B1049" s="753"/>
      <c r="C1049" s="753"/>
      <c r="D1049" s="753"/>
      <c r="E1049" s="753"/>
      <c r="F1049" s="753"/>
      <c r="G1049" s="753"/>
      <c r="H1049" s="753"/>
      <c r="I1049" s="753"/>
      <c r="J1049" s="753"/>
      <c r="K1049" s="753"/>
      <c r="L1049" s="753"/>
      <c r="M1049" s="753"/>
    </row>
    <row r="1050" spans="1:13" s="755" customFormat="1">
      <c r="A1050" s="816"/>
      <c r="B1050" s="753"/>
      <c r="C1050" s="753"/>
      <c r="D1050" s="753"/>
      <c r="E1050" s="753"/>
      <c r="F1050" s="753"/>
      <c r="G1050" s="753"/>
      <c r="H1050" s="753"/>
      <c r="I1050" s="753"/>
      <c r="J1050" s="753"/>
      <c r="K1050" s="753"/>
      <c r="L1050" s="753"/>
      <c r="M1050" s="753"/>
    </row>
    <row r="1051" spans="1:13" s="755" customFormat="1">
      <c r="A1051" s="816"/>
      <c r="B1051" s="753"/>
      <c r="C1051" s="753"/>
      <c r="D1051" s="753"/>
      <c r="E1051" s="753"/>
      <c r="F1051" s="753"/>
      <c r="G1051" s="753"/>
      <c r="H1051" s="753"/>
      <c r="I1051" s="753"/>
      <c r="J1051" s="753"/>
      <c r="K1051" s="753"/>
      <c r="L1051" s="753"/>
      <c r="M1051" s="753"/>
    </row>
    <row r="1052" spans="1:13" s="755" customFormat="1">
      <c r="A1052" s="816"/>
      <c r="B1052" s="753"/>
      <c r="C1052" s="753"/>
      <c r="D1052" s="753"/>
      <c r="E1052" s="753"/>
      <c r="F1052" s="753"/>
      <c r="G1052" s="753"/>
      <c r="H1052" s="753"/>
      <c r="I1052" s="753"/>
      <c r="J1052" s="753"/>
      <c r="K1052" s="753"/>
      <c r="L1052" s="753"/>
      <c r="M1052" s="753"/>
    </row>
    <row r="1053" spans="1:13" s="755" customFormat="1">
      <c r="A1053" s="816"/>
      <c r="B1053" s="753"/>
      <c r="C1053" s="753"/>
      <c r="D1053" s="753"/>
      <c r="E1053" s="753"/>
      <c r="F1053" s="753"/>
      <c r="G1053" s="753"/>
      <c r="H1053" s="753"/>
      <c r="I1053" s="753"/>
      <c r="J1053" s="753"/>
      <c r="K1053" s="753"/>
      <c r="L1053" s="753"/>
      <c r="M1053" s="753"/>
    </row>
    <row r="1054" spans="1:13" s="755" customFormat="1">
      <c r="A1054" s="816"/>
      <c r="B1054" s="753"/>
      <c r="C1054" s="753"/>
      <c r="D1054" s="753"/>
      <c r="E1054" s="753"/>
      <c r="F1054" s="753"/>
      <c r="G1054" s="753"/>
      <c r="H1054" s="753"/>
      <c r="I1054" s="753"/>
      <c r="J1054" s="753"/>
      <c r="K1054" s="753"/>
      <c r="L1054" s="753"/>
      <c r="M1054" s="753"/>
    </row>
    <row r="1055" spans="1:13" s="755" customFormat="1">
      <c r="A1055" s="816"/>
      <c r="B1055" s="753"/>
      <c r="C1055" s="753"/>
      <c r="D1055" s="753"/>
      <c r="E1055" s="753"/>
      <c r="F1055" s="753"/>
      <c r="G1055" s="753"/>
      <c r="H1055" s="753"/>
      <c r="I1055" s="753"/>
      <c r="J1055" s="753"/>
      <c r="K1055" s="753"/>
      <c r="L1055" s="753"/>
      <c r="M1055" s="753"/>
    </row>
    <row r="1056" spans="1:13" s="755" customFormat="1">
      <c r="A1056" s="816"/>
      <c r="B1056" s="753"/>
      <c r="C1056" s="753"/>
      <c r="D1056" s="753"/>
      <c r="E1056" s="753"/>
      <c r="F1056" s="753"/>
      <c r="G1056" s="753"/>
      <c r="H1056" s="753"/>
      <c r="I1056" s="753"/>
      <c r="J1056" s="753"/>
      <c r="K1056" s="753"/>
      <c r="L1056" s="753"/>
      <c r="M1056" s="753"/>
    </row>
    <row r="1057" spans="1:13" s="755" customFormat="1">
      <c r="A1057" s="816"/>
      <c r="B1057" s="753"/>
      <c r="C1057" s="753"/>
      <c r="D1057" s="753"/>
      <c r="E1057" s="753"/>
      <c r="F1057" s="753"/>
      <c r="G1057" s="753"/>
      <c r="H1057" s="753"/>
      <c r="I1057" s="753"/>
      <c r="J1057" s="753"/>
      <c r="K1057" s="753"/>
      <c r="L1057" s="753"/>
      <c r="M1057" s="753"/>
    </row>
    <row r="1058" spans="1:13" s="755" customFormat="1">
      <c r="A1058" s="816"/>
      <c r="B1058" s="753"/>
      <c r="C1058" s="753"/>
      <c r="D1058" s="753"/>
      <c r="E1058" s="753"/>
      <c r="F1058" s="753"/>
      <c r="G1058" s="753"/>
      <c r="H1058" s="753"/>
      <c r="I1058" s="753"/>
      <c r="J1058" s="753"/>
      <c r="K1058" s="753"/>
      <c r="L1058" s="753"/>
      <c r="M1058" s="753"/>
    </row>
    <row r="1059" spans="1:13" s="755" customFormat="1">
      <c r="A1059" s="816"/>
      <c r="B1059" s="753"/>
      <c r="C1059" s="753"/>
      <c r="D1059" s="753"/>
      <c r="E1059" s="753"/>
      <c r="F1059" s="753"/>
      <c r="G1059" s="753"/>
      <c r="H1059" s="753"/>
      <c r="I1059" s="753"/>
      <c r="J1059" s="753"/>
      <c r="K1059" s="753"/>
      <c r="L1059" s="753"/>
      <c r="M1059" s="753"/>
    </row>
    <row r="1060" spans="1:13" s="755" customFormat="1">
      <c r="A1060" s="816"/>
      <c r="B1060" s="753"/>
      <c r="C1060" s="753"/>
      <c r="D1060" s="753"/>
      <c r="E1060" s="753"/>
      <c r="F1060" s="753"/>
      <c r="G1060" s="753"/>
      <c r="H1060" s="753"/>
      <c r="I1060" s="753"/>
      <c r="J1060" s="753"/>
      <c r="K1060" s="753"/>
      <c r="L1060" s="753"/>
      <c r="M1060" s="753"/>
    </row>
    <row r="1061" spans="1:13" s="755" customFormat="1">
      <c r="A1061" s="816"/>
      <c r="B1061" s="753"/>
      <c r="C1061" s="753"/>
      <c r="D1061" s="753"/>
      <c r="E1061" s="753"/>
      <c r="F1061" s="753"/>
      <c r="G1061" s="753"/>
      <c r="H1061" s="753"/>
      <c r="I1061" s="753"/>
      <c r="J1061" s="753"/>
      <c r="K1061" s="753"/>
      <c r="L1061" s="753"/>
      <c r="M1061" s="753"/>
    </row>
    <row r="1062" spans="1:13" s="755" customFormat="1">
      <c r="A1062" s="816"/>
      <c r="B1062" s="753"/>
      <c r="C1062" s="753"/>
      <c r="D1062" s="753"/>
      <c r="E1062" s="753"/>
      <c r="F1062" s="753"/>
      <c r="G1062" s="753"/>
      <c r="H1062" s="753"/>
      <c r="I1062" s="753"/>
      <c r="J1062" s="753"/>
      <c r="K1062" s="753"/>
      <c r="L1062" s="753"/>
      <c r="M1062" s="753"/>
    </row>
    <row r="1063" spans="1:13" s="755" customFormat="1">
      <c r="A1063" s="816"/>
      <c r="B1063" s="753"/>
      <c r="C1063" s="753"/>
      <c r="D1063" s="753"/>
      <c r="E1063" s="753"/>
      <c r="F1063" s="753"/>
      <c r="G1063" s="753"/>
      <c r="H1063" s="753"/>
      <c r="I1063" s="753"/>
      <c r="J1063" s="753"/>
      <c r="K1063" s="753"/>
      <c r="L1063" s="753"/>
      <c r="M1063" s="753"/>
    </row>
    <row r="1064" spans="1:13" s="755" customFormat="1">
      <c r="A1064" s="816"/>
      <c r="B1064" s="753"/>
      <c r="C1064" s="753"/>
      <c r="D1064" s="753"/>
      <c r="E1064" s="753"/>
      <c r="F1064" s="753"/>
      <c r="G1064" s="753"/>
      <c r="H1064" s="753"/>
      <c r="I1064" s="753"/>
      <c r="J1064" s="753"/>
      <c r="K1064" s="753"/>
      <c r="L1064" s="753"/>
      <c r="M1064" s="753"/>
    </row>
    <row r="1065" spans="1:13" s="755" customFormat="1">
      <c r="A1065" s="816"/>
      <c r="B1065" s="753"/>
      <c r="C1065" s="753"/>
      <c r="D1065" s="753"/>
      <c r="E1065" s="753"/>
      <c r="F1065" s="753"/>
      <c r="G1065" s="753"/>
      <c r="H1065" s="753"/>
      <c r="I1065" s="753"/>
      <c r="J1065" s="753"/>
      <c r="K1065" s="753"/>
      <c r="L1065" s="753"/>
      <c r="M1065" s="753"/>
    </row>
    <row r="1066" spans="1:13" s="755" customFormat="1">
      <c r="A1066" s="816"/>
      <c r="B1066" s="753"/>
      <c r="C1066" s="753"/>
      <c r="D1066" s="753"/>
      <c r="E1066" s="753"/>
      <c r="F1066" s="753"/>
      <c r="G1066" s="753"/>
      <c r="H1066" s="753"/>
      <c r="I1066" s="753"/>
      <c r="J1066" s="753"/>
      <c r="K1066" s="753"/>
      <c r="L1066" s="753"/>
      <c r="M1066" s="753"/>
    </row>
    <row r="1067" spans="1:13" s="755" customFormat="1">
      <c r="A1067" s="816"/>
      <c r="B1067" s="753"/>
      <c r="C1067" s="753"/>
      <c r="D1067" s="753"/>
      <c r="E1067" s="753"/>
      <c r="F1067" s="753"/>
      <c r="G1067" s="753"/>
      <c r="H1067" s="753"/>
      <c r="I1067" s="753"/>
      <c r="J1067" s="753"/>
      <c r="K1067" s="753"/>
      <c r="L1067" s="753"/>
      <c r="M1067" s="753"/>
    </row>
    <row r="1068" spans="1:13" s="755" customFormat="1">
      <c r="A1068" s="816"/>
      <c r="B1068" s="753"/>
      <c r="C1068" s="753"/>
      <c r="D1068" s="753"/>
      <c r="E1068" s="753"/>
      <c r="F1068" s="753"/>
      <c r="G1068" s="753"/>
      <c r="H1068" s="753"/>
      <c r="I1068" s="753"/>
      <c r="J1068" s="753"/>
      <c r="K1068" s="753"/>
      <c r="L1068" s="753"/>
      <c r="M1068" s="753"/>
    </row>
    <row r="1069" spans="1:13" s="755" customFormat="1">
      <c r="A1069" s="816"/>
      <c r="B1069" s="753"/>
      <c r="C1069" s="753"/>
      <c r="D1069" s="753"/>
      <c r="E1069" s="753"/>
      <c r="F1069" s="753"/>
      <c r="G1069" s="753"/>
      <c r="H1069" s="753"/>
      <c r="I1069" s="753"/>
      <c r="J1069" s="753"/>
      <c r="K1069" s="753"/>
      <c r="L1069" s="753"/>
      <c r="M1069" s="753"/>
    </row>
    <row r="1070" spans="1:13" s="755" customFormat="1">
      <c r="A1070" s="816"/>
      <c r="B1070" s="753"/>
      <c r="C1070" s="753"/>
      <c r="D1070" s="753"/>
      <c r="E1070" s="753"/>
      <c r="F1070" s="753"/>
      <c r="G1070" s="753"/>
      <c r="H1070" s="753"/>
      <c r="I1070" s="753"/>
      <c r="J1070" s="753"/>
      <c r="K1070" s="753"/>
      <c r="L1070" s="753"/>
      <c r="M1070" s="753"/>
    </row>
    <row r="1071" spans="1:13" s="755" customFormat="1">
      <c r="A1071" s="816"/>
      <c r="B1071" s="753"/>
      <c r="C1071" s="753"/>
      <c r="D1071" s="753"/>
      <c r="E1071" s="753"/>
      <c r="F1071" s="753"/>
      <c r="G1071" s="753"/>
      <c r="H1071" s="753"/>
      <c r="I1071" s="753"/>
      <c r="J1071" s="753"/>
      <c r="K1071" s="753"/>
      <c r="L1071" s="753"/>
      <c r="M1071" s="753"/>
    </row>
    <row r="1072" spans="1:13" s="755" customFormat="1">
      <c r="A1072" s="816"/>
      <c r="B1072" s="753"/>
      <c r="C1072" s="753"/>
      <c r="D1072" s="753"/>
      <c r="E1072" s="753"/>
      <c r="F1072" s="753"/>
      <c r="G1072" s="753"/>
      <c r="H1072" s="753"/>
      <c r="I1072" s="753"/>
      <c r="J1072" s="753"/>
      <c r="K1072" s="753"/>
      <c r="L1072" s="753"/>
      <c r="M1072" s="753"/>
    </row>
    <row r="1073" spans="1:13" s="755" customFormat="1">
      <c r="A1073" s="816"/>
      <c r="B1073" s="753"/>
      <c r="C1073" s="753"/>
      <c r="D1073" s="753"/>
      <c r="E1073" s="753"/>
      <c r="F1073" s="753"/>
      <c r="G1073" s="753"/>
      <c r="H1073" s="753"/>
      <c r="I1073" s="753"/>
      <c r="J1073" s="753"/>
      <c r="K1073" s="753"/>
      <c r="L1073" s="753"/>
      <c r="M1073" s="753"/>
    </row>
    <row r="1074" spans="1:13" s="755" customFormat="1">
      <c r="A1074" s="816"/>
      <c r="B1074" s="753"/>
      <c r="C1074" s="753"/>
      <c r="D1074" s="753"/>
      <c r="E1074" s="753"/>
      <c r="F1074" s="753"/>
      <c r="G1074" s="753"/>
      <c r="H1074" s="753"/>
      <c r="I1074" s="753"/>
      <c r="J1074" s="753"/>
      <c r="K1074" s="753"/>
      <c r="L1074" s="753"/>
      <c r="M1074" s="753"/>
    </row>
    <row r="1075" spans="1:13" s="755" customFormat="1">
      <c r="A1075" s="816"/>
      <c r="B1075" s="753"/>
      <c r="C1075" s="753"/>
      <c r="D1075" s="753"/>
      <c r="E1075" s="753"/>
      <c r="F1075" s="753"/>
      <c r="G1075" s="753"/>
      <c r="H1075" s="753"/>
      <c r="I1075" s="753"/>
      <c r="J1075" s="753"/>
      <c r="K1075" s="753"/>
      <c r="L1075" s="753"/>
      <c r="M1075" s="753"/>
    </row>
    <row r="1076" spans="1:13" s="755" customFormat="1">
      <c r="A1076" s="816"/>
      <c r="B1076" s="753"/>
      <c r="C1076" s="753"/>
      <c r="D1076" s="753"/>
      <c r="E1076" s="753"/>
      <c r="F1076" s="753"/>
      <c r="G1076" s="753"/>
      <c r="H1076" s="753"/>
      <c r="I1076" s="753"/>
      <c r="J1076" s="753"/>
      <c r="K1076" s="753"/>
      <c r="L1076" s="753"/>
      <c r="M1076" s="753"/>
    </row>
    <row r="1077" spans="1:13" s="755" customFormat="1">
      <c r="A1077" s="816"/>
      <c r="B1077" s="753"/>
      <c r="C1077" s="753"/>
      <c r="D1077" s="753"/>
      <c r="E1077" s="753"/>
      <c r="F1077" s="753"/>
      <c r="G1077" s="753"/>
      <c r="H1077" s="753"/>
      <c r="I1077" s="753"/>
      <c r="J1077" s="753"/>
      <c r="K1077" s="753"/>
      <c r="L1077" s="753"/>
      <c r="M1077" s="753"/>
    </row>
    <row r="1078" spans="1:13" s="755" customFormat="1">
      <c r="A1078" s="816"/>
      <c r="B1078" s="753"/>
      <c r="C1078" s="753"/>
      <c r="D1078" s="753"/>
      <c r="E1078" s="753"/>
      <c r="F1078" s="753"/>
      <c r="G1078" s="753"/>
      <c r="H1078" s="753"/>
      <c r="I1078" s="753"/>
      <c r="J1078" s="753"/>
      <c r="K1078" s="753"/>
      <c r="L1078" s="753"/>
      <c r="M1078" s="753"/>
    </row>
    <row r="1079" spans="1:13" s="755" customFormat="1">
      <c r="A1079" s="816"/>
      <c r="B1079" s="753"/>
      <c r="C1079" s="753"/>
      <c r="D1079" s="753"/>
      <c r="E1079" s="753"/>
      <c r="F1079" s="753"/>
      <c r="G1079" s="753"/>
      <c r="H1079" s="753"/>
      <c r="I1079" s="753"/>
      <c r="J1079" s="753"/>
      <c r="K1079" s="753"/>
      <c r="L1079" s="753"/>
      <c r="M1079" s="753"/>
    </row>
    <row r="1080" spans="1:13" s="755" customFormat="1">
      <c r="A1080" s="816"/>
      <c r="B1080" s="753"/>
      <c r="C1080" s="753"/>
      <c r="D1080" s="753"/>
      <c r="E1080" s="753"/>
      <c r="F1080" s="753"/>
      <c r="G1080" s="753"/>
      <c r="H1080" s="753"/>
      <c r="I1080" s="753"/>
      <c r="J1080" s="753"/>
      <c r="K1080" s="753"/>
      <c r="L1080" s="753"/>
      <c r="M1080" s="753"/>
    </row>
    <row r="1081" spans="1:13" s="755" customFormat="1">
      <c r="A1081" s="816"/>
      <c r="B1081" s="753"/>
      <c r="C1081" s="753"/>
      <c r="D1081" s="753"/>
      <c r="E1081" s="753"/>
      <c r="F1081" s="753"/>
      <c r="G1081" s="753"/>
      <c r="H1081" s="753"/>
      <c r="I1081" s="753"/>
      <c r="J1081" s="753"/>
      <c r="K1081" s="753"/>
      <c r="L1081" s="753"/>
      <c r="M1081" s="753"/>
    </row>
    <row r="1082" spans="1:13" s="755" customFormat="1">
      <c r="A1082" s="816"/>
      <c r="B1082" s="753"/>
      <c r="C1082" s="753"/>
      <c r="D1082" s="753"/>
      <c r="E1082" s="753"/>
      <c r="F1082" s="753"/>
      <c r="G1082" s="753"/>
      <c r="H1082" s="753"/>
      <c r="I1082" s="753"/>
      <c r="J1082" s="753"/>
      <c r="K1082" s="753"/>
      <c r="L1082" s="753"/>
      <c r="M1082" s="753"/>
    </row>
    <row r="1083" spans="1:13" s="755" customFormat="1">
      <c r="A1083" s="816"/>
      <c r="B1083" s="753"/>
      <c r="C1083" s="753"/>
      <c r="D1083" s="753"/>
      <c r="E1083" s="753"/>
      <c r="F1083" s="753"/>
      <c r="G1083" s="753"/>
      <c r="H1083" s="753"/>
      <c r="I1083" s="753"/>
      <c r="J1083" s="753"/>
      <c r="K1083" s="753"/>
      <c r="L1083" s="753"/>
      <c r="M1083" s="753"/>
    </row>
    <row r="1084" spans="1:13" s="755" customFormat="1">
      <c r="A1084" s="816"/>
      <c r="B1084" s="753"/>
      <c r="C1084" s="753"/>
      <c r="D1084" s="753"/>
      <c r="E1084" s="753"/>
      <c r="F1084" s="753"/>
      <c r="G1084" s="753"/>
      <c r="H1084" s="753"/>
      <c r="I1084" s="753"/>
      <c r="J1084" s="753"/>
      <c r="K1084" s="753"/>
      <c r="L1084" s="753"/>
      <c r="M1084" s="753"/>
    </row>
    <row r="1085" spans="1:13" s="755" customFormat="1">
      <c r="A1085" s="816"/>
      <c r="B1085" s="753"/>
      <c r="C1085" s="753"/>
      <c r="D1085" s="753"/>
      <c r="E1085" s="753"/>
      <c r="F1085" s="753"/>
      <c r="G1085" s="753"/>
      <c r="H1085" s="753"/>
      <c r="I1085" s="753"/>
      <c r="J1085" s="753"/>
      <c r="K1085" s="753"/>
      <c r="L1085" s="753"/>
      <c r="M1085" s="753"/>
    </row>
    <row r="1086" spans="1:13" s="755" customFormat="1">
      <c r="A1086" s="816"/>
      <c r="B1086" s="753"/>
      <c r="C1086" s="753"/>
      <c r="D1086" s="753"/>
      <c r="E1086" s="753"/>
      <c r="F1086" s="753"/>
      <c r="G1086" s="753"/>
      <c r="H1086" s="753"/>
      <c r="I1086" s="753"/>
      <c r="J1086" s="753"/>
      <c r="K1086" s="753"/>
      <c r="L1086" s="753"/>
      <c r="M1086" s="753"/>
    </row>
    <row r="1087" spans="1:13" s="755" customFormat="1">
      <c r="A1087" s="816"/>
      <c r="B1087" s="753"/>
      <c r="C1087" s="753"/>
      <c r="D1087" s="753"/>
      <c r="E1087" s="753"/>
      <c r="F1087" s="753"/>
      <c r="G1087" s="753"/>
      <c r="H1087" s="753"/>
      <c r="I1087" s="753"/>
      <c r="J1087" s="753"/>
      <c r="K1087" s="753"/>
      <c r="L1087" s="753"/>
      <c r="M1087" s="753"/>
    </row>
    <row r="1088" spans="1:13" s="755" customFormat="1">
      <c r="A1088" s="816"/>
      <c r="B1088" s="753"/>
      <c r="C1088" s="753"/>
      <c r="D1088" s="753"/>
      <c r="E1088" s="753"/>
      <c r="F1088" s="753"/>
      <c r="G1088" s="753"/>
      <c r="H1088" s="753"/>
      <c r="I1088" s="753"/>
      <c r="J1088" s="753"/>
      <c r="K1088" s="753"/>
      <c r="L1088" s="753"/>
      <c r="M1088" s="753"/>
    </row>
    <row r="1089" spans="1:13" s="755" customFormat="1">
      <c r="A1089" s="816"/>
      <c r="B1089" s="753"/>
      <c r="C1089" s="753"/>
      <c r="D1089" s="753"/>
      <c r="E1089" s="753"/>
      <c r="F1089" s="753"/>
      <c r="G1089" s="753"/>
      <c r="H1089" s="753"/>
      <c r="I1089" s="753"/>
      <c r="J1089" s="753"/>
      <c r="K1089" s="753"/>
      <c r="L1089" s="753"/>
      <c r="M1089" s="753"/>
    </row>
    <row r="1090" spans="1:13" s="755" customFormat="1">
      <c r="A1090" s="816"/>
      <c r="B1090" s="753"/>
      <c r="C1090" s="753"/>
      <c r="D1090" s="753"/>
      <c r="E1090" s="753"/>
      <c r="F1090" s="753"/>
      <c r="G1090" s="753"/>
      <c r="H1090" s="753"/>
      <c r="I1090" s="753"/>
      <c r="J1090" s="753"/>
      <c r="K1090" s="753"/>
      <c r="L1090" s="753"/>
      <c r="M1090" s="753"/>
    </row>
    <row r="1091" spans="1:13" s="755" customFormat="1">
      <c r="A1091" s="816"/>
      <c r="B1091" s="753"/>
      <c r="C1091" s="753"/>
      <c r="D1091" s="753"/>
      <c r="E1091" s="753"/>
      <c r="F1091" s="753"/>
      <c r="G1091" s="753"/>
      <c r="H1091" s="753"/>
      <c r="I1091" s="753"/>
      <c r="J1091" s="753"/>
      <c r="K1091" s="753"/>
      <c r="L1091" s="753"/>
      <c r="M1091" s="753"/>
    </row>
    <row r="1092" spans="1:13" s="755" customFormat="1">
      <c r="A1092" s="816"/>
      <c r="B1092" s="753"/>
      <c r="C1092" s="753"/>
      <c r="D1092" s="753"/>
      <c r="E1092" s="753"/>
      <c r="F1092" s="753"/>
      <c r="G1092" s="753"/>
      <c r="H1092" s="753"/>
      <c r="I1092" s="753"/>
      <c r="J1092" s="753"/>
      <c r="K1092" s="753"/>
      <c r="L1092" s="753"/>
      <c r="M1092" s="753"/>
    </row>
    <row r="1093" spans="1:13" s="755" customFormat="1">
      <c r="A1093" s="816"/>
      <c r="B1093" s="753"/>
      <c r="C1093" s="753"/>
      <c r="D1093" s="753"/>
      <c r="E1093" s="753"/>
      <c r="F1093" s="753"/>
      <c r="G1093" s="753"/>
      <c r="H1093" s="753"/>
      <c r="I1093" s="753"/>
      <c r="J1093" s="753"/>
      <c r="K1093" s="753"/>
      <c r="L1093" s="753"/>
      <c r="M1093" s="753"/>
    </row>
    <row r="1094" spans="1:13" s="755" customFormat="1">
      <c r="A1094" s="816"/>
      <c r="B1094" s="753"/>
      <c r="C1094" s="753"/>
      <c r="D1094" s="753"/>
      <c r="E1094" s="753"/>
      <c r="F1094" s="753"/>
      <c r="G1094" s="753"/>
      <c r="H1094" s="753"/>
      <c r="I1094" s="753"/>
      <c r="J1094" s="753"/>
      <c r="K1094" s="753"/>
      <c r="L1094" s="753"/>
      <c r="M1094" s="753"/>
    </row>
    <row r="1095" spans="1:13" s="755" customFormat="1">
      <c r="A1095" s="816"/>
      <c r="B1095" s="753"/>
      <c r="C1095" s="753"/>
      <c r="D1095" s="753"/>
      <c r="E1095" s="753"/>
      <c r="F1095" s="753"/>
      <c r="G1095" s="753"/>
      <c r="H1095" s="753"/>
      <c r="I1095" s="753"/>
      <c r="J1095" s="753"/>
      <c r="K1095" s="753"/>
      <c r="L1095" s="753"/>
      <c r="M1095" s="753"/>
    </row>
    <row r="1096" spans="1:13" s="755" customFormat="1">
      <c r="A1096" s="816"/>
      <c r="B1096" s="753"/>
      <c r="C1096" s="753"/>
      <c r="D1096" s="753"/>
      <c r="E1096" s="753"/>
      <c r="F1096" s="753"/>
      <c r="G1096" s="753"/>
      <c r="H1096" s="753"/>
      <c r="I1096" s="753"/>
      <c r="J1096" s="753"/>
      <c r="K1096" s="753"/>
      <c r="L1096" s="753"/>
      <c r="M1096" s="753"/>
    </row>
    <row r="1097" spans="1:13" s="755" customFormat="1">
      <c r="A1097" s="816"/>
      <c r="B1097" s="753"/>
      <c r="C1097" s="753"/>
      <c r="D1097" s="753"/>
      <c r="E1097" s="753"/>
      <c r="F1097" s="753"/>
      <c r="G1097" s="753"/>
      <c r="H1097" s="753"/>
      <c r="I1097" s="753"/>
      <c r="J1097" s="753"/>
      <c r="K1097" s="753"/>
      <c r="L1097" s="753"/>
      <c r="M1097" s="753"/>
    </row>
    <row r="1098" spans="1:13" s="755" customFormat="1">
      <c r="A1098" s="816"/>
      <c r="B1098" s="753"/>
      <c r="C1098" s="753"/>
      <c r="D1098" s="753"/>
      <c r="E1098" s="753"/>
      <c r="F1098" s="753"/>
      <c r="G1098" s="753"/>
      <c r="H1098" s="753"/>
      <c r="I1098" s="753"/>
      <c r="J1098" s="753"/>
      <c r="K1098" s="753"/>
      <c r="L1098" s="753"/>
      <c r="M1098" s="753"/>
    </row>
    <row r="1099" spans="1:13" s="755" customFormat="1">
      <c r="A1099" s="816"/>
      <c r="B1099" s="753"/>
      <c r="C1099" s="753"/>
      <c r="D1099" s="753"/>
      <c r="E1099" s="753"/>
      <c r="F1099" s="753"/>
      <c r="G1099" s="753"/>
      <c r="H1099" s="753"/>
      <c r="I1099" s="753"/>
      <c r="J1099" s="753"/>
      <c r="K1099" s="753"/>
      <c r="L1099" s="753"/>
      <c r="M1099" s="753"/>
    </row>
    <row r="1100" spans="1:13" s="755" customFormat="1">
      <c r="A1100" s="816"/>
      <c r="B1100" s="753"/>
      <c r="C1100" s="753"/>
      <c r="D1100" s="753"/>
      <c r="E1100" s="753"/>
      <c r="F1100" s="753"/>
      <c r="G1100" s="753"/>
      <c r="H1100" s="753"/>
      <c r="I1100" s="753"/>
      <c r="J1100" s="753"/>
      <c r="K1100" s="753"/>
      <c r="L1100" s="753"/>
      <c r="M1100" s="753"/>
    </row>
    <row r="1101" spans="1:13" s="755" customFormat="1">
      <c r="A1101" s="816"/>
      <c r="B1101" s="753"/>
      <c r="C1101" s="753"/>
      <c r="D1101" s="753"/>
      <c r="E1101" s="753"/>
      <c r="F1101" s="753"/>
      <c r="G1101" s="753"/>
      <c r="H1101" s="753"/>
      <c r="I1101" s="753"/>
      <c r="J1101" s="753"/>
      <c r="K1101" s="753"/>
      <c r="L1101" s="753"/>
      <c r="M1101" s="753"/>
    </row>
    <row r="1102" spans="1:13" s="755" customFormat="1">
      <c r="A1102" s="816"/>
      <c r="B1102" s="753"/>
      <c r="C1102" s="753"/>
      <c r="D1102" s="753"/>
      <c r="E1102" s="753"/>
      <c r="F1102" s="753"/>
      <c r="G1102" s="753"/>
      <c r="H1102" s="753"/>
      <c r="I1102" s="753"/>
      <c r="J1102" s="753"/>
      <c r="K1102" s="753"/>
      <c r="L1102" s="753"/>
      <c r="M1102" s="753"/>
    </row>
    <row r="1103" spans="1:13" s="755" customFormat="1">
      <c r="A1103" s="816"/>
      <c r="B1103" s="753"/>
      <c r="C1103" s="753"/>
      <c r="D1103" s="753"/>
      <c r="E1103" s="753"/>
      <c r="F1103" s="753"/>
      <c r="G1103" s="753"/>
      <c r="H1103" s="753"/>
      <c r="I1103" s="753"/>
      <c r="J1103" s="753"/>
      <c r="K1103" s="753"/>
      <c r="L1103" s="753"/>
      <c r="M1103" s="753"/>
    </row>
    <row r="1104" spans="1:13" s="755" customFormat="1">
      <c r="A1104" s="816"/>
      <c r="B1104" s="753"/>
      <c r="C1104" s="753"/>
      <c r="D1104" s="753"/>
      <c r="E1104" s="753"/>
      <c r="F1104" s="753"/>
      <c r="G1104" s="753"/>
      <c r="H1104" s="753"/>
      <c r="I1104" s="753"/>
      <c r="J1104" s="753"/>
      <c r="K1104" s="753"/>
      <c r="L1104" s="753"/>
      <c r="M1104" s="753"/>
    </row>
    <row r="1105" spans="1:13" s="755" customFormat="1">
      <c r="A1105" s="816"/>
      <c r="B1105" s="753"/>
      <c r="C1105" s="753"/>
      <c r="D1105" s="753"/>
      <c r="E1105" s="753"/>
      <c r="F1105" s="753"/>
      <c r="G1105" s="753"/>
      <c r="H1105" s="753"/>
      <c r="I1105" s="753"/>
      <c r="J1105" s="753"/>
      <c r="K1105" s="753"/>
      <c r="L1105" s="753"/>
      <c r="M1105" s="753"/>
    </row>
    <row r="1106" spans="1:13" s="755" customFormat="1">
      <c r="A1106" s="816"/>
      <c r="B1106" s="753"/>
      <c r="C1106" s="753"/>
      <c r="D1106" s="753"/>
      <c r="E1106" s="753"/>
      <c r="F1106" s="753"/>
      <c r="G1106" s="753"/>
      <c r="H1106" s="753"/>
      <c r="I1106" s="753"/>
      <c r="J1106" s="753"/>
      <c r="K1106" s="753"/>
      <c r="L1106" s="753"/>
      <c r="M1106" s="753"/>
    </row>
    <row r="1107" spans="1:13" s="755" customFormat="1">
      <c r="A1107" s="816"/>
      <c r="B1107" s="753"/>
      <c r="C1107" s="753"/>
      <c r="D1107" s="753"/>
      <c r="E1107" s="753"/>
      <c r="F1107" s="753"/>
      <c r="G1107" s="753"/>
      <c r="H1107" s="753"/>
      <c r="I1107" s="753"/>
      <c r="J1107" s="753"/>
      <c r="K1107" s="753"/>
      <c r="L1107" s="753"/>
      <c r="M1107" s="753"/>
    </row>
    <row r="1108" spans="1:13" s="755" customFormat="1">
      <c r="A1108" s="816"/>
      <c r="B1108" s="753"/>
      <c r="C1108" s="753"/>
      <c r="D1108" s="753"/>
      <c r="E1108" s="753"/>
      <c r="F1108" s="753"/>
      <c r="G1108" s="753"/>
      <c r="H1108" s="753"/>
      <c r="I1108" s="753"/>
      <c r="J1108" s="753"/>
      <c r="K1108" s="753"/>
      <c r="L1108" s="753"/>
      <c r="M1108" s="753"/>
    </row>
    <row r="1109" spans="1:13" s="755" customFormat="1">
      <c r="A1109" s="816"/>
      <c r="B1109" s="753"/>
      <c r="C1109" s="753"/>
      <c r="D1109" s="753"/>
      <c r="E1109" s="753"/>
      <c r="F1109" s="753"/>
      <c r="G1109" s="753"/>
      <c r="H1109" s="753"/>
      <c r="I1109" s="753"/>
      <c r="J1109" s="753"/>
      <c r="K1109" s="753"/>
      <c r="L1109" s="753"/>
      <c r="M1109" s="753"/>
    </row>
    <row r="1110" spans="1:13" s="755" customFormat="1">
      <c r="A1110" s="816"/>
      <c r="B1110" s="753"/>
      <c r="C1110" s="753"/>
      <c r="D1110" s="753"/>
      <c r="E1110" s="753"/>
      <c r="F1110" s="753"/>
      <c r="G1110" s="753"/>
      <c r="H1110" s="753"/>
      <c r="I1110" s="753"/>
      <c r="J1110" s="753"/>
      <c r="K1110" s="753"/>
      <c r="L1110" s="753"/>
      <c r="M1110" s="753"/>
    </row>
    <row r="1111" spans="1:13" s="755" customFormat="1">
      <c r="A1111" s="816"/>
      <c r="B1111" s="753"/>
      <c r="C1111" s="753"/>
      <c r="D1111" s="753"/>
      <c r="E1111" s="753"/>
      <c r="F1111" s="753"/>
      <c r="G1111" s="753"/>
      <c r="H1111" s="753"/>
      <c r="I1111" s="753"/>
      <c r="J1111" s="753"/>
      <c r="K1111" s="753"/>
      <c r="L1111" s="753"/>
      <c r="M1111" s="753"/>
    </row>
    <row r="1112" spans="1:13" s="755" customFormat="1">
      <c r="A1112" s="816"/>
      <c r="B1112" s="753"/>
      <c r="C1112" s="753"/>
      <c r="D1112" s="753"/>
      <c r="E1112" s="753"/>
      <c r="F1112" s="753"/>
      <c r="G1112" s="753"/>
      <c r="H1112" s="753"/>
      <c r="I1112" s="753"/>
      <c r="J1112" s="753"/>
      <c r="K1112" s="753"/>
      <c r="L1112" s="753"/>
      <c r="M1112" s="753"/>
    </row>
    <row r="1113" spans="1:13" s="755" customFormat="1">
      <c r="A1113" s="816"/>
      <c r="B1113" s="753"/>
      <c r="C1113" s="753"/>
      <c r="D1113" s="753"/>
      <c r="E1113" s="753"/>
      <c r="F1113" s="753"/>
      <c r="G1113" s="753"/>
      <c r="H1113" s="753"/>
      <c r="I1113" s="753"/>
      <c r="J1113" s="753"/>
      <c r="K1113" s="753"/>
      <c r="L1113" s="753"/>
      <c r="M1113" s="753"/>
    </row>
    <row r="1114" spans="1:13" s="755" customFormat="1">
      <c r="A1114" s="816"/>
      <c r="B1114" s="753"/>
      <c r="C1114" s="753"/>
      <c r="D1114" s="753"/>
      <c r="E1114" s="753"/>
      <c r="F1114" s="753"/>
      <c r="G1114" s="753"/>
      <c r="H1114" s="753"/>
      <c r="I1114" s="753"/>
      <c r="J1114" s="753"/>
      <c r="K1114" s="753"/>
      <c r="L1114" s="753"/>
      <c r="M1114" s="753"/>
    </row>
    <row r="1115" spans="1:13" s="755" customFormat="1">
      <c r="A1115" s="816"/>
      <c r="B1115" s="753"/>
      <c r="C1115" s="753"/>
      <c r="D1115" s="753"/>
      <c r="E1115" s="753"/>
      <c r="F1115" s="753"/>
      <c r="G1115" s="753"/>
      <c r="H1115" s="753"/>
      <c r="I1115" s="753"/>
      <c r="J1115" s="753"/>
      <c r="K1115" s="753"/>
      <c r="L1115" s="753"/>
      <c r="M1115" s="753"/>
    </row>
    <row r="1116" spans="1:13" s="755" customFormat="1">
      <c r="A1116" s="816"/>
      <c r="B1116" s="753"/>
      <c r="C1116" s="753"/>
      <c r="D1116" s="753"/>
      <c r="E1116" s="753"/>
      <c r="F1116" s="753"/>
      <c r="G1116" s="753"/>
      <c r="H1116" s="753"/>
      <c r="I1116" s="753"/>
      <c r="J1116" s="753"/>
      <c r="K1116" s="753"/>
      <c r="L1116" s="753"/>
      <c r="M1116" s="753"/>
    </row>
    <row r="1117" spans="1:13" s="755" customFormat="1">
      <c r="A1117" s="816"/>
      <c r="B1117" s="753"/>
      <c r="C1117" s="753"/>
      <c r="D1117" s="753"/>
      <c r="E1117" s="753"/>
      <c r="F1117" s="753"/>
      <c r="G1117" s="753"/>
      <c r="H1117" s="753"/>
      <c r="I1117" s="753"/>
      <c r="J1117" s="753"/>
      <c r="K1117" s="753"/>
      <c r="L1117" s="753"/>
      <c r="M1117" s="753"/>
    </row>
    <row r="1118" spans="1:13" s="755" customFormat="1">
      <c r="A1118" s="816"/>
      <c r="B1118" s="753"/>
      <c r="C1118" s="753"/>
      <c r="D1118" s="753"/>
      <c r="E1118" s="753"/>
      <c r="F1118" s="753"/>
      <c r="G1118" s="753"/>
      <c r="H1118" s="753"/>
      <c r="I1118" s="753"/>
      <c r="J1118" s="753"/>
      <c r="K1118" s="753"/>
      <c r="L1118" s="753"/>
      <c r="M1118" s="753"/>
    </row>
    <row r="1119" spans="1:13" s="755" customFormat="1">
      <c r="A1119" s="816"/>
      <c r="B1119" s="753"/>
      <c r="C1119" s="753"/>
      <c r="D1119" s="753"/>
      <c r="E1119" s="753"/>
      <c r="F1119" s="753"/>
      <c r="G1119" s="753"/>
      <c r="H1119" s="753"/>
      <c r="I1119" s="753"/>
      <c r="J1119" s="753"/>
      <c r="K1119" s="753"/>
      <c r="L1119" s="753"/>
      <c r="M1119" s="753"/>
    </row>
    <row r="1120" spans="1:13" s="755" customFormat="1">
      <c r="A1120" s="816"/>
      <c r="B1120" s="753"/>
      <c r="C1120" s="753"/>
      <c r="D1120" s="753"/>
      <c r="E1120" s="753"/>
      <c r="F1120" s="753"/>
      <c r="G1120" s="753"/>
      <c r="H1120" s="753"/>
      <c r="I1120" s="753"/>
      <c r="J1120" s="753"/>
      <c r="K1120" s="753"/>
      <c r="L1120" s="753"/>
      <c r="M1120" s="753"/>
    </row>
    <row r="1121" spans="1:13" s="755" customFormat="1">
      <c r="A1121" s="816"/>
      <c r="B1121" s="753"/>
      <c r="C1121" s="753"/>
      <c r="D1121" s="753"/>
      <c r="E1121" s="753"/>
      <c r="F1121" s="753"/>
      <c r="G1121" s="753"/>
      <c r="H1121" s="753"/>
      <c r="I1121" s="753"/>
      <c r="J1121" s="753"/>
      <c r="K1121" s="753"/>
      <c r="L1121" s="753"/>
      <c r="M1121" s="753"/>
    </row>
    <row r="1122" spans="1:13" s="755" customFormat="1">
      <c r="A1122" s="816"/>
      <c r="B1122" s="753"/>
      <c r="C1122" s="753"/>
      <c r="D1122" s="753"/>
      <c r="E1122" s="753"/>
      <c r="F1122" s="753"/>
      <c r="G1122" s="753"/>
      <c r="H1122" s="753"/>
      <c r="I1122" s="753"/>
      <c r="J1122" s="753"/>
      <c r="K1122" s="753"/>
      <c r="L1122" s="753"/>
      <c r="M1122" s="753"/>
    </row>
    <row r="1123" spans="1:13" s="755" customFormat="1">
      <c r="A1123" s="816"/>
      <c r="B1123" s="753"/>
      <c r="C1123" s="753"/>
      <c r="D1123" s="753"/>
      <c r="E1123" s="753"/>
      <c r="F1123" s="753"/>
      <c r="G1123" s="753"/>
      <c r="H1123" s="753"/>
      <c r="I1123" s="753"/>
      <c r="J1123" s="753"/>
      <c r="K1123" s="753"/>
      <c r="L1123" s="753"/>
      <c r="M1123" s="753"/>
    </row>
    <row r="1124" spans="1:13" s="755" customFormat="1">
      <c r="A1124" s="816"/>
      <c r="B1124" s="753"/>
      <c r="C1124" s="753"/>
      <c r="D1124" s="753"/>
      <c r="E1124" s="753"/>
      <c r="F1124" s="753"/>
      <c r="G1124" s="753"/>
      <c r="H1124" s="753"/>
      <c r="I1124" s="753"/>
      <c r="J1124" s="753"/>
      <c r="K1124" s="753"/>
      <c r="L1124" s="753"/>
      <c r="M1124" s="753"/>
    </row>
    <row r="1125" spans="1:13" s="755" customFormat="1">
      <c r="A1125" s="816"/>
      <c r="B1125" s="753"/>
      <c r="C1125" s="753"/>
      <c r="D1125" s="753"/>
      <c r="E1125" s="753"/>
      <c r="F1125" s="753"/>
      <c r="G1125" s="753"/>
      <c r="H1125" s="753"/>
      <c r="I1125" s="753"/>
      <c r="J1125" s="753"/>
      <c r="K1125" s="753"/>
      <c r="L1125" s="753"/>
      <c r="M1125" s="753"/>
    </row>
    <row r="1126" spans="1:13" s="755" customFormat="1">
      <c r="A1126" s="816"/>
      <c r="B1126" s="753"/>
      <c r="C1126" s="753"/>
      <c r="D1126" s="753"/>
      <c r="E1126" s="753"/>
      <c r="F1126" s="753"/>
      <c r="G1126" s="753"/>
      <c r="H1126" s="753"/>
      <c r="I1126" s="753"/>
      <c r="J1126" s="753"/>
      <c r="K1126" s="753"/>
      <c r="L1126" s="753"/>
      <c r="M1126" s="753"/>
    </row>
    <row r="1127" spans="1:13" s="755" customFormat="1">
      <c r="A1127" s="816"/>
      <c r="B1127" s="753"/>
      <c r="C1127" s="753"/>
      <c r="D1127" s="753"/>
      <c r="E1127" s="753"/>
      <c r="F1127" s="753"/>
      <c r="G1127" s="753"/>
      <c r="H1127" s="753"/>
      <c r="I1127" s="753"/>
      <c r="J1127" s="753"/>
      <c r="K1127" s="753"/>
      <c r="L1127" s="753"/>
      <c r="M1127" s="753"/>
    </row>
    <row r="1128" spans="1:13" s="755" customFormat="1">
      <c r="A1128" s="816"/>
      <c r="B1128" s="753"/>
      <c r="C1128" s="753"/>
      <c r="D1128" s="753"/>
      <c r="E1128" s="753"/>
      <c r="F1128" s="753"/>
      <c r="G1128" s="753"/>
      <c r="H1128" s="753"/>
      <c r="I1128" s="753"/>
      <c r="J1128" s="753"/>
      <c r="K1128" s="753"/>
      <c r="L1128" s="753"/>
      <c r="M1128" s="753"/>
    </row>
    <row r="1129" spans="1:13" s="755" customFormat="1">
      <c r="A1129" s="816"/>
      <c r="B1129" s="753"/>
      <c r="C1129" s="753"/>
      <c r="D1129" s="753"/>
      <c r="E1129" s="753"/>
      <c r="F1129" s="753"/>
      <c r="G1129" s="753"/>
      <c r="H1129" s="753"/>
      <c r="I1129" s="753"/>
      <c r="J1129" s="753"/>
      <c r="K1129" s="753"/>
      <c r="L1129" s="753"/>
      <c r="M1129" s="753"/>
    </row>
    <row r="1130" spans="1:13" s="755" customFormat="1">
      <c r="A1130" s="816"/>
      <c r="B1130" s="753"/>
      <c r="C1130" s="753"/>
      <c r="D1130" s="753"/>
      <c r="E1130" s="753"/>
      <c r="F1130" s="753"/>
      <c r="G1130" s="753"/>
      <c r="H1130" s="753"/>
      <c r="I1130" s="753"/>
      <c r="J1130" s="753"/>
      <c r="K1130" s="753"/>
      <c r="L1130" s="753"/>
      <c r="M1130" s="753"/>
    </row>
    <row r="1131" spans="1:13" s="755" customFormat="1">
      <c r="A1131" s="816"/>
      <c r="B1131" s="753"/>
      <c r="C1131" s="753"/>
      <c r="D1131" s="753"/>
      <c r="E1131" s="753"/>
      <c r="F1131" s="753"/>
      <c r="G1131" s="753"/>
      <c r="H1131" s="753"/>
      <c r="I1131" s="753"/>
      <c r="J1131" s="753"/>
      <c r="K1131" s="753"/>
      <c r="L1131" s="753"/>
      <c r="M1131" s="753"/>
    </row>
    <row r="1132" spans="1:13" s="755" customFormat="1">
      <c r="A1132" s="816"/>
      <c r="B1132" s="753"/>
      <c r="C1132" s="753"/>
      <c r="D1132" s="753"/>
      <c r="E1132" s="753"/>
      <c r="F1132" s="753"/>
      <c r="G1132" s="753"/>
      <c r="H1132" s="753"/>
      <c r="I1132" s="753"/>
      <c r="J1132" s="753"/>
      <c r="K1132" s="753"/>
      <c r="L1132" s="753"/>
      <c r="M1132" s="753"/>
    </row>
    <row r="1133" spans="1:13" s="755" customFormat="1">
      <c r="A1133" s="816"/>
      <c r="B1133" s="753"/>
      <c r="C1133" s="753"/>
      <c r="D1133" s="753"/>
      <c r="E1133" s="753"/>
      <c r="F1133" s="753"/>
      <c r="G1133" s="753"/>
      <c r="H1133" s="753"/>
      <c r="I1133" s="753"/>
      <c r="J1133" s="753"/>
      <c r="K1133" s="753"/>
      <c r="L1133" s="753"/>
      <c r="M1133" s="753"/>
    </row>
    <row r="1134" spans="1:13" s="755" customFormat="1">
      <c r="A1134" s="816"/>
      <c r="B1134" s="753"/>
      <c r="C1134" s="753"/>
      <c r="D1134" s="753"/>
      <c r="E1134" s="753"/>
      <c r="F1134" s="753"/>
      <c r="G1134" s="753"/>
      <c r="H1134" s="753"/>
      <c r="I1134" s="753"/>
      <c r="J1134" s="753"/>
      <c r="K1134" s="753"/>
      <c r="L1134" s="753"/>
      <c r="M1134" s="753"/>
    </row>
    <row r="1135" spans="1:13" s="755" customFormat="1">
      <c r="A1135" s="816"/>
      <c r="B1135" s="753"/>
      <c r="C1135" s="753"/>
      <c r="D1135" s="753"/>
      <c r="E1135" s="753"/>
      <c r="F1135" s="753"/>
      <c r="G1135" s="753"/>
      <c r="H1135" s="753"/>
      <c r="I1135" s="753"/>
      <c r="J1135" s="753"/>
      <c r="K1135" s="753"/>
      <c r="L1135" s="753"/>
      <c r="M1135" s="753"/>
    </row>
    <row r="1136" spans="1:13" s="755" customFormat="1">
      <c r="A1136" s="816"/>
      <c r="B1136" s="753"/>
      <c r="C1136" s="753"/>
      <c r="D1136" s="753"/>
      <c r="E1136" s="753"/>
      <c r="F1136" s="753"/>
      <c r="G1136" s="753"/>
      <c r="H1136" s="753"/>
      <c r="I1136" s="753"/>
      <c r="J1136" s="753"/>
      <c r="K1136" s="753"/>
      <c r="L1136" s="753"/>
      <c r="M1136" s="753"/>
    </row>
    <row r="1137" spans="1:13" s="755" customFormat="1">
      <c r="A1137" s="816"/>
      <c r="B1137" s="753"/>
      <c r="C1137" s="753"/>
      <c r="D1137" s="753"/>
      <c r="E1137" s="753"/>
      <c r="F1137" s="753"/>
      <c r="G1137" s="753"/>
      <c r="H1137" s="753"/>
      <c r="I1137" s="753"/>
      <c r="J1137" s="753"/>
      <c r="K1137" s="753"/>
      <c r="L1137" s="753"/>
      <c r="M1137" s="753"/>
    </row>
    <row r="1138" spans="1:13" s="755" customFormat="1">
      <c r="A1138" s="816"/>
      <c r="B1138" s="753"/>
      <c r="C1138" s="753"/>
      <c r="D1138" s="753"/>
      <c r="E1138" s="753"/>
      <c r="F1138" s="753"/>
      <c r="G1138" s="753"/>
      <c r="H1138" s="753"/>
      <c r="I1138" s="753"/>
      <c r="J1138" s="753"/>
      <c r="K1138" s="753"/>
      <c r="L1138" s="753"/>
      <c r="M1138" s="753"/>
    </row>
    <row r="1139" spans="1:13" s="755" customFormat="1">
      <c r="A1139" s="816"/>
      <c r="B1139" s="753"/>
      <c r="C1139" s="753"/>
      <c r="D1139" s="753"/>
      <c r="E1139" s="753"/>
      <c r="F1139" s="753"/>
      <c r="G1139" s="753"/>
      <c r="H1139" s="753"/>
      <c r="I1139" s="753"/>
      <c r="J1139" s="753"/>
      <c r="K1139" s="753"/>
      <c r="L1139" s="753"/>
      <c r="M1139" s="753"/>
    </row>
    <row r="1140" spans="1:13" s="755" customFormat="1">
      <c r="A1140" s="816"/>
      <c r="B1140" s="753"/>
      <c r="C1140" s="753"/>
      <c r="D1140" s="753"/>
      <c r="E1140" s="753"/>
      <c r="F1140" s="753"/>
      <c r="G1140" s="753"/>
      <c r="H1140" s="753"/>
      <c r="I1140" s="753"/>
      <c r="J1140" s="753"/>
      <c r="K1140" s="753"/>
      <c r="L1140" s="753"/>
      <c r="M1140" s="753"/>
    </row>
    <row r="1141" spans="1:13" s="755" customFormat="1">
      <c r="A1141" s="816"/>
      <c r="B1141" s="753"/>
      <c r="C1141" s="753"/>
      <c r="D1141" s="753"/>
      <c r="E1141" s="753"/>
      <c r="F1141" s="753"/>
      <c r="G1141" s="753"/>
      <c r="H1141" s="753"/>
      <c r="I1141" s="753"/>
      <c r="J1141" s="753"/>
      <c r="K1141" s="753"/>
      <c r="L1141" s="753"/>
      <c r="M1141" s="753"/>
    </row>
    <row r="1142" spans="1:13" s="755" customFormat="1">
      <c r="A1142" s="816"/>
      <c r="B1142" s="753"/>
      <c r="C1142" s="753"/>
      <c r="D1142" s="753"/>
      <c r="E1142" s="753"/>
      <c r="F1142" s="753"/>
      <c r="G1142" s="753"/>
      <c r="H1142" s="753"/>
      <c r="I1142" s="753"/>
      <c r="J1142" s="753"/>
      <c r="K1142" s="753"/>
      <c r="L1142" s="753"/>
      <c r="M1142" s="753"/>
    </row>
    <row r="1143" spans="1:13" s="755" customFormat="1">
      <c r="A1143" s="816"/>
      <c r="B1143" s="753"/>
      <c r="C1143" s="753"/>
      <c r="D1143" s="753"/>
      <c r="E1143" s="753"/>
      <c r="F1143" s="753"/>
      <c r="G1143" s="753"/>
      <c r="H1143" s="753"/>
      <c r="I1143" s="753"/>
      <c r="J1143" s="753"/>
      <c r="K1143" s="753"/>
      <c r="L1143" s="753"/>
      <c r="M1143" s="753"/>
    </row>
    <row r="1144" spans="1:13" s="755" customFormat="1">
      <c r="A1144" s="816"/>
      <c r="B1144" s="753"/>
      <c r="C1144" s="753"/>
      <c r="D1144" s="753"/>
      <c r="E1144" s="753"/>
      <c r="F1144" s="753"/>
      <c r="G1144" s="753"/>
      <c r="H1144" s="753"/>
      <c r="I1144" s="753"/>
      <c r="J1144" s="753"/>
      <c r="K1144" s="753"/>
      <c r="L1144" s="753"/>
      <c r="M1144" s="753"/>
    </row>
    <row r="1145" spans="1:13" s="755" customFormat="1">
      <c r="A1145" s="816"/>
      <c r="B1145" s="753"/>
      <c r="C1145" s="753"/>
      <c r="D1145" s="753"/>
      <c r="E1145" s="753"/>
      <c r="F1145" s="753"/>
      <c r="G1145" s="753"/>
      <c r="H1145" s="753"/>
      <c r="I1145" s="753"/>
      <c r="J1145" s="753"/>
      <c r="K1145" s="753"/>
      <c r="L1145" s="753"/>
      <c r="M1145" s="753"/>
    </row>
    <row r="1146" spans="1:13" s="755" customFormat="1">
      <c r="A1146" s="816"/>
      <c r="B1146" s="753"/>
      <c r="C1146" s="753"/>
      <c r="D1146" s="753"/>
      <c r="E1146" s="753"/>
      <c r="F1146" s="753"/>
      <c r="G1146" s="753"/>
      <c r="H1146" s="753"/>
      <c r="I1146" s="753"/>
      <c r="J1146" s="753"/>
      <c r="K1146" s="753"/>
      <c r="L1146" s="753"/>
      <c r="M1146" s="753"/>
    </row>
    <row r="1147" spans="1:13" s="755" customFormat="1">
      <c r="A1147" s="816"/>
      <c r="B1147" s="753"/>
      <c r="C1147" s="753"/>
      <c r="D1147" s="753"/>
      <c r="E1147" s="753"/>
      <c r="F1147" s="753"/>
      <c r="G1147" s="753"/>
      <c r="H1147" s="753"/>
      <c r="I1147" s="753"/>
      <c r="J1147" s="753"/>
      <c r="K1147" s="753"/>
      <c r="L1147" s="753"/>
      <c r="M1147" s="753"/>
    </row>
    <row r="1148" spans="1:13" s="755" customFormat="1">
      <c r="A1148" s="816"/>
      <c r="B1148" s="753"/>
      <c r="C1148" s="753"/>
      <c r="D1148" s="753"/>
      <c r="E1148" s="753"/>
      <c r="F1148" s="753"/>
      <c r="G1148" s="753"/>
      <c r="H1148" s="753"/>
      <c r="I1148" s="753"/>
      <c r="J1148" s="753"/>
      <c r="K1148" s="753"/>
      <c r="L1148" s="753"/>
      <c r="M1148" s="753"/>
    </row>
    <row r="1149" spans="1:13" s="755" customFormat="1">
      <c r="A1149" s="816"/>
      <c r="B1149" s="753"/>
      <c r="C1149" s="753"/>
      <c r="D1149" s="753"/>
      <c r="E1149" s="753"/>
      <c r="F1149" s="753"/>
      <c r="G1149" s="753"/>
      <c r="H1149" s="753"/>
      <c r="I1149" s="753"/>
      <c r="J1149" s="753"/>
      <c r="K1149" s="753"/>
      <c r="L1149" s="753"/>
      <c r="M1149" s="753"/>
    </row>
    <row r="1150" spans="1:13" s="755" customFormat="1">
      <c r="A1150" s="816"/>
      <c r="B1150" s="753"/>
      <c r="C1150" s="753"/>
      <c r="D1150" s="753"/>
      <c r="E1150" s="753"/>
      <c r="F1150" s="753"/>
      <c r="G1150" s="753"/>
      <c r="H1150" s="753"/>
      <c r="I1150" s="753"/>
      <c r="J1150" s="753"/>
      <c r="K1150" s="753"/>
      <c r="L1150" s="753"/>
      <c r="M1150" s="753"/>
    </row>
    <row r="1151" spans="1:13" s="755" customFormat="1">
      <c r="A1151" s="816"/>
      <c r="B1151" s="753"/>
      <c r="C1151" s="753"/>
      <c r="D1151" s="753"/>
      <c r="E1151" s="753"/>
      <c r="F1151" s="753"/>
      <c r="G1151" s="753"/>
      <c r="H1151" s="753"/>
      <c r="I1151" s="753"/>
      <c r="J1151" s="753"/>
      <c r="K1151" s="753"/>
      <c r="L1151" s="753"/>
      <c r="M1151" s="753"/>
    </row>
    <row r="1152" spans="1:13" s="755" customFormat="1">
      <c r="A1152" s="816"/>
      <c r="B1152" s="753"/>
      <c r="C1152" s="753"/>
      <c r="D1152" s="753"/>
      <c r="E1152" s="753"/>
      <c r="F1152" s="753"/>
      <c r="G1152" s="753"/>
      <c r="H1152" s="753"/>
      <c r="I1152" s="753"/>
      <c r="J1152" s="753"/>
      <c r="K1152" s="753"/>
      <c r="L1152" s="753"/>
      <c r="M1152" s="753"/>
    </row>
    <row r="1153" spans="1:13" s="755" customFormat="1">
      <c r="A1153" s="816"/>
      <c r="B1153" s="753"/>
      <c r="C1153" s="753"/>
      <c r="D1153" s="753"/>
      <c r="E1153" s="753"/>
      <c r="F1153" s="753"/>
      <c r="G1153" s="753"/>
      <c r="H1153" s="753"/>
      <c r="I1153" s="753"/>
      <c r="J1153" s="753"/>
      <c r="K1153" s="753"/>
      <c r="L1153" s="753"/>
      <c r="M1153" s="753"/>
    </row>
    <row r="1154" spans="1:13" s="755" customFormat="1">
      <c r="A1154" s="816"/>
      <c r="B1154" s="753"/>
      <c r="C1154" s="753"/>
      <c r="D1154" s="753"/>
      <c r="E1154" s="753"/>
      <c r="F1154" s="753"/>
      <c r="G1154" s="753"/>
      <c r="H1154" s="753"/>
      <c r="I1154" s="753"/>
      <c r="J1154" s="753"/>
      <c r="K1154" s="753"/>
      <c r="L1154" s="753"/>
      <c r="M1154" s="753"/>
    </row>
    <row r="1155" spans="1:13" s="755" customFormat="1">
      <c r="A1155" s="816"/>
      <c r="B1155" s="753"/>
      <c r="C1155" s="753"/>
      <c r="D1155" s="753"/>
      <c r="E1155" s="753"/>
      <c r="F1155" s="753"/>
      <c r="G1155" s="753"/>
      <c r="H1155" s="753"/>
      <c r="I1155" s="753"/>
      <c r="J1155" s="753"/>
      <c r="K1155" s="753"/>
      <c r="L1155" s="753"/>
      <c r="M1155" s="753"/>
    </row>
    <row r="1156" spans="1:13" s="755" customFormat="1">
      <c r="A1156" s="816"/>
      <c r="B1156" s="753"/>
      <c r="C1156" s="753"/>
      <c r="D1156" s="753"/>
      <c r="E1156" s="753"/>
      <c r="F1156" s="753"/>
      <c r="G1156" s="753"/>
      <c r="H1156" s="753"/>
      <c r="I1156" s="753"/>
      <c r="J1156" s="753"/>
      <c r="K1156" s="753"/>
      <c r="L1156" s="753"/>
      <c r="M1156" s="753"/>
    </row>
    <row r="1157" spans="1:13" s="755" customFormat="1">
      <c r="A1157" s="816"/>
      <c r="B1157" s="753"/>
      <c r="C1157" s="753"/>
      <c r="D1157" s="753"/>
      <c r="E1157" s="753"/>
      <c r="F1157" s="753"/>
      <c r="G1157" s="753"/>
      <c r="H1157" s="753"/>
      <c r="I1157" s="753"/>
      <c r="J1157" s="753"/>
      <c r="K1157" s="753"/>
      <c r="L1157" s="753"/>
      <c r="M1157" s="753"/>
    </row>
    <row r="1158" spans="1:13" s="755" customFormat="1">
      <c r="A1158" s="816"/>
      <c r="B1158" s="753"/>
      <c r="C1158" s="753"/>
      <c r="D1158" s="753"/>
      <c r="E1158" s="753"/>
      <c r="F1158" s="753"/>
      <c r="G1158" s="753"/>
      <c r="H1158" s="753"/>
      <c r="I1158" s="753"/>
      <c r="J1158" s="753"/>
      <c r="K1158" s="753"/>
      <c r="L1158" s="753"/>
      <c r="M1158" s="753"/>
    </row>
    <row r="1159" spans="1:13" s="755" customFormat="1">
      <c r="A1159" s="816"/>
      <c r="B1159" s="753"/>
      <c r="C1159" s="753"/>
      <c r="D1159" s="753"/>
      <c r="E1159" s="753"/>
      <c r="F1159" s="753"/>
      <c r="G1159" s="753"/>
      <c r="H1159" s="753"/>
      <c r="I1159" s="753"/>
      <c r="J1159" s="753"/>
      <c r="K1159" s="753"/>
      <c r="L1159" s="753"/>
      <c r="M1159" s="753"/>
    </row>
    <row r="1160" spans="1:13" s="755" customFormat="1">
      <c r="A1160" s="816"/>
      <c r="B1160" s="753"/>
      <c r="C1160" s="753"/>
      <c r="D1160" s="753"/>
      <c r="E1160" s="753"/>
      <c r="F1160" s="753"/>
      <c r="G1160" s="753"/>
      <c r="H1160" s="753"/>
      <c r="I1160" s="753"/>
      <c r="J1160" s="753"/>
      <c r="K1160" s="753"/>
      <c r="L1160" s="753"/>
      <c r="M1160" s="753"/>
    </row>
    <row r="1161" spans="1:13" s="755" customFormat="1">
      <c r="A1161" s="816"/>
      <c r="B1161" s="753"/>
      <c r="C1161" s="753"/>
      <c r="D1161" s="753"/>
      <c r="E1161" s="753"/>
      <c r="F1161" s="753"/>
      <c r="G1161" s="753"/>
      <c r="H1161" s="753"/>
      <c r="I1161" s="753"/>
      <c r="J1161" s="753"/>
      <c r="K1161" s="753"/>
      <c r="L1161" s="753"/>
      <c r="M1161" s="753"/>
    </row>
    <row r="1162" spans="1:13" s="755" customFormat="1">
      <c r="A1162" s="816"/>
      <c r="B1162" s="753"/>
      <c r="C1162" s="753"/>
      <c r="D1162" s="753"/>
      <c r="E1162" s="753"/>
      <c r="F1162" s="753"/>
      <c r="G1162" s="753"/>
      <c r="H1162" s="753"/>
      <c r="I1162" s="753"/>
      <c r="J1162" s="753"/>
      <c r="K1162" s="753"/>
      <c r="L1162" s="753"/>
      <c r="M1162" s="753"/>
    </row>
    <row r="1163" spans="1:13" s="755" customFormat="1">
      <c r="A1163" s="816"/>
      <c r="B1163" s="753"/>
      <c r="C1163" s="753"/>
      <c r="D1163" s="753"/>
      <c r="E1163" s="753"/>
      <c r="F1163" s="753"/>
      <c r="G1163" s="753"/>
      <c r="H1163" s="753"/>
      <c r="I1163" s="753"/>
      <c r="J1163" s="753"/>
      <c r="K1163" s="753"/>
      <c r="L1163" s="753"/>
      <c r="M1163" s="753"/>
    </row>
    <row r="1164" spans="1:13" s="755" customFormat="1">
      <c r="A1164" s="816"/>
      <c r="B1164" s="753"/>
      <c r="C1164" s="753"/>
      <c r="D1164" s="753"/>
      <c r="E1164" s="753"/>
      <c r="F1164" s="753"/>
      <c r="G1164" s="753"/>
      <c r="H1164" s="753"/>
      <c r="I1164" s="753"/>
      <c r="J1164" s="753"/>
      <c r="K1164" s="753"/>
      <c r="L1164" s="753"/>
      <c r="M1164" s="753"/>
    </row>
    <row r="1165" spans="1:13" s="755" customFormat="1">
      <c r="A1165" s="816"/>
      <c r="B1165" s="753"/>
      <c r="C1165" s="753"/>
      <c r="D1165" s="753"/>
      <c r="E1165" s="753"/>
      <c r="F1165" s="753"/>
      <c r="G1165" s="753"/>
      <c r="H1165" s="753"/>
      <c r="I1165" s="753"/>
      <c r="J1165" s="753"/>
      <c r="K1165" s="753"/>
      <c r="L1165" s="753"/>
      <c r="M1165" s="753"/>
    </row>
    <row r="1166" spans="1:13" s="755" customFormat="1">
      <c r="A1166" s="816"/>
      <c r="B1166" s="753"/>
      <c r="C1166" s="753"/>
      <c r="D1166" s="753"/>
      <c r="E1166" s="753"/>
      <c r="F1166" s="753"/>
      <c r="G1166" s="753"/>
      <c r="H1166" s="753"/>
      <c r="I1166" s="753"/>
      <c r="J1166" s="753"/>
      <c r="K1166" s="753"/>
      <c r="L1166" s="753"/>
      <c r="M1166" s="753"/>
    </row>
    <row r="1167" spans="1:13" s="755" customFormat="1">
      <c r="A1167" s="816"/>
      <c r="B1167" s="753"/>
      <c r="C1167" s="753"/>
      <c r="D1167" s="753"/>
      <c r="E1167" s="753"/>
      <c r="F1167" s="753"/>
      <c r="G1167" s="753"/>
      <c r="H1167" s="753"/>
      <c r="I1167" s="753"/>
      <c r="J1167" s="753"/>
      <c r="K1167" s="753"/>
      <c r="L1167" s="753"/>
      <c r="M1167" s="753"/>
    </row>
    <row r="1168" spans="1:13" s="755" customFormat="1">
      <c r="A1168" s="816"/>
      <c r="B1168" s="753"/>
      <c r="C1168" s="753"/>
      <c r="D1168" s="753"/>
      <c r="E1168" s="753"/>
      <c r="F1168" s="753"/>
      <c r="G1168" s="753"/>
      <c r="H1168" s="753"/>
      <c r="I1168" s="753"/>
      <c r="J1168" s="753"/>
      <c r="K1168" s="753"/>
      <c r="L1168" s="753"/>
      <c r="M1168" s="753"/>
    </row>
    <row r="1169" spans="1:13" s="755" customFormat="1">
      <c r="A1169" s="816"/>
      <c r="B1169" s="753"/>
      <c r="C1169" s="753"/>
      <c r="D1169" s="753"/>
      <c r="E1169" s="753"/>
      <c r="F1169" s="753"/>
      <c r="G1169" s="753"/>
      <c r="H1169" s="753"/>
      <c r="I1169" s="753"/>
      <c r="J1169" s="753"/>
      <c r="K1169" s="753"/>
      <c r="L1169" s="753"/>
      <c r="M1169" s="753"/>
    </row>
    <row r="1170" spans="1:13" s="755" customFormat="1">
      <c r="A1170" s="816"/>
      <c r="B1170" s="753"/>
      <c r="C1170" s="753"/>
      <c r="D1170" s="753"/>
      <c r="E1170" s="753"/>
      <c r="F1170" s="753"/>
      <c r="G1170" s="753"/>
      <c r="H1170" s="753"/>
      <c r="I1170" s="753"/>
      <c r="J1170" s="753"/>
      <c r="K1170" s="753"/>
      <c r="L1170" s="753"/>
      <c r="M1170" s="753"/>
    </row>
    <row r="1171" spans="1:13" s="755" customFormat="1">
      <c r="A1171" s="816"/>
      <c r="B1171" s="753"/>
      <c r="C1171" s="753"/>
      <c r="D1171" s="753"/>
      <c r="E1171" s="753"/>
      <c r="F1171" s="753"/>
      <c r="G1171" s="753"/>
      <c r="H1171" s="753"/>
      <c r="I1171" s="753"/>
      <c r="J1171" s="753"/>
      <c r="K1171" s="753"/>
      <c r="L1171" s="753"/>
      <c r="M1171" s="753"/>
    </row>
    <row r="1172" spans="1:13" s="755" customFormat="1">
      <c r="A1172" s="816"/>
      <c r="B1172" s="753"/>
      <c r="C1172" s="753"/>
      <c r="D1172" s="753"/>
      <c r="E1172" s="753"/>
      <c r="F1172" s="753"/>
      <c r="G1172" s="753"/>
      <c r="H1172" s="753"/>
      <c r="I1172" s="753"/>
      <c r="J1172" s="753"/>
      <c r="K1172" s="753"/>
      <c r="L1172" s="753"/>
      <c r="M1172" s="753"/>
    </row>
    <row r="1173" spans="1:13" s="755" customFormat="1">
      <c r="A1173" s="816"/>
      <c r="B1173" s="753"/>
      <c r="C1173" s="753"/>
      <c r="D1173" s="753"/>
      <c r="E1173" s="753"/>
      <c r="F1173" s="753"/>
      <c r="G1173" s="753"/>
      <c r="H1173" s="753"/>
      <c r="I1173" s="753"/>
      <c r="J1173" s="753"/>
      <c r="K1173" s="753"/>
      <c r="L1173" s="753"/>
      <c r="M1173" s="753"/>
    </row>
    <row r="1174" spans="1:13" s="755" customFormat="1">
      <c r="A1174" s="816"/>
      <c r="B1174" s="753"/>
      <c r="C1174" s="753"/>
      <c r="D1174" s="753"/>
      <c r="E1174" s="753"/>
      <c r="F1174" s="753"/>
      <c r="G1174" s="753"/>
      <c r="H1174" s="753"/>
      <c r="I1174" s="753"/>
      <c r="J1174" s="753"/>
      <c r="K1174" s="753"/>
      <c r="L1174" s="753"/>
      <c r="M1174" s="753"/>
    </row>
    <row r="1175" spans="1:13" s="755" customFormat="1">
      <c r="A1175" s="816"/>
      <c r="B1175" s="753"/>
      <c r="C1175" s="753"/>
      <c r="D1175" s="753"/>
      <c r="E1175" s="753"/>
      <c r="F1175" s="753"/>
      <c r="G1175" s="753"/>
      <c r="H1175" s="753"/>
      <c r="I1175" s="753"/>
      <c r="J1175" s="753"/>
      <c r="K1175" s="753"/>
      <c r="L1175" s="753"/>
      <c r="M1175" s="753"/>
    </row>
    <row r="1176" spans="1:13" s="755" customFormat="1">
      <c r="A1176" s="816"/>
      <c r="B1176" s="753"/>
      <c r="C1176" s="753"/>
      <c r="D1176" s="753"/>
      <c r="E1176" s="753"/>
      <c r="F1176" s="753"/>
      <c r="G1176" s="753"/>
      <c r="H1176" s="753"/>
      <c r="I1176" s="753"/>
      <c r="J1176" s="753"/>
      <c r="K1176" s="753"/>
      <c r="L1176" s="753"/>
      <c r="M1176" s="753"/>
    </row>
    <row r="1177" spans="1:13" s="755" customFormat="1">
      <c r="A1177" s="816"/>
      <c r="B1177" s="753"/>
      <c r="C1177" s="753"/>
      <c r="D1177" s="753"/>
      <c r="E1177" s="753"/>
      <c r="F1177" s="753"/>
      <c r="G1177" s="753"/>
      <c r="H1177" s="753"/>
      <c r="I1177" s="753"/>
      <c r="J1177" s="753"/>
      <c r="K1177" s="753"/>
      <c r="L1177" s="753"/>
      <c r="M1177" s="753"/>
    </row>
    <row r="1178" spans="1:13" s="755" customFormat="1">
      <c r="A1178" s="816"/>
      <c r="B1178" s="753"/>
      <c r="C1178" s="753"/>
      <c r="D1178" s="753"/>
      <c r="E1178" s="753"/>
      <c r="F1178" s="753"/>
      <c r="G1178" s="753"/>
      <c r="H1178" s="753"/>
      <c r="I1178" s="753"/>
      <c r="J1178" s="753"/>
      <c r="K1178" s="753"/>
      <c r="L1178" s="753"/>
      <c r="M1178" s="753"/>
    </row>
    <row r="1179" spans="1:13" s="755" customFormat="1">
      <c r="A1179" s="816"/>
      <c r="B1179" s="753"/>
      <c r="C1179" s="753"/>
      <c r="D1179" s="753"/>
      <c r="E1179" s="753"/>
      <c r="F1179" s="753"/>
      <c r="G1179" s="753"/>
      <c r="H1179" s="753"/>
      <c r="I1179" s="753"/>
      <c r="J1179" s="753"/>
      <c r="K1179" s="753"/>
      <c r="L1179" s="753"/>
      <c r="M1179" s="753"/>
    </row>
    <row r="1180" spans="1:13" s="755" customFormat="1">
      <c r="A1180" s="816"/>
      <c r="B1180" s="753"/>
      <c r="C1180" s="753"/>
      <c r="D1180" s="753"/>
      <c r="E1180" s="753"/>
      <c r="F1180" s="753"/>
      <c r="G1180" s="753"/>
      <c r="H1180" s="753"/>
      <c r="I1180" s="753"/>
      <c r="J1180" s="753"/>
      <c r="K1180" s="753"/>
      <c r="L1180" s="753"/>
      <c r="M1180" s="753"/>
    </row>
    <row r="1181" spans="1:13" s="755" customFormat="1">
      <c r="A1181" s="816"/>
      <c r="B1181" s="753"/>
      <c r="C1181" s="753"/>
      <c r="D1181" s="753"/>
      <c r="E1181" s="753"/>
      <c r="F1181" s="753"/>
      <c r="G1181" s="753"/>
      <c r="H1181" s="753"/>
      <c r="I1181" s="753"/>
      <c r="J1181" s="753"/>
      <c r="K1181" s="753"/>
      <c r="L1181" s="753"/>
      <c r="M1181" s="753"/>
    </row>
    <row r="1182" spans="1:13" s="755" customFormat="1">
      <c r="A1182" s="816"/>
      <c r="B1182" s="753"/>
      <c r="C1182" s="753"/>
      <c r="D1182" s="753"/>
      <c r="E1182" s="753"/>
      <c r="F1182" s="753"/>
      <c r="G1182" s="753"/>
      <c r="H1182" s="753"/>
      <c r="I1182" s="753"/>
      <c r="J1182" s="753"/>
      <c r="K1182" s="753"/>
      <c r="L1182" s="753"/>
      <c r="M1182" s="753"/>
    </row>
    <row r="1183" spans="1:13" s="755" customFormat="1">
      <c r="A1183" s="816"/>
      <c r="B1183" s="753"/>
      <c r="C1183" s="753"/>
      <c r="D1183" s="753"/>
      <c r="E1183" s="753"/>
      <c r="F1183" s="753"/>
      <c r="G1183" s="753"/>
      <c r="H1183" s="753"/>
      <c r="I1183" s="753"/>
      <c r="J1183" s="753"/>
      <c r="K1183" s="753"/>
      <c r="L1183" s="753"/>
      <c r="M1183" s="753"/>
    </row>
    <row r="1184" spans="1:13" s="755" customFormat="1">
      <c r="A1184" s="816"/>
      <c r="B1184" s="753"/>
      <c r="C1184" s="753"/>
      <c r="D1184" s="753"/>
      <c r="E1184" s="753"/>
      <c r="F1184" s="753"/>
      <c r="G1184" s="753"/>
      <c r="H1184" s="753"/>
      <c r="I1184" s="753"/>
      <c r="J1184" s="753"/>
      <c r="K1184" s="753"/>
      <c r="L1184" s="753"/>
      <c r="M1184" s="753"/>
    </row>
    <row r="1185" spans="1:13" s="755" customFormat="1">
      <c r="A1185" s="816"/>
      <c r="B1185" s="753"/>
      <c r="C1185" s="753"/>
      <c r="D1185" s="753"/>
      <c r="E1185" s="753"/>
      <c r="F1185" s="753"/>
      <c r="G1185" s="753"/>
      <c r="H1185" s="753"/>
      <c r="I1185" s="753"/>
      <c r="J1185" s="753"/>
      <c r="K1185" s="753"/>
      <c r="L1185" s="753"/>
      <c r="M1185" s="753"/>
    </row>
    <row r="1186" spans="1:13" s="755" customFormat="1">
      <c r="A1186" s="816"/>
      <c r="B1186" s="753"/>
      <c r="C1186" s="753"/>
      <c r="D1186" s="753"/>
      <c r="E1186" s="753"/>
      <c r="F1186" s="753"/>
      <c r="G1186" s="753"/>
      <c r="H1186" s="753"/>
      <c r="I1186" s="753"/>
      <c r="J1186" s="753"/>
      <c r="K1186" s="753"/>
      <c r="L1186" s="753"/>
      <c r="M1186" s="753"/>
    </row>
    <row r="1187" spans="1:13" s="755" customFormat="1">
      <c r="A1187" s="816"/>
      <c r="B1187" s="753"/>
      <c r="C1187" s="753"/>
      <c r="D1187" s="753"/>
      <c r="E1187" s="753"/>
      <c r="F1187" s="753"/>
      <c r="G1187" s="753"/>
      <c r="H1187" s="753"/>
      <c r="I1187" s="753"/>
      <c r="J1187" s="753"/>
      <c r="K1187" s="753"/>
      <c r="L1187" s="753"/>
      <c r="M1187" s="753"/>
    </row>
    <row r="1188" spans="1:13" s="755" customFormat="1">
      <c r="A1188" s="816"/>
      <c r="B1188" s="753"/>
      <c r="C1188" s="753"/>
      <c r="D1188" s="753"/>
      <c r="E1188" s="753"/>
      <c r="F1188" s="753"/>
      <c r="G1188" s="753"/>
      <c r="H1188" s="753"/>
      <c r="I1188" s="753"/>
      <c r="J1188" s="753"/>
      <c r="K1188" s="753"/>
      <c r="L1188" s="753"/>
      <c r="M1188" s="753"/>
    </row>
    <row r="1189" spans="1:13" s="755" customFormat="1">
      <c r="A1189" s="816"/>
      <c r="B1189" s="753"/>
      <c r="C1189" s="753"/>
      <c r="D1189" s="753"/>
      <c r="E1189" s="753"/>
      <c r="F1189" s="753"/>
      <c r="G1189" s="753"/>
      <c r="H1189" s="753"/>
      <c r="I1189" s="753"/>
      <c r="J1189" s="753"/>
      <c r="K1189" s="753"/>
      <c r="L1189" s="753"/>
      <c r="M1189" s="753"/>
    </row>
    <row r="1190" spans="1:13" s="755" customFormat="1">
      <c r="A1190" s="816"/>
      <c r="B1190" s="753"/>
      <c r="C1190" s="753"/>
      <c r="D1190" s="753"/>
      <c r="E1190" s="753"/>
      <c r="F1190" s="753"/>
      <c r="G1190" s="753"/>
      <c r="H1190" s="753"/>
      <c r="I1190" s="753"/>
      <c r="J1190" s="753"/>
      <c r="K1190" s="753"/>
      <c r="L1190" s="753"/>
      <c r="M1190" s="753"/>
    </row>
    <row r="1191" spans="1:13" s="755" customFormat="1">
      <c r="A1191" s="816"/>
      <c r="B1191" s="753"/>
      <c r="C1191" s="753"/>
      <c r="D1191" s="753"/>
      <c r="E1191" s="753"/>
      <c r="F1191" s="753"/>
      <c r="G1191" s="753"/>
      <c r="H1191" s="753"/>
      <c r="I1191" s="753"/>
      <c r="J1191" s="753"/>
      <c r="K1191" s="753"/>
      <c r="L1191" s="753"/>
      <c r="M1191" s="753"/>
    </row>
    <row r="1192" spans="1:13" s="755" customFormat="1">
      <c r="A1192" s="816"/>
      <c r="B1192" s="753"/>
      <c r="C1192" s="753"/>
      <c r="D1192" s="753"/>
      <c r="E1192" s="753"/>
      <c r="F1192" s="753"/>
      <c r="G1192" s="753"/>
      <c r="H1192" s="753"/>
      <c r="I1192" s="753"/>
      <c r="J1192" s="753"/>
      <c r="K1192" s="753"/>
      <c r="L1192" s="753"/>
      <c r="M1192" s="753"/>
    </row>
    <row r="1193" spans="1:13" s="755" customFormat="1">
      <c r="A1193" s="816"/>
      <c r="B1193" s="753"/>
      <c r="C1193" s="753"/>
      <c r="D1193" s="753"/>
      <c r="E1193" s="753"/>
      <c r="F1193" s="753"/>
      <c r="G1193" s="753"/>
      <c r="H1193" s="753"/>
      <c r="I1193" s="753"/>
      <c r="J1193" s="753"/>
      <c r="K1193" s="753"/>
      <c r="L1193" s="753"/>
      <c r="M1193" s="753"/>
    </row>
    <row r="1194" spans="1:13" s="755" customFormat="1">
      <c r="A1194" s="816"/>
      <c r="B1194" s="753"/>
      <c r="C1194" s="753"/>
      <c r="D1194" s="753"/>
      <c r="E1194" s="753"/>
      <c r="F1194" s="753"/>
      <c r="G1194" s="753"/>
      <c r="H1194" s="753"/>
      <c r="I1194" s="753"/>
      <c r="J1194" s="753"/>
      <c r="K1194" s="753"/>
      <c r="L1194" s="753"/>
      <c r="M1194" s="753"/>
    </row>
    <row r="1195" spans="1:13" s="755" customFormat="1">
      <c r="A1195" s="816"/>
      <c r="B1195" s="753"/>
      <c r="C1195" s="753"/>
      <c r="D1195" s="753"/>
      <c r="E1195" s="753"/>
      <c r="F1195" s="753"/>
      <c r="G1195" s="753"/>
      <c r="H1195" s="753"/>
      <c r="I1195" s="753"/>
      <c r="J1195" s="753"/>
      <c r="K1195" s="753"/>
      <c r="L1195" s="753"/>
      <c r="M1195" s="753"/>
    </row>
    <row r="1196" spans="1:13" s="755" customFormat="1">
      <c r="A1196" s="816"/>
      <c r="B1196" s="753"/>
      <c r="C1196" s="753"/>
      <c r="D1196" s="753"/>
      <c r="E1196" s="753"/>
      <c r="F1196" s="753"/>
      <c r="G1196" s="753"/>
      <c r="H1196" s="753"/>
      <c r="I1196" s="753"/>
      <c r="J1196" s="753"/>
      <c r="K1196" s="753"/>
      <c r="L1196" s="753"/>
      <c r="M1196" s="753"/>
    </row>
    <row r="1197" spans="1:13" s="755" customFormat="1">
      <c r="A1197" s="816"/>
      <c r="B1197" s="753"/>
      <c r="C1197" s="753"/>
      <c r="D1197" s="753"/>
      <c r="E1197" s="753"/>
      <c r="F1197" s="753"/>
      <c r="G1197" s="753"/>
      <c r="H1197" s="753"/>
      <c r="I1197" s="753"/>
      <c r="J1197" s="753"/>
      <c r="K1197" s="753"/>
      <c r="L1197" s="753"/>
      <c r="M1197" s="753"/>
    </row>
    <row r="1198" spans="1:13" s="755" customFormat="1">
      <c r="A1198" s="816"/>
      <c r="B1198" s="753"/>
      <c r="C1198" s="753"/>
      <c r="D1198" s="753"/>
      <c r="E1198" s="753"/>
      <c r="F1198" s="753"/>
      <c r="G1198" s="753"/>
      <c r="H1198" s="753"/>
      <c r="I1198" s="753"/>
      <c r="J1198" s="753"/>
      <c r="K1198" s="753"/>
      <c r="L1198" s="753"/>
      <c r="M1198" s="753"/>
    </row>
    <row r="1199" spans="1:13" s="755" customFormat="1">
      <c r="A1199" s="816"/>
      <c r="B1199" s="753"/>
      <c r="C1199" s="753"/>
      <c r="D1199" s="753"/>
      <c r="E1199" s="753"/>
      <c r="F1199" s="753"/>
      <c r="G1199" s="753"/>
      <c r="H1199" s="753"/>
      <c r="I1199" s="753"/>
      <c r="J1199" s="753"/>
      <c r="K1199" s="753"/>
      <c r="L1199" s="753"/>
      <c r="M1199" s="753"/>
    </row>
    <row r="1200" spans="1:13" s="755" customFormat="1">
      <c r="A1200" s="816"/>
      <c r="B1200" s="753"/>
      <c r="C1200" s="753"/>
      <c r="D1200" s="753"/>
      <c r="E1200" s="753"/>
      <c r="F1200" s="753"/>
      <c r="G1200" s="753"/>
      <c r="H1200" s="753"/>
      <c r="I1200" s="753"/>
      <c r="J1200" s="753"/>
      <c r="K1200" s="753"/>
      <c r="L1200" s="753"/>
      <c r="M1200" s="753"/>
    </row>
    <row r="1201" spans="1:13" s="755" customFormat="1">
      <c r="A1201" s="816"/>
      <c r="B1201" s="753"/>
      <c r="C1201" s="753"/>
      <c r="D1201" s="753"/>
      <c r="E1201" s="753"/>
      <c r="F1201" s="753"/>
      <c r="G1201" s="753"/>
      <c r="H1201" s="753"/>
      <c r="I1201" s="753"/>
      <c r="J1201" s="753"/>
      <c r="K1201" s="753"/>
      <c r="L1201" s="753"/>
      <c r="M1201" s="753"/>
    </row>
    <row r="1202" spans="1:13" s="755" customFormat="1">
      <c r="A1202" s="816"/>
      <c r="B1202" s="753"/>
      <c r="C1202" s="753"/>
      <c r="D1202" s="753"/>
      <c r="E1202" s="753"/>
      <c r="F1202" s="753"/>
      <c r="G1202" s="753"/>
      <c r="H1202" s="753"/>
      <c r="I1202" s="753"/>
      <c r="J1202" s="753"/>
      <c r="K1202" s="753"/>
      <c r="L1202" s="753"/>
      <c r="M1202" s="753"/>
    </row>
    <row r="1203" spans="1:13" s="755" customFormat="1">
      <c r="A1203" s="816"/>
      <c r="B1203" s="753"/>
      <c r="C1203" s="753"/>
      <c r="D1203" s="753"/>
      <c r="E1203" s="753"/>
      <c r="F1203" s="753"/>
      <c r="G1203" s="753"/>
      <c r="H1203" s="753"/>
      <c r="I1203" s="753"/>
      <c r="J1203" s="753"/>
      <c r="K1203" s="753"/>
      <c r="L1203" s="753"/>
      <c r="M1203" s="753"/>
    </row>
    <row r="1204" spans="1:13" s="755" customFormat="1">
      <c r="A1204" s="816"/>
      <c r="B1204" s="753"/>
      <c r="C1204" s="753"/>
      <c r="D1204" s="753"/>
      <c r="E1204" s="753"/>
      <c r="F1204" s="753"/>
      <c r="G1204" s="753"/>
      <c r="H1204" s="753"/>
      <c r="I1204" s="753"/>
      <c r="J1204" s="753"/>
      <c r="K1204" s="753"/>
      <c r="L1204" s="753"/>
      <c r="M1204" s="753"/>
    </row>
    <row r="1205" spans="1:13" s="755" customFormat="1">
      <c r="A1205" s="816"/>
      <c r="B1205" s="753"/>
      <c r="C1205" s="753"/>
      <c r="D1205" s="753"/>
      <c r="E1205" s="753"/>
      <c r="F1205" s="753"/>
      <c r="G1205" s="753"/>
      <c r="H1205" s="753"/>
      <c r="I1205" s="753"/>
      <c r="J1205" s="753"/>
      <c r="K1205" s="753"/>
      <c r="L1205" s="753"/>
      <c r="M1205" s="753"/>
    </row>
    <row r="1206" spans="1:13" s="755" customFormat="1">
      <c r="A1206" s="816"/>
      <c r="B1206" s="753"/>
      <c r="C1206" s="753"/>
      <c r="D1206" s="753"/>
      <c r="E1206" s="753"/>
      <c r="F1206" s="753"/>
      <c r="G1206" s="753"/>
      <c r="H1206" s="753"/>
      <c r="I1206" s="753"/>
      <c r="J1206" s="753"/>
      <c r="K1206" s="753"/>
      <c r="L1206" s="753"/>
      <c r="M1206" s="753"/>
    </row>
    <row r="1207" spans="1:13" s="755" customFormat="1">
      <c r="A1207" s="816"/>
      <c r="B1207" s="753"/>
      <c r="C1207" s="753"/>
      <c r="D1207" s="753"/>
      <c r="E1207" s="753"/>
      <c r="F1207" s="753"/>
      <c r="G1207" s="753"/>
      <c r="H1207" s="753"/>
      <c r="I1207" s="753"/>
      <c r="J1207" s="753"/>
      <c r="K1207" s="753"/>
      <c r="L1207" s="753"/>
      <c r="M1207" s="753"/>
    </row>
    <row r="1208" spans="1:13" s="755" customFormat="1">
      <c r="A1208" s="816"/>
      <c r="B1208" s="753"/>
      <c r="C1208" s="753"/>
      <c r="D1208" s="753"/>
      <c r="E1208" s="753"/>
      <c r="F1208" s="753"/>
      <c r="G1208" s="753"/>
      <c r="H1208" s="753"/>
      <c r="I1208" s="753"/>
      <c r="J1208" s="753"/>
      <c r="K1208" s="753"/>
      <c r="L1208" s="753"/>
      <c r="M1208" s="753"/>
    </row>
    <row r="1209" spans="1:13" s="755" customFormat="1">
      <c r="A1209" s="816"/>
      <c r="B1209" s="753"/>
      <c r="C1209" s="753"/>
      <c r="D1209" s="753"/>
      <c r="E1209" s="753"/>
      <c r="F1209" s="753"/>
      <c r="G1209" s="753"/>
      <c r="H1209" s="753"/>
      <c r="I1209" s="753"/>
      <c r="J1209" s="753"/>
      <c r="K1209" s="753"/>
      <c r="L1209" s="753"/>
      <c r="M1209" s="753"/>
    </row>
    <row r="1210" spans="1:13" s="755" customFormat="1">
      <c r="A1210" s="816"/>
      <c r="B1210" s="753"/>
      <c r="C1210" s="753"/>
      <c r="D1210" s="753"/>
      <c r="E1210" s="753"/>
      <c r="F1210" s="753"/>
      <c r="G1210" s="753"/>
      <c r="H1210" s="753"/>
      <c r="I1210" s="753"/>
      <c r="J1210" s="753"/>
      <c r="K1210" s="753"/>
      <c r="L1210" s="753"/>
      <c r="M1210" s="753"/>
    </row>
    <row r="1211" spans="1:13" s="755" customFormat="1">
      <c r="A1211" s="816"/>
      <c r="B1211" s="753"/>
      <c r="C1211" s="753"/>
      <c r="D1211" s="753"/>
      <c r="E1211" s="753"/>
      <c r="F1211" s="753"/>
      <c r="G1211" s="753"/>
      <c r="H1211" s="753"/>
      <c r="I1211" s="753"/>
      <c r="J1211" s="753"/>
      <c r="K1211" s="753"/>
      <c r="L1211" s="753"/>
      <c r="M1211" s="753"/>
    </row>
    <row r="1212" spans="1:13" s="755" customFormat="1">
      <c r="A1212" s="816"/>
      <c r="B1212" s="753"/>
      <c r="C1212" s="753"/>
      <c r="D1212" s="753"/>
      <c r="E1212" s="753"/>
      <c r="F1212" s="753"/>
      <c r="G1212" s="753"/>
      <c r="H1212" s="753"/>
      <c r="I1212" s="753"/>
      <c r="J1212" s="753"/>
      <c r="K1212" s="753"/>
      <c r="L1212" s="753"/>
      <c r="M1212" s="753"/>
    </row>
    <row r="1213" spans="1:13" s="755" customFormat="1">
      <c r="A1213" s="816"/>
      <c r="B1213" s="753"/>
      <c r="C1213" s="753"/>
      <c r="D1213" s="753"/>
      <c r="E1213" s="753"/>
      <c r="F1213" s="753"/>
      <c r="G1213" s="753"/>
      <c r="H1213" s="753"/>
      <c r="I1213" s="753"/>
      <c r="J1213" s="753"/>
      <c r="K1213" s="753"/>
      <c r="L1213" s="753"/>
      <c r="M1213" s="753"/>
    </row>
    <row r="1214" spans="1:13" s="755" customFormat="1">
      <c r="A1214" s="816"/>
      <c r="B1214" s="753"/>
      <c r="C1214" s="753"/>
      <c r="D1214" s="753"/>
      <c r="E1214" s="753"/>
      <c r="F1214" s="753"/>
      <c r="G1214" s="753"/>
      <c r="H1214" s="753"/>
      <c r="I1214" s="753"/>
      <c r="J1214" s="753"/>
      <c r="K1214" s="753"/>
      <c r="L1214" s="753"/>
      <c r="M1214" s="753"/>
    </row>
    <row r="1215" spans="1:13" s="755" customFormat="1">
      <c r="A1215" s="816"/>
      <c r="B1215" s="753"/>
      <c r="C1215" s="753"/>
      <c r="D1215" s="753"/>
      <c r="E1215" s="753"/>
      <c r="F1215" s="753"/>
      <c r="G1215" s="753"/>
      <c r="H1215" s="753"/>
      <c r="I1215" s="753"/>
      <c r="J1215" s="753"/>
      <c r="K1215" s="753"/>
      <c r="L1215" s="753"/>
      <c r="M1215" s="753"/>
    </row>
    <row r="1216" spans="1:13" s="755" customFormat="1">
      <c r="A1216" s="816"/>
      <c r="B1216" s="753"/>
      <c r="C1216" s="753"/>
      <c r="D1216" s="753"/>
      <c r="E1216" s="753"/>
      <c r="F1216" s="753"/>
      <c r="G1216" s="753"/>
      <c r="H1216" s="753"/>
      <c r="I1216" s="753"/>
      <c r="J1216" s="753"/>
      <c r="K1216" s="753"/>
      <c r="L1216" s="753"/>
      <c r="M1216" s="753"/>
    </row>
    <row r="1217" spans="1:13" s="755" customFormat="1">
      <c r="A1217" s="816"/>
      <c r="B1217" s="753"/>
      <c r="C1217" s="753"/>
      <c r="D1217" s="753"/>
      <c r="E1217" s="753"/>
      <c r="F1217" s="753"/>
      <c r="G1217" s="753"/>
      <c r="H1217" s="753"/>
      <c r="I1217" s="753"/>
      <c r="J1217" s="753"/>
      <c r="K1217" s="753"/>
      <c r="L1217" s="753"/>
      <c r="M1217" s="753"/>
    </row>
    <row r="1218" spans="1:13" s="755" customFormat="1">
      <c r="A1218" s="816"/>
      <c r="B1218" s="753"/>
      <c r="C1218" s="753"/>
      <c r="D1218" s="753"/>
      <c r="E1218" s="753"/>
      <c r="F1218" s="753"/>
      <c r="G1218" s="753"/>
      <c r="H1218" s="753"/>
      <c r="I1218" s="753"/>
      <c r="J1218" s="753"/>
      <c r="K1218" s="753"/>
      <c r="L1218" s="753"/>
      <c r="M1218" s="753"/>
    </row>
    <row r="1219" spans="1:13" s="755" customFormat="1">
      <c r="A1219" s="816"/>
      <c r="B1219" s="753"/>
      <c r="C1219" s="753"/>
      <c r="D1219" s="753"/>
      <c r="E1219" s="753"/>
      <c r="F1219" s="753"/>
      <c r="G1219" s="753"/>
      <c r="H1219" s="753"/>
      <c r="I1219" s="753"/>
      <c r="J1219" s="753"/>
      <c r="K1219" s="753"/>
      <c r="L1219" s="753"/>
      <c r="M1219" s="753"/>
    </row>
    <row r="1220" spans="1:13" s="755" customFormat="1">
      <c r="A1220" s="816"/>
      <c r="B1220" s="753"/>
      <c r="C1220" s="753"/>
      <c r="D1220" s="753"/>
      <c r="E1220" s="753"/>
      <c r="F1220" s="753"/>
      <c r="G1220" s="753"/>
      <c r="H1220" s="753"/>
      <c r="I1220" s="753"/>
      <c r="J1220" s="753"/>
      <c r="K1220" s="753"/>
      <c r="L1220" s="753"/>
      <c r="M1220" s="753"/>
    </row>
    <row r="1221" spans="1:13" s="755" customFormat="1">
      <c r="A1221" s="816"/>
      <c r="B1221" s="753"/>
      <c r="C1221" s="753"/>
      <c r="D1221" s="753"/>
      <c r="E1221" s="753"/>
      <c r="F1221" s="753"/>
      <c r="G1221" s="753"/>
      <c r="H1221" s="753"/>
      <c r="I1221" s="753"/>
      <c r="J1221" s="753"/>
      <c r="K1221" s="753"/>
      <c r="L1221" s="753"/>
      <c r="M1221" s="753"/>
    </row>
    <row r="1222" spans="1:13" s="755" customFormat="1">
      <c r="A1222" s="816"/>
      <c r="B1222" s="753"/>
      <c r="C1222" s="753"/>
      <c r="D1222" s="753"/>
      <c r="E1222" s="753"/>
      <c r="F1222" s="753"/>
      <c r="G1222" s="753"/>
      <c r="H1222" s="753"/>
      <c r="I1222" s="753"/>
      <c r="J1222" s="753"/>
      <c r="K1222" s="753"/>
      <c r="L1222" s="753"/>
      <c r="M1222" s="753"/>
    </row>
    <row r="1223" spans="1:13" s="755" customFormat="1">
      <c r="A1223" s="816"/>
      <c r="B1223" s="753"/>
      <c r="C1223" s="753"/>
      <c r="D1223" s="753"/>
      <c r="E1223" s="753"/>
      <c r="F1223" s="753"/>
      <c r="G1223" s="753"/>
      <c r="H1223" s="753"/>
      <c r="I1223" s="753"/>
      <c r="J1223" s="753"/>
      <c r="K1223" s="753"/>
      <c r="L1223" s="753"/>
      <c r="M1223" s="753"/>
    </row>
    <row r="1224" spans="1:13" s="755" customFormat="1">
      <c r="A1224" s="816"/>
      <c r="B1224" s="753"/>
      <c r="C1224" s="753"/>
      <c r="D1224" s="753"/>
      <c r="E1224" s="753"/>
      <c r="F1224" s="753"/>
      <c r="G1224" s="753"/>
      <c r="H1224" s="753"/>
      <c r="I1224" s="753"/>
      <c r="J1224" s="753"/>
      <c r="K1224" s="753"/>
      <c r="L1224" s="753"/>
      <c r="M1224" s="753"/>
    </row>
    <row r="1225" spans="1:13" s="755" customFormat="1">
      <c r="A1225" s="816"/>
      <c r="B1225" s="753"/>
      <c r="C1225" s="753"/>
      <c r="D1225" s="753"/>
      <c r="E1225" s="753"/>
      <c r="F1225" s="753"/>
      <c r="G1225" s="753"/>
      <c r="H1225" s="753"/>
      <c r="I1225" s="753"/>
      <c r="J1225" s="753"/>
      <c r="K1225" s="753"/>
      <c r="L1225" s="753"/>
      <c r="M1225" s="753"/>
    </row>
    <row r="1226" spans="1:13" s="755" customFormat="1">
      <c r="A1226" s="816"/>
      <c r="B1226" s="753"/>
      <c r="C1226" s="753"/>
      <c r="D1226" s="753"/>
      <c r="E1226" s="753"/>
      <c r="F1226" s="753"/>
      <c r="G1226" s="753"/>
      <c r="H1226" s="753"/>
      <c r="I1226" s="753"/>
      <c r="J1226" s="753"/>
      <c r="K1226" s="753"/>
      <c r="L1226" s="753"/>
      <c r="M1226" s="753"/>
    </row>
    <row r="1227" spans="1:13" s="755" customFormat="1">
      <c r="A1227" s="816"/>
      <c r="B1227" s="753"/>
      <c r="C1227" s="753"/>
      <c r="D1227" s="753"/>
      <c r="E1227" s="753"/>
      <c r="F1227" s="753"/>
      <c r="G1227" s="753"/>
      <c r="H1227" s="753"/>
      <c r="I1227" s="753"/>
      <c r="J1227" s="753"/>
      <c r="K1227" s="753"/>
      <c r="L1227" s="753"/>
      <c r="M1227" s="753"/>
    </row>
    <row r="1228" spans="1:13" s="755" customFormat="1">
      <c r="A1228" s="816"/>
      <c r="B1228" s="753"/>
      <c r="C1228" s="753"/>
      <c r="D1228" s="753"/>
      <c r="E1228" s="753"/>
      <c r="F1228" s="753"/>
      <c r="G1228" s="753"/>
      <c r="H1228" s="753"/>
      <c r="I1228" s="753"/>
      <c r="J1228" s="753"/>
      <c r="K1228" s="753"/>
      <c r="L1228" s="753"/>
      <c r="M1228" s="753"/>
    </row>
    <row r="1229" spans="1:13" s="755" customFormat="1">
      <c r="A1229" s="816"/>
      <c r="B1229" s="753"/>
      <c r="C1229" s="753"/>
      <c r="D1229" s="753"/>
      <c r="E1229" s="753"/>
      <c r="F1229" s="753"/>
      <c r="G1229" s="753"/>
      <c r="H1229" s="753"/>
      <c r="I1229" s="753"/>
      <c r="J1229" s="753"/>
      <c r="K1229" s="753"/>
      <c r="L1229" s="753"/>
      <c r="M1229" s="753"/>
    </row>
    <row r="1230" spans="1:13" s="755" customFormat="1">
      <c r="A1230" s="816"/>
      <c r="B1230" s="753"/>
      <c r="C1230" s="753"/>
      <c r="D1230" s="753"/>
      <c r="E1230" s="753"/>
      <c r="F1230" s="753"/>
      <c r="G1230" s="753"/>
      <c r="H1230" s="753"/>
      <c r="I1230" s="753"/>
      <c r="J1230" s="753"/>
      <c r="K1230" s="753"/>
      <c r="L1230" s="753"/>
      <c r="M1230" s="753"/>
    </row>
    <row r="1231" spans="1:13" s="755" customFormat="1">
      <c r="A1231" s="816"/>
      <c r="B1231" s="753"/>
      <c r="C1231" s="753"/>
      <c r="D1231" s="753"/>
      <c r="E1231" s="753"/>
      <c r="F1231" s="753"/>
      <c r="G1231" s="753"/>
      <c r="H1231" s="753"/>
      <c r="I1231" s="753"/>
      <c r="J1231" s="753"/>
      <c r="K1231" s="753"/>
      <c r="L1231" s="753"/>
      <c r="M1231" s="753"/>
    </row>
    <row r="1232" spans="1:13" s="755" customFormat="1">
      <c r="A1232" s="816"/>
      <c r="B1232" s="753"/>
      <c r="C1232" s="753"/>
      <c r="D1232" s="753"/>
      <c r="E1232" s="753"/>
      <c r="F1232" s="753"/>
      <c r="G1232" s="753"/>
      <c r="H1232" s="753"/>
      <c r="I1232" s="753"/>
      <c r="J1232" s="753"/>
      <c r="K1232" s="753"/>
      <c r="L1232" s="753"/>
      <c r="M1232" s="753"/>
    </row>
    <row r="1233" spans="1:13" s="755" customFormat="1">
      <c r="A1233" s="816"/>
      <c r="B1233" s="753"/>
      <c r="C1233" s="753"/>
      <c r="D1233" s="753"/>
      <c r="E1233" s="753"/>
      <c r="F1233" s="753"/>
      <c r="G1233" s="753"/>
      <c r="H1233" s="753"/>
      <c r="I1233" s="753"/>
      <c r="J1233" s="753"/>
      <c r="K1233" s="753"/>
      <c r="L1233" s="753"/>
      <c r="M1233" s="753"/>
    </row>
    <row r="1234" spans="1:13" s="755" customFormat="1">
      <c r="A1234" s="816"/>
      <c r="B1234" s="753"/>
      <c r="C1234" s="753"/>
      <c r="D1234" s="753"/>
      <c r="E1234" s="753"/>
      <c r="F1234" s="753"/>
      <c r="G1234" s="753"/>
      <c r="H1234" s="753"/>
      <c r="I1234" s="753"/>
      <c r="J1234" s="753"/>
      <c r="K1234" s="753"/>
      <c r="L1234" s="753"/>
      <c r="M1234" s="753"/>
    </row>
    <row r="1235" spans="1:13" s="755" customFormat="1">
      <c r="A1235" s="816"/>
      <c r="B1235" s="753"/>
      <c r="C1235" s="753"/>
      <c r="D1235" s="753"/>
      <c r="E1235" s="753"/>
      <c r="F1235" s="753"/>
      <c r="G1235" s="753"/>
      <c r="H1235" s="753"/>
      <c r="I1235" s="753"/>
      <c r="J1235" s="753"/>
      <c r="K1235" s="753"/>
      <c r="L1235" s="753"/>
      <c r="M1235" s="753"/>
    </row>
    <row r="1236" spans="1:13" s="755" customFormat="1">
      <c r="A1236" s="816"/>
      <c r="B1236" s="753"/>
      <c r="C1236" s="753"/>
      <c r="D1236" s="753"/>
      <c r="E1236" s="753"/>
      <c r="F1236" s="753"/>
      <c r="G1236" s="753"/>
      <c r="H1236" s="753"/>
      <c r="I1236" s="753"/>
      <c r="J1236" s="753"/>
      <c r="K1236" s="753"/>
      <c r="L1236" s="753"/>
      <c r="M1236" s="753"/>
    </row>
    <row r="1237" spans="1:13" s="755" customFormat="1">
      <c r="A1237" s="816"/>
      <c r="B1237" s="753"/>
      <c r="C1237" s="753"/>
      <c r="D1237" s="753"/>
      <c r="E1237" s="753"/>
      <c r="F1237" s="753"/>
      <c r="G1237" s="753"/>
      <c r="H1237" s="753"/>
      <c r="I1237" s="753"/>
      <c r="J1237" s="753"/>
      <c r="K1237" s="753"/>
      <c r="L1237" s="753"/>
      <c r="M1237" s="753"/>
    </row>
    <row r="1238" spans="1:13" s="755" customFormat="1">
      <c r="A1238" s="816"/>
      <c r="B1238" s="753"/>
      <c r="C1238" s="753"/>
      <c r="D1238" s="753"/>
      <c r="E1238" s="753"/>
      <c r="F1238" s="753"/>
      <c r="G1238" s="753"/>
      <c r="H1238" s="753"/>
      <c r="I1238" s="753"/>
      <c r="J1238" s="753"/>
      <c r="K1238" s="753"/>
      <c r="L1238" s="753"/>
      <c r="M1238" s="753"/>
    </row>
    <row r="1239" spans="1:13" s="755" customFormat="1">
      <c r="A1239" s="816"/>
      <c r="B1239" s="753"/>
      <c r="C1239" s="753"/>
      <c r="D1239" s="753"/>
      <c r="E1239" s="753"/>
      <c r="F1239" s="753"/>
      <c r="G1239" s="753"/>
      <c r="H1239" s="753"/>
      <c r="I1239" s="753"/>
      <c r="J1239" s="753"/>
      <c r="K1239" s="753"/>
      <c r="L1239" s="753"/>
      <c r="M1239" s="753"/>
    </row>
    <row r="1240" spans="1:13" s="755" customFormat="1">
      <c r="A1240" s="816"/>
      <c r="B1240" s="753"/>
      <c r="C1240" s="753"/>
      <c r="D1240" s="753"/>
      <c r="E1240" s="753"/>
      <c r="F1240" s="753"/>
      <c r="G1240" s="753"/>
      <c r="H1240" s="753"/>
      <c r="I1240" s="753"/>
      <c r="J1240" s="753"/>
      <c r="K1240" s="753"/>
      <c r="L1240" s="753"/>
      <c r="M1240" s="753"/>
    </row>
    <row r="1241" spans="1:13" s="755" customFormat="1">
      <c r="A1241" s="816"/>
      <c r="B1241" s="753"/>
      <c r="C1241" s="753"/>
      <c r="D1241" s="753"/>
      <c r="E1241" s="753"/>
      <c r="F1241" s="753"/>
      <c r="G1241" s="753"/>
      <c r="H1241" s="753"/>
      <c r="I1241" s="753"/>
      <c r="J1241" s="753"/>
      <c r="K1241" s="753"/>
      <c r="L1241" s="753"/>
      <c r="M1241" s="753"/>
    </row>
    <row r="1242" spans="1:13" s="755" customFormat="1">
      <c r="A1242" s="816"/>
      <c r="B1242" s="753"/>
      <c r="C1242" s="753"/>
      <c r="D1242" s="753"/>
      <c r="E1242" s="753"/>
      <c r="F1242" s="753"/>
      <c r="G1242" s="753"/>
      <c r="H1242" s="753"/>
      <c r="I1242" s="753"/>
      <c r="J1242" s="753"/>
      <c r="K1242" s="753"/>
      <c r="L1242" s="753"/>
      <c r="M1242" s="753"/>
    </row>
    <row r="1243" spans="1:13" s="755" customFormat="1">
      <c r="A1243" s="816"/>
      <c r="B1243" s="753"/>
      <c r="C1243" s="753"/>
      <c r="D1243" s="753"/>
      <c r="E1243" s="753"/>
      <c r="F1243" s="753"/>
      <c r="G1243" s="753"/>
      <c r="H1243" s="753"/>
      <c r="I1243" s="753"/>
      <c r="J1243" s="753"/>
      <c r="K1243" s="753"/>
      <c r="L1243" s="753"/>
      <c r="M1243" s="753"/>
    </row>
    <row r="1244" spans="1:13" s="755" customFormat="1">
      <c r="A1244" s="816"/>
      <c r="B1244" s="753"/>
      <c r="C1244" s="753"/>
      <c r="D1244" s="753"/>
      <c r="E1244" s="753"/>
      <c r="F1244" s="753"/>
      <c r="G1244" s="753"/>
      <c r="H1244" s="753"/>
      <c r="I1244" s="753"/>
      <c r="J1244" s="753"/>
      <c r="K1244" s="753"/>
      <c r="L1244" s="753"/>
      <c r="M1244" s="753"/>
    </row>
    <row r="1245" spans="1:13" s="755" customFormat="1">
      <c r="A1245" s="816"/>
      <c r="B1245" s="753"/>
      <c r="C1245" s="753"/>
      <c r="D1245" s="753"/>
      <c r="E1245" s="753"/>
      <c r="F1245" s="753"/>
      <c r="G1245" s="753"/>
      <c r="H1245" s="753"/>
      <c r="I1245" s="753"/>
      <c r="J1245" s="753"/>
      <c r="K1245" s="753"/>
      <c r="L1245" s="753"/>
      <c r="M1245" s="753"/>
    </row>
    <row r="1246" spans="1:13" s="755" customFormat="1">
      <c r="A1246" s="816"/>
      <c r="B1246" s="753"/>
      <c r="C1246" s="753"/>
      <c r="D1246" s="753"/>
      <c r="E1246" s="753"/>
      <c r="F1246" s="753"/>
      <c r="G1246" s="753"/>
      <c r="H1246" s="753"/>
      <c r="I1246" s="753"/>
      <c r="J1246" s="753"/>
      <c r="K1246" s="753"/>
      <c r="L1246" s="753"/>
      <c r="M1246" s="753"/>
    </row>
    <row r="1247" spans="1:13" s="755" customFormat="1">
      <c r="A1247" s="816"/>
      <c r="B1247" s="753"/>
      <c r="C1247" s="753"/>
      <c r="D1247" s="753"/>
      <c r="E1247" s="753"/>
      <c r="F1247" s="753"/>
      <c r="G1247" s="753"/>
      <c r="H1247" s="753"/>
      <c r="I1247" s="753"/>
      <c r="J1247" s="753"/>
      <c r="K1247" s="753"/>
      <c r="L1247" s="753"/>
      <c r="M1247" s="753"/>
    </row>
    <row r="1248" spans="1:13" s="755" customFormat="1">
      <c r="A1248" s="816"/>
      <c r="B1248" s="753"/>
      <c r="C1248" s="753"/>
      <c r="D1248" s="753"/>
      <c r="E1248" s="753"/>
      <c r="F1248" s="753"/>
      <c r="G1248" s="753"/>
      <c r="H1248" s="753"/>
      <c r="I1248" s="753"/>
      <c r="J1248" s="753"/>
      <c r="K1248" s="753"/>
      <c r="L1248" s="753"/>
      <c r="M1248" s="753"/>
    </row>
    <row r="1249" spans="1:13" s="755" customFormat="1">
      <c r="A1249" s="816"/>
      <c r="B1249" s="753"/>
      <c r="C1249" s="753"/>
      <c r="D1249" s="753"/>
      <c r="E1249" s="753"/>
      <c r="F1249" s="753"/>
      <c r="G1249" s="753"/>
      <c r="H1249" s="753"/>
      <c r="I1249" s="753"/>
      <c r="J1249" s="753"/>
      <c r="K1249" s="753"/>
      <c r="L1249" s="753"/>
      <c r="M1249" s="753"/>
    </row>
    <row r="1250" spans="1:13" s="755" customFormat="1">
      <c r="A1250" s="816"/>
      <c r="B1250" s="753"/>
      <c r="C1250" s="753"/>
      <c r="D1250" s="753"/>
      <c r="E1250" s="753"/>
      <c r="F1250" s="753"/>
      <c r="G1250" s="753"/>
      <c r="H1250" s="753"/>
      <c r="I1250" s="753"/>
      <c r="J1250" s="753"/>
      <c r="K1250" s="753"/>
      <c r="L1250" s="753"/>
      <c r="M1250" s="753"/>
    </row>
    <row r="1251" spans="1:13" s="755" customFormat="1">
      <c r="A1251" s="816"/>
      <c r="B1251" s="753"/>
      <c r="C1251" s="753"/>
      <c r="D1251" s="753"/>
      <c r="E1251" s="753"/>
      <c r="F1251" s="753"/>
      <c r="G1251" s="753"/>
      <c r="H1251" s="753"/>
      <c r="I1251" s="753"/>
      <c r="J1251" s="753"/>
      <c r="K1251" s="753"/>
      <c r="L1251" s="753"/>
      <c r="M1251" s="753"/>
    </row>
    <row r="1252" spans="1:13" s="755" customFormat="1">
      <c r="A1252" s="816"/>
      <c r="B1252" s="753"/>
      <c r="C1252" s="753"/>
      <c r="D1252" s="753"/>
      <c r="E1252" s="753"/>
      <c r="F1252" s="753"/>
      <c r="G1252" s="753"/>
      <c r="H1252" s="753"/>
      <c r="I1252" s="753"/>
      <c r="J1252" s="753"/>
      <c r="K1252" s="753"/>
      <c r="L1252" s="753"/>
      <c r="M1252" s="753"/>
    </row>
    <row r="1253" spans="1:13" s="755" customFormat="1">
      <c r="A1253" s="816"/>
      <c r="B1253" s="753"/>
      <c r="C1253" s="753"/>
      <c r="D1253" s="753"/>
      <c r="E1253" s="753"/>
      <c r="F1253" s="753"/>
      <c r="G1253" s="753"/>
      <c r="H1253" s="753"/>
      <c r="I1253" s="753"/>
      <c r="J1253" s="753"/>
      <c r="K1253" s="753"/>
      <c r="L1253" s="753"/>
      <c r="M1253" s="753"/>
    </row>
    <row r="1254" spans="1:13" s="755" customFormat="1">
      <c r="A1254" s="816"/>
      <c r="B1254" s="753"/>
      <c r="C1254" s="753"/>
      <c r="D1254" s="753"/>
      <c r="E1254" s="753"/>
      <c r="F1254" s="753"/>
      <c r="G1254" s="753"/>
      <c r="H1254" s="753"/>
      <c r="I1254" s="753"/>
      <c r="J1254" s="753"/>
      <c r="K1254" s="753"/>
      <c r="L1254" s="753"/>
      <c r="M1254" s="753"/>
    </row>
    <row r="1255" spans="1:13" s="755" customFormat="1">
      <c r="A1255" s="816"/>
      <c r="B1255" s="753"/>
      <c r="C1255" s="753"/>
      <c r="D1255" s="753"/>
      <c r="E1255" s="753"/>
      <c r="F1255" s="753"/>
      <c r="G1255" s="753"/>
      <c r="H1255" s="753"/>
      <c r="I1255" s="753"/>
      <c r="J1255" s="753"/>
      <c r="K1255" s="753"/>
      <c r="L1255" s="753"/>
      <c r="M1255" s="753"/>
    </row>
    <row r="1256" spans="1:13" s="755" customFormat="1">
      <c r="A1256" s="816"/>
      <c r="B1256" s="753"/>
      <c r="C1256" s="753"/>
      <c r="D1256" s="753"/>
      <c r="E1256" s="753"/>
      <c r="F1256" s="753"/>
      <c r="G1256" s="753"/>
      <c r="H1256" s="753"/>
      <c r="I1256" s="753"/>
      <c r="J1256" s="753"/>
      <c r="K1256" s="753"/>
      <c r="L1256" s="753"/>
      <c r="M1256" s="753"/>
    </row>
    <row r="1257" spans="1:13" s="755" customFormat="1">
      <c r="A1257" s="816"/>
      <c r="B1257" s="753"/>
      <c r="C1257" s="753"/>
      <c r="D1257" s="753"/>
      <c r="E1257" s="753"/>
      <c r="F1257" s="753"/>
      <c r="G1257" s="753"/>
      <c r="H1257" s="753"/>
      <c r="I1257" s="753"/>
      <c r="J1257" s="753"/>
      <c r="K1257" s="753"/>
      <c r="L1257" s="753"/>
      <c r="M1257" s="753"/>
    </row>
    <row r="1258" spans="1:13" s="755" customFormat="1">
      <c r="A1258" s="816"/>
      <c r="B1258" s="753"/>
      <c r="C1258" s="753"/>
      <c r="D1258" s="753"/>
      <c r="E1258" s="753"/>
      <c r="F1258" s="753"/>
      <c r="G1258" s="753"/>
      <c r="H1258" s="753"/>
      <c r="I1258" s="753"/>
      <c r="J1258" s="753"/>
      <c r="K1258" s="753"/>
      <c r="L1258" s="753"/>
      <c r="M1258" s="753"/>
    </row>
    <row r="1259" spans="1:13" s="755" customFormat="1">
      <c r="A1259" s="816"/>
      <c r="B1259" s="753"/>
      <c r="C1259" s="753"/>
      <c r="D1259" s="753"/>
      <c r="E1259" s="753"/>
      <c r="F1259" s="753"/>
      <c r="G1259" s="753"/>
      <c r="H1259" s="753"/>
      <c r="I1259" s="753"/>
      <c r="J1259" s="753"/>
      <c r="K1259" s="753"/>
      <c r="L1259" s="753"/>
      <c r="M1259" s="753"/>
    </row>
    <row r="1260" spans="1:13" s="755" customFormat="1">
      <c r="A1260" s="816"/>
      <c r="B1260" s="753"/>
      <c r="C1260" s="753"/>
      <c r="D1260" s="753"/>
      <c r="E1260" s="753"/>
      <c r="F1260" s="753"/>
      <c r="G1260" s="753"/>
      <c r="H1260" s="753"/>
      <c r="I1260" s="753"/>
      <c r="J1260" s="753"/>
      <c r="K1260" s="753"/>
      <c r="L1260" s="753"/>
      <c r="M1260" s="753"/>
    </row>
    <row r="1261" spans="1:13" s="755" customFormat="1">
      <c r="A1261" s="816"/>
      <c r="B1261" s="753"/>
      <c r="C1261" s="753"/>
      <c r="D1261" s="753"/>
      <c r="E1261" s="753"/>
      <c r="F1261" s="753"/>
      <c r="G1261" s="753"/>
      <c r="H1261" s="753"/>
      <c r="I1261" s="753"/>
      <c r="J1261" s="753"/>
      <c r="K1261" s="753"/>
      <c r="L1261" s="753"/>
      <c r="M1261" s="753"/>
    </row>
    <row r="1262" spans="1:13" s="755" customFormat="1">
      <c r="A1262" s="816"/>
      <c r="B1262" s="753"/>
      <c r="C1262" s="753"/>
      <c r="D1262" s="753"/>
      <c r="E1262" s="753"/>
      <c r="F1262" s="753"/>
      <c r="G1262" s="753"/>
      <c r="H1262" s="753"/>
      <c r="I1262" s="753"/>
      <c r="J1262" s="753"/>
      <c r="K1262" s="753"/>
      <c r="L1262" s="753"/>
      <c r="M1262" s="753"/>
    </row>
    <row r="1263" spans="1:13" s="755" customFormat="1">
      <c r="A1263" s="816"/>
      <c r="B1263" s="753"/>
      <c r="C1263" s="753"/>
      <c r="D1263" s="753"/>
      <c r="E1263" s="753"/>
      <c r="F1263" s="753"/>
      <c r="G1263" s="753"/>
      <c r="H1263" s="753"/>
      <c r="I1263" s="753"/>
      <c r="J1263" s="753"/>
      <c r="K1263" s="753"/>
      <c r="L1263" s="753"/>
      <c r="M1263" s="753"/>
    </row>
    <row r="1264" spans="1:13" s="755" customFormat="1">
      <c r="A1264" s="816"/>
      <c r="B1264" s="753"/>
      <c r="C1264" s="753"/>
      <c r="D1264" s="753"/>
      <c r="E1264" s="753"/>
      <c r="F1264" s="753"/>
      <c r="G1264" s="753"/>
      <c r="H1264" s="753"/>
      <c r="I1264" s="753"/>
      <c r="J1264" s="753"/>
      <c r="K1264" s="753"/>
      <c r="L1264" s="753"/>
      <c r="M1264" s="753"/>
    </row>
    <row r="1265" spans="1:13" s="755" customFormat="1">
      <c r="A1265" s="816"/>
      <c r="B1265" s="753"/>
      <c r="C1265" s="753"/>
      <c r="D1265" s="753"/>
      <c r="E1265" s="753"/>
      <c r="F1265" s="753"/>
      <c r="G1265" s="753"/>
      <c r="H1265" s="753"/>
      <c r="I1265" s="753"/>
      <c r="J1265" s="753"/>
      <c r="K1265" s="753"/>
      <c r="L1265" s="753"/>
      <c r="M1265" s="753"/>
    </row>
    <row r="1266" spans="1:13" s="755" customFormat="1">
      <c r="A1266" s="816"/>
      <c r="B1266" s="753"/>
      <c r="C1266" s="753"/>
      <c r="D1266" s="753"/>
      <c r="E1266" s="753"/>
      <c r="F1266" s="753"/>
      <c r="G1266" s="753"/>
      <c r="H1266" s="753"/>
      <c r="I1266" s="753"/>
      <c r="J1266" s="753"/>
      <c r="K1266" s="753"/>
      <c r="L1266" s="753"/>
      <c r="M1266" s="753"/>
    </row>
    <row r="1267" spans="1:13" s="755" customFormat="1">
      <c r="A1267" s="816"/>
      <c r="B1267" s="753"/>
      <c r="C1267" s="753"/>
      <c r="D1267" s="753"/>
      <c r="E1267" s="753"/>
      <c r="F1267" s="753"/>
      <c r="G1267" s="753"/>
      <c r="H1267" s="753"/>
      <c r="I1267" s="753"/>
      <c r="J1267" s="753"/>
      <c r="K1267" s="753"/>
      <c r="L1267" s="753"/>
      <c r="M1267" s="753"/>
    </row>
    <row r="1268" spans="1:13" s="755" customFormat="1">
      <c r="A1268" s="816"/>
      <c r="B1268" s="753"/>
      <c r="C1268" s="753"/>
      <c r="D1268" s="753"/>
      <c r="E1268" s="753"/>
      <c r="F1268" s="753"/>
      <c r="G1268" s="753"/>
      <c r="H1268" s="753"/>
      <c r="I1268" s="753"/>
      <c r="J1268" s="753"/>
      <c r="K1268" s="753"/>
      <c r="L1268" s="753"/>
      <c r="M1268" s="753"/>
    </row>
    <row r="1269" spans="1:13" s="755" customFormat="1">
      <c r="A1269" s="816"/>
      <c r="B1269" s="753"/>
      <c r="C1269" s="753"/>
      <c r="D1269" s="753"/>
      <c r="E1269" s="753"/>
      <c r="F1269" s="753"/>
      <c r="G1269" s="753"/>
      <c r="H1269" s="753"/>
      <c r="I1269" s="753"/>
      <c r="J1269" s="753"/>
      <c r="K1269" s="753"/>
      <c r="L1269" s="753"/>
      <c r="M1269" s="753"/>
    </row>
    <row r="1270" spans="1:13" s="755" customFormat="1">
      <c r="A1270" s="816"/>
      <c r="B1270" s="753"/>
      <c r="C1270" s="753"/>
      <c r="D1270" s="753"/>
      <c r="E1270" s="753"/>
      <c r="F1270" s="753"/>
      <c r="G1270" s="753"/>
      <c r="H1270" s="753"/>
      <c r="I1270" s="753"/>
      <c r="J1270" s="753"/>
      <c r="K1270" s="753"/>
      <c r="L1270" s="753"/>
      <c r="M1270" s="753"/>
    </row>
    <row r="1271" spans="1:13" s="755" customFormat="1">
      <c r="A1271" s="816"/>
      <c r="B1271" s="753"/>
      <c r="C1271" s="753"/>
      <c r="D1271" s="753"/>
      <c r="E1271" s="753"/>
      <c r="F1271" s="753"/>
      <c r="G1271" s="753"/>
      <c r="H1271" s="753"/>
      <c r="I1271" s="753"/>
      <c r="J1271" s="753"/>
      <c r="K1271" s="753"/>
      <c r="L1271" s="753"/>
      <c r="M1271" s="753"/>
    </row>
    <row r="1272" spans="1:13" s="755" customFormat="1">
      <c r="A1272" s="816"/>
      <c r="B1272" s="753"/>
      <c r="C1272" s="753"/>
      <c r="D1272" s="753"/>
      <c r="E1272" s="753"/>
      <c r="F1272" s="753"/>
      <c r="G1272" s="753"/>
      <c r="H1272" s="753"/>
      <c r="I1272" s="753"/>
      <c r="J1272" s="753"/>
      <c r="K1272" s="753"/>
      <c r="L1272" s="753"/>
      <c r="M1272" s="753"/>
    </row>
    <row r="1273" spans="1:13" s="755" customFormat="1">
      <c r="A1273" s="816"/>
      <c r="B1273" s="753"/>
      <c r="C1273" s="753"/>
      <c r="D1273" s="753"/>
      <c r="E1273" s="753"/>
      <c r="F1273" s="753"/>
      <c r="G1273" s="753"/>
      <c r="H1273" s="753"/>
      <c r="I1273" s="753"/>
      <c r="J1273" s="753"/>
      <c r="K1273" s="753"/>
      <c r="L1273" s="753"/>
      <c r="M1273" s="753"/>
    </row>
    <row r="1274" spans="1:13" s="755" customFormat="1">
      <c r="A1274" s="816"/>
      <c r="B1274" s="753"/>
      <c r="C1274" s="753"/>
      <c r="D1274" s="753"/>
      <c r="E1274" s="753"/>
      <c r="F1274" s="753"/>
      <c r="G1274" s="753"/>
      <c r="H1274" s="753"/>
      <c r="I1274" s="753"/>
      <c r="J1274" s="753"/>
      <c r="K1274" s="753"/>
      <c r="L1274" s="753"/>
      <c r="M1274" s="753"/>
    </row>
    <row r="1275" spans="1:13" s="755" customFormat="1">
      <c r="A1275" s="816"/>
      <c r="B1275" s="753"/>
      <c r="C1275" s="753"/>
      <c r="D1275" s="753"/>
      <c r="E1275" s="753"/>
      <c r="F1275" s="753"/>
      <c r="G1275" s="753"/>
      <c r="H1275" s="753"/>
      <c r="I1275" s="753"/>
      <c r="J1275" s="753"/>
      <c r="K1275" s="753"/>
      <c r="L1275" s="753"/>
      <c r="M1275" s="753"/>
    </row>
    <row r="1276" spans="1:13" s="755" customFormat="1">
      <c r="A1276" s="816"/>
      <c r="B1276" s="753"/>
      <c r="C1276" s="753"/>
      <c r="D1276" s="753"/>
      <c r="E1276" s="753"/>
      <c r="F1276" s="753"/>
      <c r="G1276" s="753"/>
      <c r="H1276" s="753"/>
      <c r="I1276" s="753"/>
      <c r="J1276" s="753"/>
      <c r="K1276" s="753"/>
      <c r="L1276" s="753"/>
      <c r="M1276" s="753"/>
    </row>
    <row r="1277" spans="1:13" s="755" customFormat="1">
      <c r="A1277" s="816"/>
      <c r="B1277" s="753"/>
      <c r="C1277" s="753"/>
      <c r="D1277" s="753"/>
      <c r="E1277" s="753"/>
      <c r="F1277" s="753"/>
      <c r="G1277" s="753"/>
      <c r="H1277" s="753"/>
      <c r="I1277" s="753"/>
      <c r="J1277" s="753"/>
      <c r="K1277" s="753"/>
      <c r="L1277" s="753"/>
      <c r="M1277" s="753"/>
    </row>
    <row r="1278" spans="1:13" s="755" customFormat="1">
      <c r="A1278" s="816"/>
      <c r="B1278" s="753"/>
      <c r="C1278" s="753"/>
      <c r="D1278" s="753"/>
      <c r="E1278" s="753"/>
      <c r="F1278" s="753"/>
      <c r="G1278" s="753"/>
      <c r="H1278" s="753"/>
      <c r="I1278" s="753"/>
      <c r="J1278" s="753"/>
      <c r="K1278" s="753"/>
      <c r="L1278" s="753"/>
      <c r="M1278" s="753"/>
    </row>
    <row r="1279" spans="1:13" s="755" customFormat="1">
      <c r="A1279" s="816"/>
      <c r="B1279" s="753"/>
      <c r="C1279" s="753"/>
      <c r="D1279" s="753"/>
      <c r="E1279" s="753"/>
      <c r="F1279" s="753"/>
      <c r="G1279" s="753"/>
      <c r="H1279" s="753"/>
      <c r="I1279" s="753"/>
      <c r="J1279" s="753"/>
      <c r="K1279" s="753"/>
      <c r="L1279" s="753"/>
      <c r="M1279" s="753"/>
    </row>
    <row r="1280" spans="1:13" s="755" customFormat="1">
      <c r="A1280" s="816"/>
      <c r="B1280" s="753"/>
      <c r="C1280" s="753"/>
      <c r="D1280" s="753"/>
      <c r="E1280" s="753"/>
      <c r="F1280" s="753"/>
      <c r="G1280" s="753"/>
      <c r="H1280" s="753"/>
      <c r="I1280" s="753"/>
      <c r="J1280" s="753"/>
      <c r="K1280" s="753"/>
      <c r="L1280" s="753"/>
      <c r="M1280" s="753"/>
    </row>
    <row r="1281" spans="1:13" s="755" customFormat="1">
      <c r="A1281" s="816"/>
      <c r="B1281" s="753"/>
      <c r="C1281" s="753"/>
      <c r="D1281" s="753"/>
      <c r="E1281" s="753"/>
      <c r="F1281" s="753"/>
      <c r="G1281" s="753"/>
      <c r="H1281" s="753"/>
      <c r="I1281" s="753"/>
      <c r="J1281" s="753"/>
      <c r="K1281" s="753"/>
      <c r="L1281" s="753"/>
      <c r="M1281" s="753"/>
    </row>
    <row r="1282" spans="1:13" s="755" customFormat="1">
      <c r="A1282" s="816"/>
      <c r="B1282" s="753"/>
      <c r="C1282" s="753"/>
      <c r="D1282" s="753"/>
      <c r="E1282" s="753"/>
      <c r="F1282" s="753"/>
      <c r="G1282" s="753"/>
      <c r="H1282" s="753"/>
      <c r="I1282" s="753"/>
      <c r="J1282" s="753"/>
      <c r="K1282" s="753"/>
      <c r="L1282" s="753"/>
      <c r="M1282" s="753"/>
    </row>
    <row r="1283" spans="1:13" s="755" customFormat="1">
      <c r="A1283" s="816"/>
      <c r="B1283" s="753"/>
      <c r="C1283" s="753"/>
      <c r="D1283" s="753"/>
      <c r="E1283" s="753"/>
      <c r="F1283" s="753"/>
      <c r="G1283" s="753"/>
      <c r="H1283" s="753"/>
      <c r="I1283" s="753"/>
      <c r="J1283" s="753"/>
      <c r="K1283" s="753"/>
      <c r="L1283" s="753"/>
      <c r="M1283" s="753"/>
    </row>
    <row r="1284" spans="1:13" s="755" customFormat="1">
      <c r="A1284" s="816"/>
      <c r="B1284" s="753"/>
      <c r="C1284" s="753"/>
      <c r="D1284" s="753"/>
      <c r="E1284" s="753"/>
      <c r="F1284" s="753"/>
      <c r="G1284" s="753"/>
      <c r="H1284" s="753"/>
      <c r="I1284" s="753"/>
      <c r="J1284" s="753"/>
      <c r="K1284" s="753"/>
      <c r="L1284" s="753"/>
      <c r="M1284" s="753"/>
    </row>
    <row r="1285" spans="1:13" s="755" customFormat="1">
      <c r="A1285" s="816"/>
      <c r="B1285" s="753"/>
      <c r="C1285" s="753"/>
      <c r="D1285" s="753"/>
      <c r="E1285" s="753"/>
      <c r="F1285" s="753"/>
      <c r="G1285" s="753"/>
      <c r="H1285" s="753"/>
      <c r="I1285" s="753"/>
      <c r="J1285" s="753"/>
      <c r="K1285" s="753"/>
      <c r="L1285" s="753"/>
      <c r="M1285" s="753"/>
    </row>
    <row r="1286" spans="1:13" s="755" customFormat="1">
      <c r="A1286" s="816"/>
      <c r="B1286" s="753"/>
      <c r="C1286" s="753"/>
      <c r="D1286" s="753"/>
      <c r="E1286" s="753"/>
      <c r="F1286" s="753"/>
      <c r="G1286" s="753"/>
      <c r="H1286" s="753"/>
      <c r="I1286" s="753"/>
      <c r="J1286" s="753"/>
      <c r="K1286" s="753"/>
      <c r="L1286" s="753"/>
      <c r="M1286" s="753"/>
    </row>
    <row r="1287" spans="1:13" s="755" customFormat="1">
      <c r="A1287" s="816"/>
      <c r="B1287" s="753"/>
      <c r="C1287" s="753"/>
      <c r="D1287" s="753"/>
      <c r="E1287" s="753"/>
      <c r="F1287" s="753"/>
      <c r="G1287" s="753"/>
      <c r="H1287" s="753"/>
      <c r="I1287" s="753"/>
      <c r="J1287" s="753"/>
      <c r="K1287" s="753"/>
      <c r="L1287" s="753"/>
      <c r="M1287" s="753"/>
    </row>
    <row r="1288" spans="1:13" s="755" customFormat="1">
      <c r="A1288" s="816"/>
      <c r="B1288" s="753"/>
      <c r="C1288" s="753"/>
      <c r="D1288" s="753"/>
      <c r="E1288" s="753"/>
      <c r="F1288" s="753"/>
      <c r="G1288" s="753"/>
      <c r="H1288" s="753"/>
      <c r="I1288" s="753"/>
      <c r="J1288" s="753"/>
      <c r="K1288" s="753"/>
      <c r="L1288" s="753"/>
      <c r="M1288" s="753"/>
    </row>
    <row r="1289" spans="1:13" s="755" customFormat="1">
      <c r="A1289" s="816"/>
      <c r="B1289" s="753"/>
      <c r="C1289" s="753"/>
      <c r="D1289" s="753"/>
      <c r="E1289" s="753"/>
      <c r="F1289" s="753"/>
      <c r="G1289" s="753"/>
      <c r="H1289" s="753"/>
      <c r="I1289" s="753"/>
      <c r="J1289" s="753"/>
      <c r="K1289" s="753"/>
      <c r="L1289" s="753"/>
      <c r="M1289" s="753"/>
    </row>
    <row r="1290" spans="1:13" s="755" customFormat="1">
      <c r="A1290" s="816"/>
      <c r="B1290" s="753"/>
      <c r="C1290" s="753"/>
      <c r="D1290" s="753"/>
      <c r="E1290" s="753"/>
      <c r="F1290" s="753"/>
      <c r="G1290" s="753"/>
      <c r="H1290" s="753"/>
      <c r="I1290" s="753"/>
      <c r="J1290" s="753"/>
      <c r="K1290" s="753"/>
      <c r="L1290" s="753"/>
      <c r="M1290" s="753"/>
    </row>
    <row r="1291" spans="1:13" s="755" customFormat="1">
      <c r="A1291" s="816"/>
      <c r="B1291" s="753"/>
      <c r="C1291" s="753"/>
      <c r="D1291" s="753"/>
      <c r="E1291" s="753"/>
      <c r="F1291" s="753"/>
      <c r="G1291" s="753"/>
      <c r="H1291" s="753"/>
      <c r="I1291" s="753"/>
      <c r="J1291" s="753"/>
      <c r="K1291" s="753"/>
      <c r="L1291" s="753"/>
      <c r="M1291" s="753"/>
    </row>
    <row r="1292" spans="1:13" s="755" customFormat="1">
      <c r="A1292" s="816"/>
      <c r="B1292" s="753"/>
      <c r="C1292" s="753"/>
      <c r="D1292" s="753"/>
      <c r="E1292" s="753"/>
      <c r="F1292" s="753"/>
      <c r="G1292" s="753"/>
      <c r="H1292" s="753"/>
      <c r="I1292" s="753"/>
      <c r="J1292" s="753"/>
      <c r="K1292" s="753"/>
      <c r="L1292" s="753"/>
      <c r="M1292" s="753"/>
    </row>
    <row r="1293" spans="1:13" s="755" customFormat="1">
      <c r="A1293" s="816"/>
      <c r="B1293" s="753"/>
      <c r="C1293" s="753"/>
      <c r="D1293" s="753"/>
      <c r="E1293" s="753"/>
      <c r="F1293" s="753"/>
      <c r="G1293" s="753"/>
      <c r="H1293" s="753"/>
      <c r="I1293" s="753"/>
      <c r="J1293" s="753"/>
      <c r="K1293" s="753"/>
      <c r="L1293" s="753"/>
      <c r="M1293" s="753"/>
    </row>
    <row r="1294" spans="1:13" s="755" customFormat="1">
      <c r="A1294" s="816"/>
      <c r="B1294" s="753"/>
      <c r="C1294" s="753"/>
      <c r="D1294" s="753"/>
      <c r="E1294" s="753"/>
      <c r="F1294" s="753"/>
      <c r="G1294" s="753"/>
      <c r="H1294" s="753"/>
      <c r="I1294" s="753"/>
      <c r="J1294" s="753"/>
      <c r="K1294" s="753"/>
      <c r="L1294" s="753"/>
      <c r="M1294" s="753"/>
    </row>
    <row r="1295" spans="1:13" s="755" customFormat="1">
      <c r="A1295" s="816"/>
      <c r="B1295" s="753"/>
      <c r="C1295" s="753"/>
      <c r="D1295" s="753"/>
      <c r="E1295" s="753"/>
      <c r="F1295" s="753"/>
      <c r="G1295" s="753"/>
      <c r="H1295" s="753"/>
      <c r="I1295" s="753"/>
      <c r="J1295" s="753"/>
      <c r="K1295" s="753"/>
      <c r="L1295" s="753"/>
      <c r="M1295" s="753"/>
    </row>
    <row r="1296" spans="1:13" s="755" customFormat="1">
      <c r="A1296" s="816"/>
      <c r="B1296" s="753"/>
      <c r="C1296" s="753"/>
      <c r="D1296" s="753"/>
      <c r="E1296" s="753"/>
      <c r="F1296" s="753"/>
      <c r="G1296" s="753"/>
      <c r="H1296" s="753"/>
      <c r="I1296" s="753"/>
      <c r="J1296" s="753"/>
      <c r="K1296" s="753"/>
      <c r="L1296" s="753"/>
      <c r="M1296" s="753"/>
    </row>
    <row r="1297" spans="1:13" s="755" customFormat="1">
      <c r="A1297" s="816"/>
      <c r="B1297" s="753"/>
      <c r="C1297" s="753"/>
      <c r="D1297" s="753"/>
      <c r="E1297" s="753"/>
      <c r="F1297" s="753"/>
      <c r="G1297" s="753"/>
      <c r="H1297" s="753"/>
      <c r="I1297" s="753"/>
      <c r="J1297" s="753"/>
      <c r="K1297" s="753"/>
      <c r="L1297" s="753"/>
      <c r="M1297" s="753"/>
    </row>
    <row r="1298" spans="1:13" s="755" customFormat="1">
      <c r="A1298" s="816"/>
      <c r="B1298" s="753"/>
      <c r="C1298" s="753"/>
      <c r="D1298" s="753"/>
      <c r="E1298" s="753"/>
      <c r="F1298" s="753"/>
      <c r="G1298" s="753"/>
      <c r="H1298" s="753"/>
      <c r="I1298" s="753"/>
      <c r="J1298" s="753"/>
      <c r="K1298" s="753"/>
      <c r="L1298" s="753"/>
      <c r="M1298" s="753"/>
    </row>
    <row r="1299" spans="1:13" s="755" customFormat="1">
      <c r="A1299" s="816"/>
      <c r="B1299" s="753"/>
      <c r="C1299" s="753"/>
      <c r="D1299" s="753"/>
      <c r="E1299" s="753"/>
      <c r="F1299" s="753"/>
      <c r="G1299" s="753"/>
      <c r="H1299" s="753"/>
      <c r="I1299" s="753"/>
      <c r="J1299" s="753"/>
      <c r="K1299" s="753"/>
      <c r="L1299" s="753"/>
      <c r="M1299" s="753"/>
    </row>
    <row r="1300" spans="1:13" s="755" customFormat="1">
      <c r="A1300" s="816"/>
      <c r="B1300" s="753"/>
      <c r="C1300" s="753"/>
      <c r="D1300" s="753"/>
      <c r="E1300" s="753"/>
      <c r="F1300" s="753"/>
      <c r="G1300" s="753"/>
      <c r="H1300" s="753"/>
      <c r="I1300" s="753"/>
      <c r="J1300" s="753"/>
      <c r="K1300" s="753"/>
      <c r="L1300" s="753"/>
      <c r="M1300" s="753"/>
    </row>
    <row r="1301" spans="1:13" s="755" customFormat="1">
      <c r="A1301" s="816"/>
      <c r="B1301" s="753"/>
      <c r="C1301" s="753"/>
      <c r="D1301" s="753"/>
      <c r="E1301" s="753"/>
      <c r="F1301" s="753"/>
      <c r="G1301" s="753"/>
      <c r="H1301" s="753"/>
      <c r="I1301" s="753"/>
      <c r="J1301" s="753"/>
      <c r="K1301" s="753"/>
      <c r="L1301" s="753"/>
      <c r="M1301" s="753"/>
    </row>
    <row r="1302" spans="1:13" s="755" customFormat="1">
      <c r="A1302" s="816"/>
      <c r="B1302" s="753"/>
      <c r="C1302" s="753"/>
      <c r="D1302" s="753"/>
      <c r="E1302" s="753"/>
      <c r="F1302" s="753"/>
      <c r="G1302" s="753"/>
      <c r="H1302" s="753"/>
      <c r="I1302" s="753"/>
      <c r="J1302" s="753"/>
      <c r="K1302" s="753"/>
      <c r="L1302" s="753"/>
      <c r="M1302" s="753"/>
    </row>
    <row r="1303" spans="1:13" s="755" customFormat="1">
      <c r="A1303" s="816"/>
      <c r="B1303" s="753"/>
      <c r="C1303" s="753"/>
      <c r="D1303" s="753"/>
      <c r="E1303" s="753"/>
      <c r="F1303" s="753"/>
      <c r="G1303" s="753"/>
      <c r="H1303" s="753"/>
      <c r="I1303" s="753"/>
      <c r="J1303" s="753"/>
      <c r="K1303" s="753"/>
      <c r="L1303" s="753"/>
      <c r="M1303" s="753"/>
    </row>
    <row r="1304" spans="1:13" s="755" customFormat="1">
      <c r="A1304" s="816"/>
      <c r="B1304" s="753"/>
      <c r="C1304" s="753"/>
      <c r="D1304" s="753"/>
      <c r="E1304" s="753"/>
      <c r="F1304" s="753"/>
      <c r="G1304" s="753"/>
      <c r="H1304" s="753"/>
      <c r="I1304" s="753"/>
      <c r="J1304" s="753"/>
      <c r="K1304" s="753"/>
      <c r="L1304" s="753"/>
      <c r="M1304" s="753"/>
    </row>
    <row r="1305" spans="1:13" s="755" customFormat="1">
      <c r="A1305" s="816"/>
      <c r="B1305" s="753"/>
      <c r="C1305" s="753"/>
      <c r="D1305" s="753"/>
      <c r="E1305" s="753"/>
      <c r="F1305" s="753"/>
      <c r="G1305" s="753"/>
      <c r="H1305" s="753"/>
      <c r="I1305" s="753"/>
      <c r="J1305" s="753"/>
      <c r="K1305" s="753"/>
      <c r="L1305" s="753"/>
      <c r="M1305" s="753"/>
    </row>
    <row r="1306" spans="1:13" s="755" customFormat="1">
      <c r="A1306" s="816"/>
      <c r="B1306" s="753"/>
      <c r="C1306" s="753"/>
      <c r="D1306" s="753"/>
      <c r="E1306" s="753"/>
      <c r="F1306" s="753"/>
      <c r="G1306" s="753"/>
      <c r="H1306" s="753"/>
      <c r="I1306" s="753"/>
      <c r="J1306" s="753"/>
      <c r="K1306" s="753"/>
      <c r="L1306" s="753"/>
      <c r="M1306" s="753"/>
    </row>
    <row r="1307" spans="1:13" s="755" customFormat="1">
      <c r="A1307" s="816"/>
      <c r="B1307" s="753"/>
      <c r="C1307" s="753"/>
      <c r="D1307" s="753"/>
      <c r="E1307" s="753"/>
      <c r="F1307" s="753"/>
      <c r="G1307" s="753"/>
      <c r="H1307" s="753"/>
      <c r="I1307" s="753"/>
      <c r="J1307" s="753"/>
      <c r="K1307" s="753"/>
      <c r="L1307" s="753"/>
      <c r="M1307" s="753"/>
    </row>
    <row r="1308" spans="1:13" s="755" customFormat="1">
      <c r="A1308" s="816"/>
      <c r="B1308" s="753"/>
      <c r="C1308" s="753"/>
      <c r="D1308" s="753"/>
      <c r="E1308" s="753"/>
      <c r="F1308" s="753"/>
      <c r="G1308" s="753"/>
      <c r="H1308" s="753"/>
      <c r="I1308" s="753"/>
      <c r="J1308" s="753"/>
      <c r="K1308" s="753"/>
      <c r="L1308" s="753"/>
      <c r="M1308" s="753"/>
    </row>
    <row r="1309" spans="1:13" s="755" customFormat="1">
      <c r="A1309" s="816"/>
      <c r="B1309" s="753"/>
      <c r="C1309" s="753"/>
      <c r="D1309" s="753"/>
      <c r="E1309" s="753"/>
      <c r="F1309" s="753"/>
      <c r="G1309" s="753"/>
      <c r="H1309" s="753"/>
      <c r="I1309" s="753"/>
      <c r="J1309" s="753"/>
      <c r="K1309" s="753"/>
      <c r="L1309" s="753"/>
      <c r="M1309" s="753"/>
    </row>
    <row r="1310" spans="1:13" s="755" customFormat="1">
      <c r="A1310" s="816"/>
      <c r="B1310" s="753"/>
      <c r="C1310" s="753"/>
      <c r="D1310" s="753"/>
      <c r="E1310" s="753"/>
      <c r="F1310" s="753"/>
      <c r="G1310" s="753"/>
      <c r="H1310" s="753"/>
      <c r="I1310" s="753"/>
      <c r="J1310" s="753"/>
      <c r="K1310" s="753"/>
      <c r="L1310" s="753"/>
      <c r="M1310" s="753"/>
    </row>
    <row r="1311" spans="1:13" s="755" customFormat="1">
      <c r="A1311" s="816"/>
      <c r="B1311" s="753"/>
      <c r="C1311" s="753"/>
      <c r="D1311" s="753"/>
      <c r="E1311" s="753"/>
      <c r="F1311" s="753"/>
      <c r="G1311" s="753"/>
      <c r="H1311" s="753"/>
      <c r="I1311" s="753"/>
      <c r="J1311" s="753"/>
      <c r="K1311" s="753"/>
      <c r="L1311" s="753"/>
      <c r="M1311" s="753"/>
    </row>
    <row r="1312" spans="1:13" s="755" customFormat="1">
      <c r="A1312" s="816"/>
      <c r="B1312" s="753"/>
      <c r="C1312" s="753"/>
      <c r="D1312" s="753"/>
      <c r="E1312" s="753"/>
      <c r="F1312" s="753"/>
      <c r="G1312" s="753"/>
      <c r="H1312" s="753"/>
      <c r="I1312" s="753"/>
      <c r="J1312" s="753"/>
      <c r="K1312" s="753"/>
      <c r="L1312" s="753"/>
      <c r="M1312" s="753"/>
    </row>
    <row r="1313" spans="1:13" s="755" customFormat="1">
      <c r="A1313" s="816"/>
      <c r="B1313" s="753"/>
      <c r="C1313" s="753"/>
      <c r="D1313" s="753"/>
      <c r="E1313" s="753"/>
      <c r="F1313" s="753"/>
      <c r="G1313" s="753"/>
      <c r="H1313" s="753"/>
      <c r="I1313" s="753"/>
      <c r="J1313" s="753"/>
      <c r="K1313" s="753"/>
      <c r="L1313" s="753"/>
      <c r="M1313" s="753"/>
    </row>
    <row r="1314" spans="1:13" s="755" customFormat="1">
      <c r="A1314" s="816"/>
      <c r="B1314" s="753"/>
      <c r="C1314" s="753"/>
      <c r="D1314" s="753"/>
      <c r="E1314" s="753"/>
      <c r="F1314" s="753"/>
      <c r="G1314" s="753"/>
      <c r="H1314" s="753"/>
      <c r="I1314" s="753"/>
      <c r="J1314" s="753"/>
      <c r="K1314" s="753"/>
      <c r="L1314" s="753"/>
      <c r="M1314" s="753"/>
    </row>
    <row r="1315" spans="1:13" s="755" customFormat="1">
      <c r="A1315" s="816"/>
      <c r="B1315" s="753"/>
      <c r="C1315" s="753"/>
      <c r="D1315" s="753"/>
      <c r="E1315" s="753"/>
      <c r="F1315" s="753"/>
      <c r="G1315" s="753"/>
      <c r="H1315" s="753"/>
      <c r="I1315" s="753"/>
      <c r="J1315" s="753"/>
      <c r="K1315" s="753"/>
      <c r="L1315" s="753"/>
      <c r="M1315" s="753"/>
    </row>
    <row r="1316" spans="1:13" s="755" customFormat="1">
      <c r="A1316" s="816"/>
      <c r="B1316" s="753"/>
      <c r="C1316" s="753"/>
      <c r="D1316" s="753"/>
      <c r="E1316" s="753"/>
      <c r="F1316" s="753"/>
      <c r="G1316" s="753"/>
      <c r="H1316" s="753"/>
      <c r="I1316" s="753"/>
      <c r="J1316" s="753"/>
      <c r="K1316" s="753"/>
      <c r="L1316" s="753"/>
      <c r="M1316" s="753"/>
    </row>
    <row r="1317" spans="1:13" s="755" customFormat="1">
      <c r="A1317" s="816"/>
      <c r="B1317" s="753"/>
      <c r="C1317" s="753"/>
      <c r="D1317" s="753"/>
      <c r="E1317" s="753"/>
      <c r="F1317" s="753"/>
      <c r="G1317" s="753"/>
      <c r="H1317" s="753"/>
      <c r="I1317" s="753"/>
      <c r="J1317" s="753"/>
      <c r="K1317" s="753"/>
      <c r="L1317" s="753"/>
      <c r="M1317" s="753"/>
    </row>
    <row r="1318" spans="1:13" s="755" customFormat="1">
      <c r="A1318" s="816"/>
      <c r="B1318" s="753"/>
      <c r="C1318" s="753"/>
      <c r="D1318" s="753"/>
      <c r="E1318" s="753"/>
      <c r="F1318" s="753"/>
      <c r="G1318" s="753"/>
      <c r="H1318" s="753"/>
      <c r="I1318" s="753"/>
      <c r="J1318" s="753"/>
      <c r="K1318" s="753"/>
      <c r="L1318" s="753"/>
      <c r="M1318" s="753"/>
    </row>
    <row r="1319" spans="1:13" s="755" customFormat="1">
      <c r="A1319" s="816"/>
      <c r="B1319" s="753"/>
      <c r="C1319" s="753"/>
      <c r="D1319" s="753"/>
      <c r="E1319" s="753"/>
      <c r="F1319" s="753"/>
      <c r="G1319" s="753"/>
      <c r="H1319" s="753"/>
      <c r="I1319" s="753"/>
      <c r="J1319" s="753"/>
      <c r="K1319" s="753"/>
      <c r="L1319" s="753"/>
      <c r="M1319" s="753"/>
    </row>
    <row r="1320" spans="1:13" s="755" customFormat="1">
      <c r="A1320" s="816"/>
      <c r="B1320" s="753"/>
      <c r="C1320" s="753"/>
      <c r="D1320" s="753"/>
      <c r="E1320" s="753"/>
      <c r="F1320" s="753"/>
      <c r="G1320" s="753"/>
      <c r="H1320" s="753"/>
      <c r="I1320" s="753"/>
      <c r="J1320" s="753"/>
      <c r="K1320" s="753"/>
      <c r="L1320" s="753"/>
      <c r="M1320" s="753"/>
    </row>
    <row r="1321" spans="1:13" s="755" customFormat="1">
      <c r="A1321" s="816"/>
      <c r="B1321" s="753"/>
      <c r="C1321" s="753"/>
      <c r="D1321" s="753"/>
      <c r="E1321" s="753"/>
      <c r="F1321" s="753"/>
      <c r="G1321" s="753"/>
      <c r="H1321" s="753"/>
      <c r="I1321" s="753"/>
      <c r="J1321" s="753"/>
      <c r="K1321" s="753"/>
      <c r="L1321" s="753"/>
      <c r="M1321" s="753"/>
    </row>
    <row r="1322" spans="1:13" s="755" customFormat="1">
      <c r="A1322" s="816"/>
      <c r="B1322" s="753"/>
      <c r="C1322" s="753"/>
      <c r="D1322" s="753"/>
      <c r="E1322" s="753"/>
      <c r="F1322" s="753"/>
      <c r="G1322" s="753"/>
      <c r="H1322" s="753"/>
      <c r="I1322" s="753"/>
      <c r="J1322" s="753"/>
      <c r="K1322" s="753"/>
      <c r="L1322" s="753"/>
      <c r="M1322" s="753"/>
    </row>
    <row r="1323" spans="1:13" s="755" customFormat="1">
      <c r="A1323" s="816"/>
      <c r="B1323" s="753"/>
      <c r="C1323" s="753"/>
      <c r="D1323" s="753"/>
      <c r="E1323" s="753"/>
      <c r="F1323" s="753"/>
      <c r="G1323" s="753"/>
      <c r="H1323" s="753"/>
      <c r="I1323" s="753"/>
      <c r="J1323" s="753"/>
      <c r="K1323" s="753"/>
      <c r="L1323" s="753"/>
      <c r="M1323" s="753"/>
    </row>
    <row r="1324" spans="1:13" s="755" customFormat="1">
      <c r="A1324" s="816"/>
      <c r="B1324" s="753"/>
      <c r="C1324" s="753"/>
      <c r="D1324" s="753"/>
      <c r="E1324" s="753"/>
      <c r="F1324" s="753"/>
      <c r="G1324" s="753"/>
      <c r="H1324" s="753"/>
      <c r="I1324" s="753"/>
      <c r="J1324" s="753"/>
      <c r="K1324" s="753"/>
      <c r="L1324" s="753"/>
      <c r="M1324" s="753"/>
    </row>
    <row r="1325" spans="1:13" s="755" customFormat="1">
      <c r="A1325" s="816"/>
      <c r="B1325" s="753"/>
      <c r="C1325" s="753"/>
      <c r="D1325" s="753"/>
      <c r="E1325" s="753"/>
      <c r="F1325" s="753"/>
      <c r="G1325" s="753"/>
      <c r="H1325" s="753"/>
      <c r="I1325" s="753"/>
      <c r="J1325" s="753"/>
      <c r="K1325" s="753"/>
      <c r="L1325" s="753"/>
      <c r="M1325" s="753"/>
    </row>
    <row r="1326" spans="1:13" s="755" customFormat="1">
      <c r="A1326" s="816"/>
      <c r="B1326" s="753"/>
      <c r="C1326" s="753"/>
      <c r="D1326" s="753"/>
      <c r="E1326" s="753"/>
      <c r="F1326" s="753"/>
      <c r="G1326" s="753"/>
      <c r="H1326" s="753"/>
      <c r="I1326" s="753"/>
      <c r="J1326" s="753"/>
      <c r="K1326" s="753"/>
      <c r="L1326" s="753"/>
      <c r="M1326" s="753"/>
    </row>
    <row r="1327" spans="1:13" s="755" customFormat="1">
      <c r="A1327" s="816"/>
      <c r="B1327" s="753"/>
      <c r="C1327" s="753"/>
      <c r="D1327" s="753"/>
      <c r="E1327" s="753"/>
      <c r="F1327" s="753"/>
      <c r="G1327" s="753"/>
      <c r="H1327" s="753"/>
      <c r="I1327" s="753"/>
      <c r="J1327" s="753"/>
      <c r="K1327" s="753"/>
      <c r="L1327" s="753"/>
      <c r="M1327" s="753"/>
    </row>
    <row r="1328" spans="1:13" s="755" customFormat="1">
      <c r="A1328" s="816"/>
      <c r="B1328" s="753"/>
      <c r="C1328" s="753"/>
      <c r="D1328" s="753"/>
      <c r="E1328" s="753"/>
      <c r="F1328" s="753"/>
      <c r="G1328" s="753"/>
      <c r="H1328" s="753"/>
      <c r="I1328" s="753"/>
      <c r="J1328" s="753"/>
      <c r="K1328" s="753"/>
      <c r="L1328" s="753"/>
      <c r="M1328" s="753"/>
    </row>
    <row r="1329" spans="1:13" s="755" customFormat="1">
      <c r="A1329" s="816"/>
      <c r="B1329" s="753"/>
      <c r="C1329" s="753"/>
      <c r="D1329" s="753"/>
      <c r="E1329" s="753"/>
      <c r="F1329" s="753"/>
      <c r="G1329" s="753"/>
      <c r="H1329" s="753"/>
      <c r="I1329" s="753"/>
      <c r="J1329" s="753"/>
      <c r="K1329" s="753"/>
      <c r="L1329" s="753"/>
      <c r="M1329" s="753"/>
    </row>
    <row r="1330" spans="1:13" s="755" customFormat="1">
      <c r="A1330" s="816"/>
      <c r="B1330" s="753"/>
      <c r="C1330" s="753"/>
      <c r="D1330" s="753"/>
      <c r="E1330" s="753"/>
      <c r="F1330" s="753"/>
      <c r="G1330" s="753"/>
      <c r="H1330" s="753"/>
      <c r="I1330" s="753"/>
      <c r="J1330" s="753"/>
      <c r="K1330" s="753"/>
      <c r="L1330" s="753"/>
      <c r="M1330" s="753"/>
    </row>
    <row r="1331" spans="1:13" s="755" customFormat="1">
      <c r="A1331" s="816"/>
      <c r="B1331" s="753"/>
      <c r="C1331" s="753"/>
      <c r="D1331" s="753"/>
      <c r="E1331" s="753"/>
      <c r="F1331" s="753"/>
      <c r="G1331" s="753"/>
      <c r="H1331" s="753"/>
      <c r="I1331" s="753"/>
      <c r="J1331" s="753"/>
      <c r="K1331" s="753"/>
      <c r="L1331" s="753"/>
      <c r="M1331" s="753"/>
    </row>
    <row r="1332" spans="1:13" s="755" customFormat="1">
      <c r="A1332" s="816"/>
      <c r="B1332" s="753"/>
      <c r="C1332" s="753"/>
      <c r="D1332" s="753"/>
      <c r="E1332" s="753"/>
      <c r="F1332" s="753"/>
      <c r="G1332" s="753"/>
      <c r="H1332" s="753"/>
      <c r="I1332" s="753"/>
      <c r="J1332" s="753"/>
      <c r="K1332" s="753"/>
      <c r="L1332" s="753"/>
      <c r="M1332" s="753"/>
    </row>
    <row r="1333" spans="1:13" s="755" customFormat="1">
      <c r="A1333" s="816"/>
      <c r="B1333" s="753"/>
      <c r="C1333" s="753"/>
      <c r="D1333" s="753"/>
      <c r="E1333" s="753"/>
      <c r="F1333" s="753"/>
      <c r="G1333" s="753"/>
      <c r="H1333" s="753"/>
      <c r="I1333" s="753"/>
      <c r="J1333" s="753"/>
      <c r="K1333" s="753"/>
      <c r="L1333" s="753"/>
      <c r="M1333" s="753"/>
    </row>
    <row r="1334" spans="1:13" s="755" customFormat="1">
      <c r="A1334" s="816"/>
      <c r="B1334" s="753"/>
      <c r="C1334" s="753"/>
      <c r="D1334" s="753"/>
      <c r="E1334" s="753"/>
      <c r="F1334" s="753"/>
      <c r="G1334" s="753"/>
      <c r="H1334" s="753"/>
      <c r="I1334" s="753"/>
      <c r="J1334" s="753"/>
      <c r="K1334" s="753"/>
      <c r="L1334" s="753"/>
      <c r="M1334" s="753"/>
    </row>
    <row r="1335" spans="1:13" s="755" customFormat="1">
      <c r="A1335" s="816"/>
      <c r="B1335" s="753"/>
      <c r="C1335" s="753"/>
      <c r="D1335" s="753"/>
      <c r="E1335" s="753"/>
      <c r="F1335" s="753"/>
      <c r="G1335" s="753"/>
      <c r="H1335" s="753"/>
      <c r="I1335" s="753"/>
      <c r="J1335" s="753"/>
      <c r="K1335" s="753"/>
      <c r="L1335" s="753"/>
      <c r="M1335" s="753"/>
    </row>
    <row r="1336" spans="1:13" s="755" customFormat="1">
      <c r="A1336" s="816"/>
      <c r="B1336" s="753"/>
      <c r="C1336" s="753"/>
      <c r="D1336" s="753"/>
      <c r="E1336" s="753"/>
      <c r="F1336" s="753"/>
      <c r="G1336" s="753"/>
      <c r="H1336" s="753"/>
      <c r="I1336" s="753"/>
      <c r="J1336" s="753"/>
      <c r="K1336" s="753"/>
      <c r="L1336" s="753"/>
      <c r="M1336" s="753"/>
    </row>
    <row r="1337" spans="1:13" s="755" customFormat="1">
      <c r="A1337" s="816"/>
      <c r="B1337" s="753"/>
      <c r="C1337" s="753"/>
      <c r="D1337" s="753"/>
      <c r="E1337" s="753"/>
      <c r="F1337" s="753"/>
      <c r="G1337" s="753"/>
      <c r="H1337" s="753"/>
      <c r="I1337" s="753"/>
      <c r="J1337" s="753"/>
      <c r="K1337" s="753"/>
      <c r="L1337" s="753"/>
      <c r="M1337" s="753"/>
    </row>
    <row r="1338" spans="1:13" s="755" customFormat="1">
      <c r="A1338" s="816"/>
      <c r="B1338" s="753"/>
      <c r="C1338" s="753"/>
      <c r="D1338" s="753"/>
      <c r="E1338" s="753"/>
      <c r="F1338" s="753"/>
      <c r="G1338" s="753"/>
      <c r="H1338" s="753"/>
      <c r="I1338" s="753"/>
      <c r="J1338" s="753"/>
      <c r="K1338" s="753"/>
      <c r="L1338" s="753"/>
      <c r="M1338" s="753"/>
    </row>
    <row r="1339" spans="1:13" s="755" customFormat="1">
      <c r="A1339" s="816"/>
      <c r="B1339" s="753"/>
      <c r="C1339" s="753"/>
      <c r="D1339" s="753"/>
      <c r="E1339" s="753"/>
      <c r="F1339" s="753"/>
      <c r="G1339" s="753"/>
      <c r="H1339" s="753"/>
      <c r="I1339" s="753"/>
      <c r="J1339" s="753"/>
      <c r="K1339" s="753"/>
      <c r="L1339" s="753"/>
      <c r="M1339" s="753"/>
    </row>
    <row r="1340" spans="1:13" s="755" customFormat="1">
      <c r="A1340" s="816"/>
      <c r="B1340" s="753"/>
      <c r="C1340" s="753"/>
      <c r="D1340" s="753"/>
      <c r="E1340" s="753"/>
      <c r="F1340" s="753"/>
      <c r="G1340" s="753"/>
      <c r="H1340" s="753"/>
      <c r="I1340" s="753"/>
      <c r="J1340" s="753"/>
      <c r="K1340" s="753"/>
      <c r="L1340" s="753"/>
      <c r="M1340" s="753"/>
    </row>
    <row r="1341" spans="1:13" s="755" customFormat="1">
      <c r="A1341" s="816"/>
      <c r="B1341" s="753"/>
      <c r="C1341" s="753"/>
      <c r="D1341" s="753"/>
      <c r="E1341" s="753"/>
      <c r="F1341" s="753"/>
      <c r="G1341" s="753"/>
      <c r="H1341" s="753"/>
      <c r="I1341" s="753"/>
      <c r="J1341" s="753"/>
      <c r="K1341" s="753"/>
      <c r="L1341" s="753"/>
      <c r="M1341" s="753"/>
    </row>
    <row r="1342" spans="1:13" s="755" customFormat="1">
      <c r="A1342" s="816"/>
      <c r="B1342" s="753"/>
      <c r="C1342" s="753"/>
      <c r="D1342" s="753"/>
      <c r="E1342" s="753"/>
      <c r="F1342" s="753"/>
      <c r="G1342" s="753"/>
      <c r="H1342" s="753"/>
      <c r="I1342" s="753"/>
      <c r="J1342" s="753"/>
      <c r="K1342" s="753"/>
      <c r="L1342" s="753"/>
      <c r="M1342" s="753"/>
    </row>
    <row r="1343" spans="1:13" s="755" customFormat="1">
      <c r="A1343" s="816"/>
      <c r="B1343" s="753"/>
      <c r="C1343" s="753"/>
      <c r="D1343" s="753"/>
      <c r="E1343" s="753"/>
      <c r="F1343" s="753"/>
      <c r="G1343" s="753"/>
      <c r="H1343" s="753"/>
      <c r="I1343" s="753"/>
      <c r="J1343" s="753"/>
      <c r="K1343" s="753"/>
      <c r="L1343" s="753"/>
      <c r="M1343" s="753"/>
    </row>
    <row r="1344" spans="1:13" s="755" customFormat="1">
      <c r="A1344" s="816"/>
      <c r="B1344" s="753"/>
      <c r="C1344" s="753"/>
      <c r="D1344" s="753"/>
      <c r="E1344" s="753"/>
      <c r="F1344" s="753"/>
      <c r="G1344" s="753"/>
      <c r="H1344" s="753"/>
      <c r="I1344" s="753"/>
      <c r="J1344" s="753"/>
      <c r="K1344" s="753"/>
      <c r="L1344" s="753"/>
      <c r="M1344" s="753"/>
    </row>
    <row r="1345" spans="1:13" s="755" customFormat="1">
      <c r="A1345" s="816"/>
      <c r="B1345" s="753"/>
      <c r="C1345" s="753"/>
      <c r="D1345" s="753"/>
      <c r="E1345" s="753"/>
      <c r="F1345" s="753"/>
      <c r="G1345" s="753"/>
      <c r="H1345" s="753"/>
      <c r="I1345" s="753"/>
      <c r="J1345" s="753"/>
      <c r="K1345" s="753"/>
      <c r="L1345" s="753"/>
      <c r="M1345" s="753"/>
    </row>
    <row r="1346" spans="1:13" s="755" customFormat="1">
      <c r="A1346" s="816"/>
      <c r="B1346" s="753"/>
      <c r="C1346" s="753"/>
      <c r="D1346" s="753"/>
      <c r="E1346" s="753"/>
      <c r="F1346" s="753"/>
      <c r="G1346" s="753"/>
      <c r="H1346" s="753"/>
      <c r="I1346" s="753"/>
      <c r="J1346" s="753"/>
      <c r="K1346" s="753"/>
      <c r="L1346" s="753"/>
      <c r="M1346" s="753"/>
    </row>
    <row r="1347" spans="1:13" s="755" customFormat="1">
      <c r="A1347" s="816"/>
      <c r="B1347" s="753"/>
      <c r="C1347" s="753"/>
      <c r="D1347" s="753"/>
      <c r="E1347" s="753"/>
      <c r="F1347" s="753"/>
      <c r="G1347" s="753"/>
      <c r="H1347" s="753"/>
      <c r="I1347" s="753"/>
      <c r="J1347" s="753"/>
      <c r="K1347" s="753"/>
      <c r="L1347" s="753"/>
      <c r="M1347" s="753"/>
    </row>
    <row r="1348" spans="1:13" s="755" customFormat="1">
      <c r="A1348" s="816"/>
      <c r="B1348" s="753"/>
      <c r="C1348" s="753"/>
      <c r="D1348" s="753"/>
      <c r="E1348" s="753"/>
      <c r="F1348" s="753"/>
      <c r="G1348" s="753"/>
      <c r="H1348" s="753"/>
      <c r="I1348" s="753"/>
      <c r="J1348" s="753"/>
      <c r="K1348" s="753"/>
      <c r="L1348" s="753"/>
      <c r="M1348" s="753"/>
    </row>
    <row r="1349" spans="1:13" s="755" customFormat="1">
      <c r="A1349" s="816"/>
      <c r="B1349" s="753"/>
      <c r="C1349" s="753"/>
      <c r="D1349" s="753"/>
      <c r="E1349" s="753"/>
      <c r="F1349" s="753"/>
      <c r="G1349" s="753"/>
      <c r="H1349" s="753"/>
      <c r="I1349" s="753"/>
      <c r="J1349" s="753"/>
      <c r="K1349" s="753"/>
      <c r="L1349" s="753"/>
      <c r="M1349" s="753"/>
    </row>
    <row r="1350" spans="1:13" s="755" customFormat="1">
      <c r="A1350" s="816"/>
      <c r="B1350" s="753"/>
      <c r="C1350" s="753"/>
      <c r="D1350" s="753"/>
      <c r="E1350" s="753"/>
      <c r="F1350" s="753"/>
      <c r="G1350" s="753"/>
      <c r="H1350" s="753"/>
      <c r="I1350" s="753"/>
      <c r="J1350" s="753"/>
      <c r="K1350" s="753"/>
      <c r="L1350" s="753"/>
      <c r="M1350" s="753"/>
    </row>
    <row r="1351" spans="1:13" s="755" customFormat="1">
      <c r="A1351" s="816"/>
      <c r="B1351" s="753"/>
      <c r="C1351" s="753"/>
      <c r="D1351" s="753"/>
      <c r="E1351" s="753"/>
      <c r="F1351" s="753"/>
      <c r="G1351" s="753"/>
      <c r="H1351" s="753"/>
      <c r="I1351" s="753"/>
      <c r="J1351" s="753"/>
      <c r="K1351" s="753"/>
      <c r="L1351" s="753"/>
      <c r="M1351" s="753"/>
    </row>
    <row r="1352" spans="1:13" s="755" customFormat="1">
      <c r="A1352" s="816"/>
      <c r="B1352" s="753"/>
      <c r="C1352" s="753"/>
      <c r="D1352" s="753"/>
      <c r="E1352" s="753"/>
      <c r="F1352" s="753"/>
      <c r="G1352" s="753"/>
      <c r="H1352" s="753"/>
      <c r="I1352" s="753"/>
      <c r="J1352" s="753"/>
      <c r="K1352" s="753"/>
      <c r="L1352" s="753"/>
      <c r="M1352" s="753"/>
    </row>
    <row r="1353" spans="1:13" s="755" customFormat="1">
      <c r="A1353" s="816"/>
      <c r="B1353" s="753"/>
      <c r="C1353" s="753"/>
      <c r="D1353" s="753"/>
      <c r="E1353" s="753"/>
      <c r="F1353" s="753"/>
      <c r="G1353" s="753"/>
      <c r="H1353" s="753"/>
      <c r="I1353" s="753"/>
      <c r="J1353" s="753"/>
      <c r="K1353" s="753"/>
      <c r="L1353" s="753"/>
      <c r="M1353" s="753"/>
    </row>
    <row r="1354" spans="1:13" s="755" customFormat="1">
      <c r="A1354" s="816"/>
      <c r="B1354" s="753"/>
      <c r="C1354" s="753"/>
      <c r="D1354" s="753"/>
      <c r="E1354" s="753"/>
      <c r="F1354" s="753"/>
      <c r="G1354" s="753"/>
      <c r="H1354" s="753"/>
      <c r="I1354" s="753"/>
      <c r="J1354" s="753"/>
      <c r="K1354" s="753"/>
      <c r="L1354" s="753"/>
      <c r="M1354" s="753"/>
    </row>
    <row r="1355" spans="1:13" s="755" customFormat="1">
      <c r="A1355" s="816"/>
      <c r="B1355" s="753"/>
      <c r="C1355" s="753"/>
      <c r="D1355" s="753"/>
      <c r="E1355" s="753"/>
      <c r="F1355" s="753"/>
      <c r="G1355" s="753"/>
      <c r="H1355" s="753"/>
      <c r="I1355" s="753"/>
      <c r="J1355" s="753"/>
      <c r="K1355" s="753"/>
      <c r="L1355" s="753"/>
      <c r="M1355" s="753"/>
    </row>
    <row r="1356" spans="1:13" s="755" customFormat="1">
      <c r="A1356" s="816"/>
      <c r="B1356" s="753"/>
      <c r="C1356" s="753"/>
      <c r="D1356" s="753"/>
      <c r="E1356" s="753"/>
      <c r="F1356" s="753"/>
      <c r="G1356" s="753"/>
      <c r="H1356" s="753"/>
      <c r="I1356" s="753"/>
      <c r="J1356" s="753"/>
      <c r="K1356" s="753"/>
      <c r="L1356" s="753"/>
      <c r="M1356" s="753"/>
    </row>
    <row r="1357" spans="1:13" s="755" customFormat="1">
      <c r="A1357" s="816"/>
      <c r="B1357" s="753"/>
      <c r="C1357" s="753"/>
      <c r="D1357" s="753"/>
      <c r="E1357" s="753"/>
      <c r="F1357" s="753"/>
      <c r="G1357" s="753"/>
      <c r="H1357" s="753"/>
      <c r="I1357" s="753"/>
      <c r="J1357" s="753"/>
      <c r="K1357" s="753"/>
      <c r="L1357" s="753"/>
      <c r="M1357" s="753"/>
    </row>
    <row r="1358" spans="1:13" s="755" customFormat="1">
      <c r="A1358" s="816"/>
      <c r="B1358" s="753"/>
      <c r="C1358" s="753"/>
      <c r="D1358" s="753"/>
      <c r="E1358" s="753"/>
      <c r="F1358" s="753"/>
      <c r="G1358" s="753"/>
      <c r="H1358" s="753"/>
      <c r="I1358" s="753"/>
      <c r="J1358" s="753"/>
      <c r="K1358" s="753"/>
      <c r="L1358" s="753"/>
      <c r="M1358" s="753"/>
    </row>
    <row r="1359" spans="1:13" s="755" customFormat="1">
      <c r="A1359" s="816"/>
      <c r="B1359" s="753"/>
      <c r="C1359" s="753"/>
      <c r="D1359" s="753"/>
      <c r="E1359" s="753"/>
      <c r="F1359" s="753"/>
      <c r="G1359" s="753"/>
      <c r="H1359" s="753"/>
      <c r="I1359" s="753"/>
      <c r="J1359" s="753"/>
      <c r="K1359" s="753"/>
      <c r="L1359" s="753"/>
      <c r="M1359" s="753"/>
    </row>
    <row r="1360" spans="1:13" s="755" customFormat="1">
      <c r="A1360" s="816"/>
      <c r="B1360" s="753"/>
      <c r="C1360" s="753"/>
      <c r="D1360" s="753"/>
      <c r="E1360" s="753"/>
      <c r="F1360" s="753"/>
      <c r="G1360" s="753"/>
      <c r="H1360" s="753"/>
      <c r="I1360" s="753"/>
      <c r="J1360" s="753"/>
      <c r="K1360" s="753"/>
      <c r="L1360" s="753"/>
      <c r="M1360" s="753"/>
    </row>
    <row r="1361" spans="1:13" s="755" customFormat="1">
      <c r="A1361" s="816"/>
      <c r="B1361" s="753"/>
      <c r="C1361" s="753"/>
      <c r="D1361" s="753"/>
      <c r="E1361" s="753"/>
      <c r="F1361" s="753"/>
      <c r="G1361" s="753"/>
      <c r="H1361" s="753"/>
      <c r="I1361" s="753"/>
      <c r="J1361" s="753"/>
      <c r="K1361" s="753"/>
      <c r="L1361" s="753"/>
      <c r="M1361" s="753"/>
    </row>
    <row r="1362" spans="1:13" s="755" customFormat="1">
      <c r="A1362" s="816"/>
      <c r="B1362" s="753"/>
      <c r="C1362" s="753"/>
      <c r="D1362" s="753"/>
      <c r="E1362" s="753"/>
      <c r="F1362" s="753"/>
      <c r="G1362" s="753"/>
      <c r="H1362" s="753"/>
      <c r="I1362" s="753"/>
      <c r="J1362" s="753"/>
      <c r="K1362" s="753"/>
      <c r="L1362" s="753"/>
      <c r="M1362" s="753"/>
    </row>
    <row r="1363" spans="1:13" s="755" customFormat="1">
      <c r="A1363" s="816"/>
      <c r="B1363" s="753"/>
      <c r="C1363" s="753"/>
      <c r="D1363" s="753"/>
      <c r="E1363" s="753"/>
      <c r="F1363" s="753"/>
      <c r="G1363" s="753"/>
      <c r="H1363" s="753"/>
      <c r="I1363" s="753"/>
      <c r="J1363" s="753"/>
      <c r="K1363" s="753"/>
      <c r="L1363" s="753"/>
      <c r="M1363" s="753"/>
    </row>
    <row r="1364" spans="1:13" s="755" customFormat="1">
      <c r="A1364" s="816"/>
      <c r="B1364" s="753"/>
      <c r="C1364" s="753"/>
      <c r="D1364" s="753"/>
      <c r="E1364" s="753"/>
      <c r="F1364" s="753"/>
      <c r="G1364" s="753"/>
      <c r="H1364" s="753"/>
      <c r="I1364" s="753"/>
      <c r="J1364" s="753"/>
      <c r="K1364" s="753"/>
      <c r="L1364" s="753"/>
      <c r="M1364" s="753"/>
    </row>
    <row r="1365" spans="1:13" s="755" customFormat="1">
      <c r="A1365" s="816"/>
      <c r="B1365" s="753"/>
      <c r="C1365" s="753"/>
      <c r="D1365" s="753"/>
      <c r="E1365" s="753"/>
      <c r="F1365" s="753"/>
      <c r="G1365" s="753"/>
      <c r="H1365" s="753"/>
      <c r="I1365" s="753"/>
      <c r="J1365" s="753"/>
      <c r="K1365" s="753"/>
      <c r="L1365" s="753"/>
      <c r="M1365" s="753"/>
    </row>
    <row r="1366" spans="1:13" s="755" customFormat="1">
      <c r="A1366" s="816"/>
      <c r="B1366" s="753"/>
      <c r="C1366" s="753"/>
      <c r="D1366" s="753"/>
      <c r="E1366" s="753"/>
      <c r="F1366" s="753"/>
      <c r="G1366" s="753"/>
      <c r="H1366" s="753"/>
      <c r="I1366" s="753"/>
      <c r="J1366" s="753"/>
      <c r="K1366" s="753"/>
      <c r="L1366" s="753"/>
      <c r="M1366" s="753"/>
    </row>
    <row r="1367" spans="1:13" s="755" customFormat="1">
      <c r="A1367" s="816"/>
      <c r="B1367" s="753"/>
      <c r="C1367" s="753"/>
      <c r="D1367" s="753"/>
      <c r="E1367" s="753"/>
      <c r="F1367" s="753"/>
      <c r="G1367" s="753"/>
      <c r="H1367" s="753"/>
      <c r="I1367" s="753"/>
      <c r="J1367" s="753"/>
      <c r="K1367" s="753"/>
      <c r="L1367" s="753"/>
      <c r="M1367" s="753"/>
    </row>
    <row r="1368" spans="1:13" s="755" customFormat="1">
      <c r="A1368" s="816"/>
      <c r="B1368" s="753"/>
      <c r="C1368" s="753"/>
      <c r="D1368" s="753"/>
      <c r="E1368" s="753"/>
      <c r="F1368" s="753"/>
      <c r="G1368" s="753"/>
      <c r="H1368" s="753"/>
      <c r="I1368" s="753"/>
      <c r="J1368" s="753"/>
      <c r="K1368" s="753"/>
      <c r="L1368" s="753"/>
      <c r="M1368" s="753"/>
    </row>
    <row r="1369" spans="1:13" s="755" customFormat="1">
      <c r="A1369" s="816"/>
      <c r="B1369" s="753"/>
      <c r="C1369" s="753"/>
      <c r="D1369" s="753"/>
      <c r="E1369" s="753"/>
      <c r="F1369" s="753"/>
      <c r="G1369" s="753"/>
      <c r="H1369" s="753"/>
      <c r="I1369" s="753"/>
      <c r="J1369" s="753"/>
      <c r="K1369" s="753"/>
      <c r="L1369" s="753"/>
      <c r="M1369" s="753"/>
    </row>
    <row r="1370" spans="1:13" s="755" customFormat="1">
      <c r="A1370" s="816"/>
      <c r="B1370" s="753"/>
      <c r="C1370" s="753"/>
      <c r="D1370" s="753"/>
      <c r="E1370" s="753"/>
      <c r="F1370" s="753"/>
      <c r="G1370" s="753"/>
      <c r="H1370" s="753"/>
      <c r="I1370" s="753"/>
      <c r="J1370" s="753"/>
      <c r="K1370" s="753"/>
      <c r="L1370" s="753"/>
      <c r="M1370" s="753"/>
    </row>
    <row r="1371" spans="1:13" s="755" customFormat="1">
      <c r="A1371" s="816"/>
      <c r="B1371" s="753"/>
      <c r="C1371" s="753"/>
      <c r="D1371" s="753"/>
      <c r="E1371" s="753"/>
      <c r="F1371" s="753"/>
      <c r="G1371" s="753"/>
      <c r="H1371" s="753"/>
      <c r="I1371" s="753"/>
      <c r="J1371" s="753"/>
      <c r="K1371" s="753"/>
      <c r="L1371" s="753"/>
      <c r="M1371" s="753"/>
    </row>
    <row r="1372" spans="1:13" s="755" customFormat="1">
      <c r="A1372" s="816"/>
      <c r="B1372" s="753"/>
      <c r="C1372" s="753"/>
      <c r="D1372" s="753"/>
      <c r="E1372" s="753"/>
      <c r="F1372" s="753"/>
      <c r="G1372" s="753"/>
      <c r="H1372" s="753"/>
      <c r="I1372" s="753"/>
      <c r="J1372" s="753"/>
      <c r="K1372" s="753"/>
      <c r="L1372" s="753"/>
      <c r="M1372" s="753"/>
    </row>
    <row r="1373" spans="1:13" s="755" customFormat="1">
      <c r="A1373" s="816"/>
      <c r="B1373" s="753"/>
      <c r="C1373" s="753"/>
      <c r="D1373" s="753"/>
      <c r="E1373" s="753"/>
      <c r="F1373" s="753"/>
      <c r="G1373" s="753"/>
      <c r="H1373" s="753"/>
      <c r="I1373" s="753"/>
      <c r="J1373" s="753"/>
      <c r="K1373" s="753"/>
      <c r="L1373" s="753"/>
      <c r="M1373" s="753"/>
    </row>
    <row r="1374" spans="1:13" s="755" customFormat="1">
      <c r="A1374" s="816"/>
      <c r="B1374" s="753"/>
      <c r="C1374" s="753"/>
      <c r="D1374" s="753"/>
      <c r="E1374" s="753"/>
      <c r="F1374" s="753"/>
      <c r="G1374" s="753"/>
      <c r="H1374" s="753"/>
      <c r="I1374" s="753"/>
      <c r="J1374" s="753"/>
      <c r="K1374" s="753"/>
      <c r="L1374" s="753"/>
      <c r="M1374" s="753"/>
    </row>
    <row r="1375" spans="1:13" s="755" customFormat="1">
      <c r="A1375" s="816"/>
      <c r="B1375" s="753"/>
      <c r="C1375" s="753"/>
      <c r="D1375" s="753"/>
      <c r="E1375" s="753"/>
      <c r="F1375" s="753"/>
      <c r="G1375" s="753"/>
      <c r="H1375" s="753"/>
      <c r="I1375" s="753"/>
      <c r="J1375" s="753"/>
      <c r="K1375" s="753"/>
      <c r="L1375" s="753"/>
      <c r="M1375" s="753"/>
    </row>
    <row r="1376" spans="1:13" s="755" customFormat="1">
      <c r="A1376" s="816"/>
      <c r="B1376" s="753"/>
      <c r="C1376" s="753"/>
      <c r="D1376" s="753"/>
      <c r="E1376" s="753"/>
      <c r="F1376" s="753"/>
      <c r="G1376" s="753"/>
      <c r="H1376" s="753"/>
      <c r="I1376" s="753"/>
      <c r="J1376" s="753"/>
      <c r="K1376" s="753"/>
      <c r="L1376" s="753"/>
      <c r="M1376" s="753"/>
    </row>
    <row r="1377" spans="1:13" s="755" customFormat="1">
      <c r="A1377" s="816"/>
      <c r="B1377" s="753"/>
      <c r="C1377" s="753"/>
      <c r="D1377" s="753"/>
      <c r="E1377" s="753"/>
      <c r="F1377" s="753"/>
      <c r="G1377" s="753"/>
      <c r="H1377" s="753"/>
      <c r="I1377" s="753"/>
      <c r="J1377" s="753"/>
      <c r="K1377" s="753"/>
      <c r="L1377" s="753"/>
      <c r="M1377" s="753"/>
    </row>
    <row r="1378" spans="1:13" s="755" customFormat="1">
      <c r="A1378" s="816"/>
      <c r="B1378" s="753"/>
      <c r="C1378" s="753"/>
      <c r="D1378" s="753"/>
      <c r="E1378" s="753"/>
      <c r="F1378" s="753"/>
      <c r="G1378" s="753"/>
      <c r="H1378" s="753"/>
      <c r="I1378" s="753"/>
      <c r="J1378" s="753"/>
      <c r="K1378" s="753"/>
      <c r="L1378" s="753"/>
      <c r="M1378" s="753"/>
    </row>
    <row r="1379" spans="1:13" s="755" customFormat="1">
      <c r="A1379" s="816"/>
      <c r="B1379" s="753"/>
      <c r="C1379" s="753"/>
      <c r="D1379" s="753"/>
      <c r="E1379" s="753"/>
      <c r="F1379" s="753"/>
      <c r="G1379" s="753"/>
      <c r="H1379" s="753"/>
      <c r="I1379" s="753"/>
      <c r="J1379" s="753"/>
      <c r="K1379" s="753"/>
      <c r="L1379" s="753"/>
      <c r="M1379" s="753"/>
    </row>
    <row r="1380" spans="1:13" s="755" customFormat="1">
      <c r="A1380" s="816"/>
      <c r="B1380" s="753"/>
      <c r="C1380" s="753"/>
      <c r="D1380" s="753"/>
      <c r="E1380" s="753"/>
      <c r="F1380" s="753"/>
      <c r="G1380" s="753"/>
      <c r="H1380" s="753"/>
      <c r="I1380" s="753"/>
      <c r="J1380" s="753"/>
      <c r="K1380" s="753"/>
      <c r="L1380" s="753"/>
      <c r="M1380" s="753"/>
    </row>
    <row r="1381" spans="1:13" s="755" customFormat="1">
      <c r="A1381" s="816"/>
      <c r="B1381" s="753"/>
      <c r="C1381" s="753"/>
      <c r="D1381" s="753"/>
      <c r="E1381" s="753"/>
      <c r="F1381" s="753"/>
      <c r="G1381" s="753"/>
      <c r="H1381" s="753"/>
      <c r="I1381" s="753"/>
      <c r="J1381" s="753"/>
      <c r="K1381" s="753"/>
      <c r="L1381" s="753"/>
      <c r="M1381" s="753"/>
    </row>
    <row r="1382" spans="1:13" s="755" customFormat="1">
      <c r="A1382" s="816"/>
      <c r="B1382" s="753"/>
      <c r="C1382" s="753"/>
      <c r="D1382" s="753"/>
      <c r="E1382" s="753"/>
      <c r="F1382" s="753"/>
      <c r="G1382" s="753"/>
      <c r="H1382" s="753"/>
      <c r="I1382" s="753"/>
      <c r="J1382" s="753"/>
      <c r="K1382" s="753"/>
      <c r="L1382" s="753"/>
      <c r="M1382" s="753"/>
    </row>
    <row r="1383" spans="1:13" s="755" customFormat="1">
      <c r="A1383" s="816"/>
      <c r="B1383" s="753"/>
      <c r="C1383" s="753"/>
      <c r="D1383" s="753"/>
      <c r="E1383" s="753"/>
      <c r="F1383" s="753"/>
      <c r="G1383" s="753"/>
      <c r="H1383" s="753"/>
      <c r="I1383" s="753"/>
      <c r="J1383" s="753"/>
      <c r="K1383" s="753"/>
      <c r="L1383" s="753"/>
      <c r="M1383" s="753"/>
    </row>
    <row r="1384" spans="1:13" s="755" customFormat="1">
      <c r="A1384" s="816"/>
      <c r="B1384" s="753"/>
      <c r="C1384" s="753"/>
      <c r="D1384" s="753"/>
      <c r="E1384" s="753"/>
      <c r="F1384" s="753"/>
      <c r="G1384" s="753"/>
      <c r="H1384" s="753"/>
      <c r="I1384" s="753"/>
      <c r="J1384" s="753"/>
      <c r="K1384" s="753"/>
      <c r="L1384" s="753"/>
      <c r="M1384" s="753"/>
    </row>
    <row r="1385" spans="1:13" s="755" customFormat="1">
      <c r="A1385" s="816"/>
      <c r="B1385" s="753"/>
      <c r="C1385" s="753"/>
      <c r="D1385" s="753"/>
      <c r="E1385" s="753"/>
      <c r="F1385" s="753"/>
      <c r="G1385" s="753"/>
      <c r="H1385" s="753"/>
      <c r="I1385" s="753"/>
      <c r="J1385" s="753"/>
      <c r="K1385" s="753"/>
      <c r="L1385" s="753"/>
      <c r="M1385" s="753"/>
    </row>
    <row r="1386" spans="1:13" s="755" customFormat="1">
      <c r="A1386" s="816"/>
      <c r="B1386" s="753"/>
      <c r="C1386" s="753"/>
      <c r="D1386" s="753"/>
      <c r="E1386" s="753"/>
      <c r="F1386" s="753"/>
      <c r="G1386" s="753"/>
      <c r="H1386" s="753"/>
      <c r="I1386" s="753"/>
      <c r="J1386" s="753"/>
      <c r="K1386" s="753"/>
      <c r="L1386" s="753"/>
      <c r="M1386" s="753"/>
    </row>
    <row r="1387" spans="1:13" s="755" customFormat="1">
      <c r="A1387" s="816"/>
      <c r="B1387" s="753"/>
      <c r="C1387" s="753"/>
      <c r="D1387" s="753"/>
      <c r="E1387" s="753"/>
      <c r="F1387" s="753"/>
      <c r="G1387" s="753"/>
      <c r="H1387" s="753"/>
      <c r="I1387" s="753"/>
      <c r="J1387" s="753"/>
      <c r="K1387" s="753"/>
      <c r="L1387" s="753"/>
      <c r="M1387" s="753"/>
    </row>
    <row r="1388" spans="1:13" s="755" customFormat="1">
      <c r="A1388" s="816"/>
      <c r="B1388" s="753"/>
      <c r="C1388" s="753"/>
      <c r="D1388" s="753"/>
      <c r="E1388" s="753"/>
      <c r="F1388" s="753"/>
      <c r="G1388" s="753"/>
      <c r="H1388" s="753"/>
      <c r="I1388" s="753"/>
      <c r="J1388" s="753"/>
      <c r="K1388" s="753"/>
      <c r="L1388" s="753"/>
      <c r="M1388" s="753"/>
    </row>
    <row r="1389" spans="1:13" s="755" customFormat="1">
      <c r="A1389" s="816"/>
      <c r="B1389" s="753"/>
      <c r="C1389" s="753"/>
      <c r="D1389" s="753"/>
      <c r="E1389" s="753"/>
      <c r="F1389" s="753"/>
      <c r="G1389" s="753"/>
      <c r="H1389" s="753"/>
      <c r="I1389" s="753"/>
      <c r="J1389" s="753"/>
      <c r="K1389" s="753"/>
      <c r="L1389" s="753"/>
      <c r="M1389" s="753"/>
    </row>
    <row r="1390" spans="1:13" s="755" customFormat="1">
      <c r="A1390" s="816"/>
      <c r="B1390" s="753"/>
      <c r="C1390" s="753"/>
      <c r="D1390" s="753"/>
      <c r="E1390" s="753"/>
      <c r="F1390" s="753"/>
      <c r="G1390" s="753"/>
      <c r="H1390" s="753"/>
      <c r="I1390" s="753"/>
      <c r="J1390" s="753"/>
      <c r="K1390" s="753"/>
      <c r="L1390" s="753"/>
      <c r="M1390" s="753"/>
    </row>
    <row r="1391" spans="1:13" s="755" customFormat="1">
      <c r="A1391" s="816"/>
      <c r="B1391" s="753"/>
      <c r="C1391" s="753"/>
      <c r="D1391" s="753"/>
      <c r="E1391" s="753"/>
      <c r="F1391" s="753"/>
      <c r="G1391" s="753"/>
      <c r="H1391" s="753"/>
      <c r="I1391" s="753"/>
      <c r="J1391" s="753"/>
      <c r="K1391" s="753"/>
      <c r="L1391" s="753"/>
      <c r="M1391" s="753"/>
    </row>
    <row r="1392" spans="1:13" s="755" customFormat="1">
      <c r="A1392" s="816"/>
      <c r="B1392" s="753"/>
      <c r="C1392" s="753"/>
      <c r="D1392" s="753"/>
      <c r="E1392" s="753"/>
      <c r="F1392" s="753"/>
      <c r="G1392" s="753"/>
      <c r="H1392" s="753"/>
      <c r="I1392" s="753"/>
      <c r="J1392" s="753"/>
      <c r="K1392" s="753"/>
      <c r="L1392" s="753"/>
      <c r="M1392" s="753"/>
    </row>
    <row r="1393" spans="1:13" s="755" customFormat="1">
      <c r="A1393" s="816"/>
      <c r="B1393" s="753"/>
      <c r="C1393" s="753"/>
      <c r="D1393" s="753"/>
      <c r="E1393" s="753"/>
      <c r="F1393" s="753"/>
      <c r="G1393" s="753"/>
      <c r="H1393" s="753"/>
      <c r="I1393" s="753"/>
      <c r="J1393" s="753"/>
      <c r="K1393" s="753"/>
      <c r="L1393" s="753"/>
      <c r="M1393" s="753"/>
    </row>
    <row r="1394" spans="1:13" s="755" customFormat="1">
      <c r="A1394" s="816"/>
      <c r="B1394" s="753"/>
      <c r="C1394" s="753"/>
      <c r="D1394" s="753"/>
      <c r="E1394" s="753"/>
      <c r="F1394" s="753"/>
      <c r="G1394" s="753"/>
      <c r="H1394" s="753"/>
      <c r="I1394" s="753"/>
      <c r="J1394" s="753"/>
      <c r="K1394" s="753"/>
      <c r="L1394" s="753"/>
      <c r="M1394" s="753"/>
    </row>
    <row r="1395" spans="1:13" s="755" customFormat="1">
      <c r="A1395" s="816"/>
      <c r="B1395" s="753"/>
      <c r="C1395" s="753"/>
      <c r="D1395" s="753"/>
      <c r="E1395" s="753"/>
      <c r="F1395" s="753"/>
      <c r="G1395" s="753"/>
      <c r="H1395" s="753"/>
      <c r="I1395" s="753"/>
      <c r="J1395" s="753"/>
      <c r="K1395" s="753"/>
      <c r="L1395" s="753"/>
      <c r="M1395" s="753"/>
    </row>
    <row r="1396" spans="1:13" s="755" customFormat="1">
      <c r="A1396" s="816"/>
      <c r="B1396" s="753"/>
      <c r="C1396" s="753"/>
      <c r="D1396" s="753"/>
      <c r="E1396" s="753"/>
      <c r="F1396" s="753"/>
      <c r="G1396" s="753"/>
      <c r="H1396" s="753"/>
      <c r="I1396" s="753"/>
      <c r="J1396" s="753"/>
      <c r="K1396" s="753"/>
      <c r="L1396" s="753"/>
      <c r="M1396" s="753"/>
    </row>
    <row r="1397" spans="1:13" s="755" customFormat="1">
      <c r="A1397" s="816"/>
      <c r="B1397" s="753"/>
      <c r="C1397" s="753"/>
      <c r="D1397" s="753"/>
      <c r="E1397" s="753"/>
      <c r="F1397" s="753"/>
      <c r="G1397" s="753"/>
      <c r="H1397" s="753"/>
      <c r="I1397" s="753"/>
      <c r="J1397" s="753"/>
      <c r="K1397" s="753"/>
      <c r="L1397" s="753"/>
      <c r="M1397" s="753"/>
    </row>
    <row r="1398" spans="1:13" s="755" customFormat="1">
      <c r="A1398" s="816"/>
      <c r="B1398" s="753"/>
      <c r="C1398" s="753"/>
      <c r="D1398" s="753"/>
      <c r="E1398" s="753"/>
      <c r="F1398" s="753"/>
      <c r="G1398" s="753"/>
      <c r="H1398" s="753"/>
      <c r="I1398" s="753"/>
      <c r="J1398" s="753"/>
      <c r="K1398" s="753"/>
      <c r="L1398" s="753"/>
      <c r="M1398" s="753"/>
    </row>
    <row r="1399" spans="1:13" s="755" customFormat="1">
      <c r="A1399" s="816"/>
      <c r="B1399" s="753"/>
      <c r="C1399" s="753"/>
      <c r="D1399" s="753"/>
      <c r="E1399" s="753"/>
      <c r="F1399" s="753"/>
      <c r="G1399" s="753"/>
      <c r="H1399" s="753"/>
      <c r="I1399" s="753"/>
      <c r="J1399" s="753"/>
      <c r="K1399" s="753"/>
      <c r="L1399" s="753"/>
      <c r="M1399" s="753"/>
    </row>
    <row r="1400" spans="1:13" s="755" customFormat="1">
      <c r="A1400" s="816"/>
      <c r="B1400" s="753"/>
      <c r="C1400" s="753"/>
      <c r="D1400" s="753"/>
      <c r="E1400" s="753"/>
      <c r="F1400" s="753"/>
      <c r="G1400" s="753"/>
      <c r="H1400" s="753"/>
      <c r="I1400" s="753"/>
      <c r="J1400" s="753"/>
      <c r="K1400" s="753"/>
      <c r="L1400" s="753"/>
      <c r="M1400" s="753"/>
    </row>
    <row r="1401" spans="1:13" s="755" customFormat="1">
      <c r="A1401" s="816"/>
      <c r="B1401" s="753"/>
      <c r="C1401" s="753"/>
      <c r="D1401" s="753"/>
      <c r="E1401" s="753"/>
      <c r="F1401" s="753"/>
      <c r="G1401" s="753"/>
      <c r="H1401" s="753"/>
      <c r="I1401" s="753"/>
      <c r="J1401" s="753"/>
      <c r="K1401" s="753"/>
      <c r="L1401" s="753"/>
      <c r="M1401" s="753"/>
    </row>
    <row r="1402" spans="1:13" s="755" customFormat="1">
      <c r="A1402" s="816"/>
      <c r="B1402" s="753"/>
      <c r="C1402" s="753"/>
      <c r="D1402" s="753"/>
      <c r="E1402" s="753"/>
      <c r="F1402" s="753"/>
      <c r="G1402" s="753"/>
      <c r="H1402" s="753"/>
      <c r="I1402" s="753"/>
      <c r="J1402" s="753"/>
      <c r="K1402" s="753"/>
      <c r="L1402" s="753"/>
      <c r="M1402" s="753"/>
    </row>
    <row r="1403" spans="1:13" s="755" customFormat="1">
      <c r="A1403" s="816"/>
      <c r="B1403" s="753"/>
      <c r="C1403" s="753"/>
      <c r="D1403" s="753"/>
      <c r="E1403" s="753"/>
      <c r="F1403" s="753"/>
      <c r="G1403" s="753"/>
      <c r="H1403" s="753"/>
      <c r="I1403" s="753"/>
      <c r="J1403" s="753"/>
      <c r="K1403" s="753"/>
      <c r="L1403" s="753"/>
      <c r="M1403" s="753"/>
    </row>
    <row r="1404" spans="1:13" s="755" customFormat="1">
      <c r="A1404" s="816"/>
      <c r="B1404" s="753"/>
      <c r="C1404" s="753"/>
      <c r="D1404" s="753"/>
      <c r="E1404" s="753"/>
      <c r="F1404" s="753"/>
      <c r="G1404" s="753"/>
      <c r="H1404" s="753"/>
      <c r="I1404" s="753"/>
      <c r="J1404" s="753"/>
      <c r="K1404" s="753"/>
      <c r="L1404" s="753"/>
      <c r="M1404" s="753"/>
    </row>
    <row r="1405" spans="1:13" s="755" customFormat="1">
      <c r="A1405" s="816"/>
      <c r="B1405" s="753"/>
      <c r="C1405" s="753"/>
      <c r="D1405" s="753"/>
      <c r="E1405" s="753"/>
      <c r="F1405" s="753"/>
      <c r="G1405" s="753"/>
      <c r="H1405" s="753"/>
      <c r="I1405" s="753"/>
      <c r="J1405" s="753"/>
      <c r="K1405" s="753"/>
      <c r="L1405" s="753"/>
      <c r="M1405" s="753"/>
    </row>
    <row r="1406" spans="1:13" s="755" customFormat="1">
      <c r="A1406" s="816"/>
      <c r="B1406" s="753"/>
      <c r="C1406" s="753"/>
      <c r="D1406" s="753"/>
      <c r="E1406" s="753"/>
      <c r="F1406" s="753"/>
      <c r="G1406" s="753"/>
      <c r="H1406" s="753"/>
      <c r="I1406" s="753"/>
      <c r="J1406" s="753"/>
      <c r="K1406" s="753"/>
      <c r="L1406" s="753"/>
      <c r="M1406" s="753"/>
    </row>
    <row r="1407" spans="1:13" s="755" customFormat="1">
      <c r="A1407" s="816"/>
      <c r="B1407" s="753"/>
      <c r="C1407" s="753"/>
      <c r="D1407" s="753"/>
      <c r="E1407" s="753"/>
      <c r="F1407" s="753"/>
      <c r="G1407" s="753"/>
      <c r="H1407" s="753"/>
      <c r="I1407" s="753"/>
      <c r="J1407" s="753"/>
      <c r="K1407" s="753"/>
      <c r="L1407" s="753"/>
      <c r="M1407" s="753"/>
    </row>
    <row r="1408" spans="1:13" s="755" customFormat="1">
      <c r="A1408" s="816"/>
      <c r="B1408" s="753"/>
      <c r="C1408" s="753"/>
      <c r="D1408" s="753"/>
      <c r="E1408" s="753"/>
      <c r="F1408" s="753"/>
      <c r="G1408" s="753"/>
      <c r="H1408" s="753"/>
      <c r="I1408" s="753"/>
      <c r="J1408" s="753"/>
      <c r="K1408" s="753"/>
      <c r="L1408" s="753"/>
      <c r="M1408" s="753"/>
    </row>
    <row r="1409" spans="1:13" s="755" customFormat="1">
      <c r="A1409" s="816"/>
      <c r="B1409" s="753"/>
      <c r="C1409" s="753"/>
      <c r="D1409" s="753"/>
      <c r="E1409" s="753"/>
      <c r="F1409" s="753"/>
      <c r="G1409" s="753"/>
      <c r="H1409" s="753"/>
      <c r="I1409" s="753"/>
      <c r="J1409" s="753"/>
      <c r="K1409" s="753"/>
      <c r="L1409" s="753"/>
      <c r="M1409" s="753"/>
    </row>
    <row r="1410" spans="1:13" s="755" customFormat="1">
      <c r="A1410" s="816"/>
      <c r="B1410" s="753"/>
      <c r="C1410" s="753"/>
      <c r="D1410" s="753"/>
      <c r="E1410" s="753"/>
      <c r="F1410" s="753"/>
      <c r="G1410" s="753"/>
      <c r="H1410" s="753"/>
      <c r="I1410" s="753"/>
      <c r="J1410" s="753"/>
      <c r="K1410" s="753"/>
      <c r="L1410" s="753"/>
      <c r="M1410" s="753"/>
    </row>
    <row r="1411" spans="1:13" s="755" customFormat="1">
      <c r="A1411" s="816"/>
      <c r="B1411" s="753"/>
      <c r="C1411" s="753"/>
      <c r="D1411" s="753"/>
      <c r="E1411" s="753"/>
      <c r="F1411" s="753"/>
      <c r="G1411" s="753"/>
      <c r="H1411" s="753"/>
      <c r="I1411" s="753"/>
      <c r="J1411" s="753"/>
      <c r="K1411" s="753"/>
      <c r="L1411" s="753"/>
      <c r="M1411" s="753"/>
    </row>
    <row r="1412" spans="1:13" s="755" customFormat="1">
      <c r="A1412" s="816"/>
      <c r="B1412" s="753"/>
      <c r="C1412" s="753"/>
      <c r="D1412" s="753"/>
      <c r="E1412" s="753"/>
      <c r="F1412" s="753"/>
      <c r="G1412" s="753"/>
      <c r="H1412" s="753"/>
      <c r="I1412" s="753"/>
      <c r="J1412" s="753"/>
      <c r="K1412" s="753"/>
      <c r="L1412" s="753"/>
      <c r="M1412" s="753"/>
    </row>
    <row r="1413" spans="1:13" s="755" customFormat="1">
      <c r="A1413" s="816"/>
      <c r="B1413" s="753"/>
      <c r="C1413" s="753"/>
      <c r="D1413" s="753"/>
      <c r="E1413" s="753"/>
      <c r="F1413" s="753"/>
      <c r="G1413" s="753"/>
      <c r="H1413" s="753"/>
      <c r="I1413" s="753"/>
      <c r="J1413" s="753"/>
      <c r="K1413" s="753"/>
      <c r="L1413" s="753"/>
      <c r="M1413" s="753"/>
    </row>
    <row r="1414" spans="1:13" s="755" customFormat="1">
      <c r="A1414" s="816"/>
      <c r="B1414" s="753"/>
      <c r="C1414" s="753"/>
      <c r="D1414" s="753"/>
      <c r="E1414" s="753"/>
      <c r="F1414" s="753"/>
      <c r="G1414" s="753"/>
      <c r="H1414" s="753"/>
      <c r="I1414" s="753"/>
      <c r="J1414" s="753"/>
      <c r="K1414" s="753"/>
      <c r="L1414" s="753"/>
      <c r="M1414" s="753"/>
    </row>
    <row r="1415" spans="1:13" s="755" customFormat="1">
      <c r="A1415" s="816"/>
      <c r="B1415" s="753"/>
      <c r="C1415" s="753"/>
      <c r="D1415" s="753"/>
      <c r="E1415" s="753"/>
      <c r="F1415" s="753"/>
      <c r="G1415" s="753"/>
      <c r="H1415" s="753"/>
      <c r="I1415" s="753"/>
      <c r="J1415" s="753"/>
      <c r="K1415" s="753"/>
      <c r="L1415" s="753"/>
      <c r="M1415" s="753"/>
    </row>
    <row r="1416" spans="1:13" s="755" customFormat="1">
      <c r="A1416" s="816"/>
      <c r="B1416" s="753"/>
      <c r="C1416" s="753"/>
      <c r="D1416" s="753"/>
      <c r="E1416" s="753"/>
      <c r="F1416" s="753"/>
      <c r="G1416" s="753"/>
      <c r="H1416" s="753"/>
      <c r="I1416" s="753"/>
      <c r="J1416" s="753"/>
      <c r="K1416" s="753"/>
      <c r="L1416" s="753"/>
      <c r="M1416" s="753"/>
    </row>
    <row r="1417" spans="1:13" s="755" customFormat="1">
      <c r="A1417" s="816"/>
      <c r="B1417" s="753"/>
      <c r="C1417" s="753"/>
      <c r="D1417" s="753"/>
      <c r="E1417" s="753"/>
      <c r="F1417" s="753"/>
      <c r="G1417" s="753"/>
      <c r="H1417" s="753"/>
      <c r="I1417" s="753"/>
      <c r="J1417" s="753"/>
      <c r="K1417" s="753"/>
      <c r="L1417" s="753"/>
      <c r="M1417" s="753"/>
    </row>
    <row r="1418" spans="1:13" s="755" customFormat="1">
      <c r="A1418" s="816"/>
      <c r="B1418" s="753"/>
      <c r="C1418" s="753"/>
      <c r="D1418" s="753"/>
      <c r="E1418" s="753"/>
      <c r="F1418" s="753"/>
      <c r="G1418" s="753"/>
      <c r="H1418" s="753"/>
      <c r="I1418" s="753"/>
      <c r="J1418" s="753"/>
      <c r="K1418" s="753"/>
      <c r="L1418" s="753"/>
      <c r="M1418" s="753"/>
    </row>
    <row r="1419" spans="1:13" s="755" customFormat="1">
      <c r="A1419" s="816"/>
      <c r="B1419" s="753"/>
      <c r="C1419" s="753"/>
      <c r="D1419" s="753"/>
      <c r="E1419" s="753"/>
      <c r="F1419" s="753"/>
      <c r="G1419" s="753"/>
      <c r="H1419" s="753"/>
      <c r="I1419" s="753"/>
      <c r="J1419" s="753"/>
      <c r="K1419" s="753"/>
      <c r="L1419" s="753"/>
      <c r="M1419" s="753"/>
    </row>
    <row r="1420" spans="1:13" s="755" customFormat="1">
      <c r="A1420" s="816"/>
      <c r="B1420" s="753"/>
      <c r="C1420" s="753"/>
      <c r="D1420" s="753"/>
      <c r="E1420" s="753"/>
      <c r="F1420" s="753"/>
      <c r="G1420" s="753"/>
      <c r="H1420" s="753"/>
      <c r="I1420" s="753"/>
      <c r="J1420" s="753"/>
      <c r="K1420" s="753"/>
      <c r="L1420" s="753"/>
      <c r="M1420" s="753"/>
    </row>
    <row r="1421" spans="1:13" s="755" customFormat="1">
      <c r="A1421" s="816"/>
      <c r="B1421" s="753"/>
      <c r="C1421" s="753"/>
      <c r="D1421" s="753"/>
      <c r="E1421" s="753"/>
      <c r="F1421" s="753"/>
      <c r="G1421" s="753"/>
      <c r="H1421" s="753"/>
      <c r="I1421" s="753"/>
      <c r="J1421" s="753"/>
      <c r="K1421" s="753"/>
      <c r="L1421" s="753"/>
      <c r="M1421" s="753"/>
    </row>
    <row r="1422" spans="1:13" s="755" customFormat="1">
      <c r="A1422" s="816"/>
      <c r="B1422" s="753"/>
      <c r="C1422" s="753"/>
      <c r="D1422" s="753"/>
      <c r="E1422" s="753"/>
      <c r="F1422" s="753"/>
      <c r="G1422" s="753"/>
      <c r="H1422" s="753"/>
      <c r="I1422" s="753"/>
      <c r="J1422" s="753"/>
      <c r="K1422" s="753"/>
      <c r="L1422" s="753"/>
      <c r="M1422" s="753"/>
    </row>
    <row r="1423" spans="1:13" s="755" customFormat="1">
      <c r="A1423" s="816"/>
      <c r="B1423" s="753"/>
      <c r="C1423" s="753"/>
      <c r="D1423" s="753"/>
      <c r="E1423" s="753"/>
      <c r="F1423" s="753"/>
      <c r="G1423" s="753"/>
      <c r="H1423" s="753"/>
      <c r="I1423" s="753"/>
      <c r="J1423" s="753"/>
      <c r="K1423" s="753"/>
      <c r="L1423" s="753"/>
      <c r="M1423" s="753"/>
    </row>
    <row r="1424" spans="1:13" s="755" customFormat="1">
      <c r="A1424" s="816"/>
      <c r="B1424" s="753"/>
      <c r="C1424" s="753"/>
      <c r="D1424" s="753"/>
      <c r="E1424" s="753"/>
      <c r="F1424" s="753"/>
      <c r="G1424" s="753"/>
      <c r="H1424" s="753"/>
      <c r="I1424" s="753"/>
      <c r="J1424" s="753"/>
      <c r="K1424" s="753"/>
      <c r="L1424" s="753"/>
      <c r="M1424" s="753"/>
    </row>
    <row r="1425" spans="1:13" s="755" customFormat="1">
      <c r="A1425" s="816"/>
      <c r="B1425" s="753"/>
      <c r="C1425" s="753"/>
      <c r="D1425" s="753"/>
      <c r="E1425" s="753"/>
      <c r="F1425" s="753"/>
      <c r="G1425" s="753"/>
      <c r="H1425" s="753"/>
      <c r="I1425" s="753"/>
      <c r="J1425" s="753"/>
      <c r="K1425" s="753"/>
      <c r="L1425" s="753"/>
      <c r="M1425" s="753"/>
    </row>
    <row r="1426" spans="1:13" s="755" customFormat="1">
      <c r="A1426" s="816"/>
      <c r="B1426" s="753"/>
      <c r="C1426" s="753"/>
      <c r="D1426" s="753"/>
      <c r="E1426" s="753"/>
      <c r="F1426" s="753"/>
      <c r="G1426" s="753"/>
      <c r="H1426" s="753"/>
      <c r="I1426" s="753"/>
      <c r="J1426" s="753"/>
      <c r="K1426" s="753"/>
      <c r="L1426" s="753"/>
      <c r="M1426" s="753"/>
    </row>
    <row r="1427" spans="1:13" s="755" customFormat="1">
      <c r="A1427" s="816"/>
      <c r="B1427" s="753"/>
      <c r="C1427" s="753"/>
      <c r="D1427" s="753"/>
      <c r="E1427" s="753"/>
      <c r="F1427" s="753"/>
      <c r="G1427" s="753"/>
      <c r="H1427" s="753"/>
      <c r="I1427" s="753"/>
      <c r="J1427" s="753"/>
      <c r="K1427" s="753"/>
      <c r="L1427" s="753"/>
      <c r="M1427" s="753"/>
    </row>
    <row r="1428" spans="1:13" s="755" customFormat="1">
      <c r="A1428" s="816"/>
      <c r="B1428" s="753"/>
      <c r="C1428" s="753"/>
      <c r="D1428" s="753"/>
      <c r="E1428" s="753"/>
      <c r="F1428" s="753"/>
      <c r="G1428" s="753"/>
      <c r="H1428" s="753"/>
      <c r="I1428" s="753"/>
      <c r="J1428" s="753"/>
      <c r="K1428" s="753"/>
      <c r="L1428" s="753"/>
      <c r="M1428" s="753"/>
    </row>
    <row r="1429" spans="1:13" s="755" customFormat="1">
      <c r="A1429" s="816"/>
      <c r="B1429" s="753"/>
      <c r="C1429" s="753"/>
      <c r="D1429" s="753"/>
      <c r="E1429" s="753"/>
      <c r="F1429" s="753"/>
      <c r="G1429" s="753"/>
      <c r="H1429" s="753"/>
      <c r="I1429" s="753"/>
      <c r="J1429" s="753"/>
      <c r="K1429" s="753"/>
      <c r="L1429" s="753"/>
      <c r="M1429" s="753"/>
    </row>
    <row r="1430" spans="1:13" s="755" customFormat="1">
      <c r="A1430" s="816"/>
      <c r="B1430" s="753"/>
      <c r="C1430" s="753"/>
      <c r="D1430" s="753"/>
      <c r="E1430" s="753"/>
      <c r="F1430" s="753"/>
      <c r="G1430" s="753"/>
      <c r="H1430" s="753"/>
      <c r="I1430" s="753"/>
      <c r="J1430" s="753"/>
      <c r="K1430" s="753"/>
      <c r="L1430" s="753"/>
      <c r="M1430" s="753"/>
    </row>
    <row r="1431" spans="1:13" s="755" customFormat="1">
      <c r="A1431" s="816"/>
      <c r="B1431" s="753"/>
      <c r="C1431" s="753"/>
      <c r="D1431" s="753"/>
      <c r="E1431" s="753"/>
      <c r="F1431" s="753"/>
      <c r="G1431" s="753"/>
      <c r="H1431" s="753"/>
      <c r="I1431" s="753"/>
      <c r="J1431" s="753"/>
      <c r="K1431" s="753"/>
      <c r="L1431" s="753"/>
      <c r="M1431" s="753"/>
    </row>
    <row r="1432" spans="1:13" s="755" customFormat="1">
      <c r="A1432" s="816"/>
      <c r="B1432" s="753"/>
      <c r="C1432" s="753"/>
      <c r="D1432" s="753"/>
      <c r="E1432" s="753"/>
      <c r="F1432" s="753"/>
      <c r="G1432" s="753"/>
      <c r="H1432" s="753"/>
      <c r="I1432" s="753"/>
      <c r="J1432" s="753"/>
      <c r="K1432" s="753"/>
      <c r="L1432" s="753"/>
      <c r="M1432" s="753"/>
    </row>
    <row r="1433" spans="1:13" s="755" customFormat="1">
      <c r="A1433" s="816"/>
      <c r="B1433" s="753"/>
      <c r="C1433" s="753"/>
      <c r="D1433" s="753"/>
      <c r="E1433" s="753"/>
      <c r="F1433" s="753"/>
      <c r="G1433" s="753"/>
      <c r="H1433" s="753"/>
      <c r="I1433" s="753"/>
      <c r="J1433" s="753"/>
      <c r="K1433" s="753"/>
      <c r="L1433" s="753"/>
      <c r="M1433" s="753"/>
    </row>
    <row r="1434" spans="1:13" s="755" customFormat="1">
      <c r="A1434" s="816"/>
      <c r="B1434" s="753"/>
      <c r="C1434" s="753"/>
      <c r="D1434" s="753"/>
      <c r="E1434" s="753"/>
      <c r="F1434" s="753"/>
      <c r="G1434" s="753"/>
      <c r="H1434" s="753"/>
      <c r="I1434" s="753"/>
      <c r="J1434" s="753"/>
      <c r="K1434" s="753"/>
      <c r="L1434" s="753"/>
      <c r="M1434" s="753"/>
    </row>
    <row r="1435" spans="1:13" s="755" customFormat="1">
      <c r="A1435" s="816"/>
      <c r="B1435" s="753"/>
      <c r="C1435" s="753"/>
      <c r="D1435" s="753"/>
      <c r="E1435" s="753"/>
      <c r="F1435" s="753"/>
      <c r="G1435" s="753"/>
      <c r="H1435" s="753"/>
      <c r="I1435" s="753"/>
      <c r="J1435" s="753"/>
      <c r="K1435" s="753"/>
      <c r="L1435" s="753"/>
      <c r="M1435" s="753"/>
    </row>
    <row r="1436" spans="1:13" s="755" customFormat="1">
      <c r="A1436" s="816"/>
      <c r="B1436" s="753"/>
      <c r="C1436" s="753"/>
      <c r="D1436" s="753"/>
      <c r="E1436" s="753"/>
      <c r="F1436" s="753"/>
      <c r="G1436" s="753"/>
      <c r="H1436" s="753"/>
      <c r="I1436" s="753"/>
      <c r="J1436" s="753"/>
      <c r="K1436" s="753"/>
      <c r="L1436" s="753"/>
      <c r="M1436" s="753"/>
    </row>
    <row r="1437" spans="1:13" s="755" customFormat="1">
      <c r="A1437" s="816"/>
      <c r="B1437" s="753"/>
      <c r="C1437" s="753"/>
      <c r="D1437" s="753"/>
      <c r="E1437" s="753"/>
      <c r="F1437" s="753"/>
      <c r="G1437" s="753"/>
      <c r="H1437" s="753"/>
      <c r="I1437" s="753"/>
      <c r="J1437" s="753"/>
      <c r="K1437" s="753"/>
      <c r="L1437" s="753"/>
      <c r="M1437" s="753"/>
    </row>
    <row r="1438" spans="1:13" s="755" customFormat="1">
      <c r="A1438" s="816"/>
      <c r="B1438" s="753"/>
      <c r="C1438" s="753"/>
      <c r="D1438" s="753"/>
      <c r="E1438" s="753"/>
      <c r="F1438" s="753"/>
      <c r="G1438" s="753"/>
      <c r="H1438" s="753"/>
      <c r="I1438" s="753"/>
      <c r="J1438" s="753"/>
      <c r="K1438" s="753"/>
      <c r="L1438" s="753"/>
      <c r="M1438" s="753"/>
    </row>
    <row r="1439" spans="1:13" s="755" customFormat="1">
      <c r="A1439" s="816"/>
      <c r="B1439" s="753"/>
      <c r="C1439" s="753"/>
      <c r="D1439" s="753"/>
      <c r="E1439" s="753"/>
      <c r="F1439" s="753"/>
      <c r="G1439" s="753"/>
      <c r="H1439" s="753"/>
      <c r="I1439" s="753"/>
      <c r="J1439" s="753"/>
      <c r="K1439" s="753"/>
      <c r="L1439" s="753"/>
      <c r="M1439" s="753"/>
    </row>
    <row r="1440" spans="1:13" s="755" customFormat="1">
      <c r="A1440" s="816"/>
      <c r="B1440" s="753"/>
      <c r="C1440" s="753"/>
      <c r="D1440" s="753"/>
      <c r="E1440" s="753"/>
      <c r="F1440" s="753"/>
      <c r="G1440" s="753"/>
      <c r="H1440" s="753"/>
      <c r="I1440" s="753"/>
      <c r="J1440" s="753"/>
      <c r="K1440" s="753"/>
      <c r="L1440" s="753"/>
      <c r="M1440" s="753"/>
    </row>
    <row r="1441" spans="1:13" s="755" customFormat="1">
      <c r="A1441" s="816"/>
      <c r="B1441" s="753"/>
      <c r="C1441" s="753"/>
      <c r="D1441" s="753"/>
      <c r="E1441" s="753"/>
      <c r="F1441" s="753"/>
      <c r="G1441" s="753"/>
      <c r="H1441" s="753"/>
      <c r="I1441" s="753"/>
      <c r="J1441" s="753"/>
      <c r="K1441" s="753"/>
      <c r="L1441" s="753"/>
      <c r="M1441" s="753"/>
    </row>
    <row r="1442" spans="1:13" s="755" customFormat="1">
      <c r="A1442" s="816"/>
      <c r="B1442" s="753"/>
      <c r="C1442" s="753"/>
      <c r="D1442" s="753"/>
      <c r="E1442" s="753"/>
      <c r="F1442" s="753"/>
      <c r="G1442" s="753"/>
      <c r="H1442" s="753"/>
      <c r="I1442" s="753"/>
      <c r="J1442" s="753"/>
      <c r="K1442" s="753"/>
      <c r="L1442" s="753"/>
      <c r="M1442" s="753"/>
    </row>
    <row r="1443" spans="1:13" s="755" customFormat="1">
      <c r="A1443" s="816"/>
      <c r="B1443" s="753"/>
      <c r="C1443" s="753"/>
      <c r="D1443" s="753"/>
      <c r="E1443" s="753"/>
      <c r="F1443" s="753"/>
      <c r="G1443" s="753"/>
      <c r="H1443" s="753"/>
      <c r="I1443" s="753"/>
      <c r="J1443" s="753"/>
      <c r="K1443" s="753"/>
      <c r="L1443" s="753"/>
      <c r="M1443" s="753"/>
    </row>
    <row r="1444" spans="1:13" s="755" customFormat="1">
      <c r="A1444" s="816"/>
      <c r="B1444" s="753"/>
      <c r="C1444" s="753"/>
      <c r="D1444" s="753"/>
      <c r="E1444" s="753"/>
      <c r="F1444" s="753"/>
      <c r="G1444" s="753"/>
      <c r="H1444" s="753"/>
      <c r="I1444" s="753"/>
      <c r="J1444" s="753"/>
      <c r="K1444" s="753"/>
      <c r="L1444" s="753"/>
      <c r="M1444" s="753"/>
    </row>
    <row r="1445" spans="1:13" s="755" customFormat="1">
      <c r="A1445" s="816"/>
      <c r="B1445" s="753"/>
      <c r="C1445" s="753"/>
      <c r="D1445" s="753"/>
      <c r="E1445" s="753"/>
      <c r="F1445" s="753"/>
      <c r="G1445" s="753"/>
      <c r="H1445" s="753"/>
      <c r="I1445" s="753"/>
      <c r="J1445" s="753"/>
      <c r="K1445" s="753"/>
      <c r="L1445" s="753"/>
      <c r="M1445" s="753"/>
    </row>
    <row r="1446" spans="1:13" s="755" customFormat="1">
      <c r="A1446" s="816"/>
      <c r="B1446" s="753"/>
      <c r="C1446" s="753"/>
      <c r="D1446" s="753"/>
      <c r="E1446" s="753"/>
      <c r="F1446" s="753"/>
      <c r="G1446" s="753"/>
      <c r="H1446" s="753"/>
      <c r="I1446" s="753"/>
      <c r="J1446" s="753"/>
      <c r="K1446" s="753"/>
      <c r="L1446" s="753"/>
      <c r="M1446" s="753"/>
    </row>
    <row r="1447" spans="1:13" s="755" customFormat="1">
      <c r="A1447" s="816"/>
      <c r="B1447" s="753"/>
      <c r="C1447" s="753"/>
      <c r="D1447" s="753"/>
      <c r="E1447" s="753"/>
      <c r="F1447" s="753"/>
      <c r="G1447" s="753"/>
      <c r="H1447" s="753"/>
      <c r="I1447" s="753"/>
      <c r="J1447" s="753"/>
      <c r="K1447" s="753"/>
      <c r="L1447" s="753"/>
      <c r="M1447" s="753"/>
    </row>
    <row r="1448" spans="1:13" s="755" customFormat="1">
      <c r="A1448" s="816"/>
      <c r="B1448" s="753"/>
      <c r="C1448" s="753"/>
      <c r="D1448" s="753"/>
      <c r="E1448" s="753"/>
      <c r="F1448" s="753"/>
      <c r="G1448" s="753"/>
      <c r="H1448" s="753"/>
      <c r="I1448" s="753"/>
      <c r="J1448" s="753"/>
      <c r="K1448" s="753"/>
      <c r="L1448" s="753"/>
      <c r="M1448" s="753"/>
    </row>
    <row r="1449" spans="1:13" s="755" customFormat="1">
      <c r="A1449" s="816"/>
      <c r="B1449" s="753"/>
      <c r="C1449" s="753"/>
      <c r="D1449" s="753"/>
      <c r="E1449" s="753"/>
      <c r="F1449" s="753"/>
      <c r="G1449" s="753"/>
      <c r="H1449" s="753"/>
      <c r="I1449" s="753"/>
      <c r="J1449" s="753"/>
      <c r="K1449" s="753"/>
      <c r="L1449" s="753"/>
      <c r="M1449" s="753"/>
    </row>
    <row r="1450" spans="1:13" s="755" customFormat="1">
      <c r="A1450" s="816"/>
      <c r="B1450" s="753"/>
      <c r="C1450" s="753"/>
      <c r="D1450" s="753"/>
      <c r="E1450" s="753"/>
      <c r="F1450" s="753"/>
      <c r="G1450" s="753"/>
      <c r="H1450" s="753"/>
      <c r="I1450" s="753"/>
      <c r="J1450" s="753"/>
      <c r="K1450" s="753"/>
      <c r="L1450" s="753"/>
      <c r="M1450" s="753"/>
    </row>
    <row r="1451" spans="1:13" s="755" customFormat="1">
      <c r="A1451" s="816"/>
      <c r="B1451" s="753"/>
      <c r="C1451" s="753"/>
      <c r="D1451" s="753"/>
      <c r="E1451" s="753"/>
      <c r="F1451" s="753"/>
      <c r="G1451" s="753"/>
      <c r="H1451" s="753"/>
      <c r="I1451" s="753"/>
      <c r="J1451" s="753"/>
      <c r="K1451" s="753"/>
      <c r="L1451" s="753"/>
      <c r="M1451" s="753"/>
    </row>
    <row r="1452" spans="1:13" s="755" customFormat="1">
      <c r="A1452" s="816"/>
      <c r="B1452" s="753"/>
      <c r="C1452" s="753"/>
      <c r="D1452" s="753"/>
      <c r="E1452" s="753"/>
      <c r="F1452" s="753"/>
      <c r="G1452" s="753"/>
      <c r="H1452" s="753"/>
      <c r="I1452" s="753"/>
      <c r="J1452" s="753"/>
      <c r="K1452" s="753"/>
      <c r="L1452" s="753"/>
      <c r="M1452" s="753"/>
    </row>
    <row r="1453" spans="1:13" s="755" customFormat="1">
      <c r="A1453" s="816"/>
      <c r="B1453" s="753"/>
      <c r="C1453" s="753"/>
      <c r="D1453" s="753"/>
      <c r="E1453" s="753"/>
      <c r="F1453" s="753"/>
      <c r="G1453" s="753"/>
      <c r="H1453" s="753"/>
      <c r="I1453" s="753"/>
      <c r="J1453" s="753"/>
      <c r="K1453" s="753"/>
      <c r="L1453" s="753"/>
      <c r="M1453" s="753"/>
    </row>
    <row r="1454" spans="1:13" s="755" customFormat="1">
      <c r="A1454" s="816"/>
      <c r="B1454" s="753"/>
      <c r="C1454" s="753"/>
      <c r="D1454" s="753"/>
      <c r="E1454" s="753"/>
      <c r="F1454" s="753"/>
      <c r="G1454" s="753"/>
      <c r="H1454" s="753"/>
      <c r="I1454" s="753"/>
      <c r="J1454" s="753"/>
      <c r="K1454" s="753"/>
      <c r="L1454" s="753"/>
      <c r="M1454" s="753"/>
    </row>
    <row r="1455" spans="1:13" s="755" customFormat="1">
      <c r="A1455" s="816"/>
      <c r="B1455" s="753"/>
      <c r="C1455" s="753"/>
      <c r="D1455" s="753"/>
      <c r="E1455" s="753"/>
      <c r="F1455" s="753"/>
      <c r="G1455" s="753"/>
      <c r="H1455" s="753"/>
      <c r="I1455" s="753"/>
      <c r="J1455" s="753"/>
      <c r="K1455" s="753"/>
      <c r="L1455" s="753"/>
      <c r="M1455" s="753"/>
    </row>
    <row r="1456" spans="1:13" s="755" customFormat="1">
      <c r="A1456" s="816"/>
      <c r="B1456" s="753"/>
      <c r="C1456" s="753"/>
      <c r="D1456" s="753"/>
      <c r="E1456" s="753"/>
      <c r="F1456" s="753"/>
      <c r="G1456" s="753"/>
      <c r="H1456" s="753"/>
      <c r="I1456" s="753"/>
      <c r="J1456" s="753"/>
      <c r="K1456" s="753"/>
      <c r="L1456" s="753"/>
      <c r="M1456" s="753"/>
    </row>
    <row r="1457" spans="1:13" s="755" customFormat="1">
      <c r="A1457" s="816"/>
      <c r="B1457" s="753"/>
      <c r="C1457" s="753"/>
      <c r="D1457" s="753"/>
      <c r="E1457" s="753"/>
      <c r="F1457" s="753"/>
      <c r="G1457" s="753"/>
      <c r="H1457" s="753"/>
      <c r="I1457" s="753"/>
      <c r="J1457" s="753"/>
      <c r="K1457" s="753"/>
      <c r="L1457" s="753"/>
      <c r="M1457" s="753"/>
    </row>
    <row r="1458" spans="1:13" s="755" customFormat="1">
      <c r="A1458" s="816"/>
      <c r="B1458" s="753"/>
      <c r="C1458" s="753"/>
      <c r="D1458" s="753"/>
      <c r="E1458" s="753"/>
      <c r="F1458" s="753"/>
      <c r="G1458" s="753"/>
      <c r="H1458" s="753"/>
      <c r="I1458" s="753"/>
      <c r="J1458" s="753"/>
      <c r="K1458" s="753"/>
      <c r="L1458" s="753"/>
      <c r="M1458" s="753"/>
    </row>
    <row r="1459" spans="1:13" s="755" customFormat="1">
      <c r="A1459" s="816"/>
      <c r="B1459" s="753"/>
      <c r="C1459" s="753"/>
      <c r="D1459" s="753"/>
      <c r="E1459" s="753"/>
      <c r="F1459" s="753"/>
      <c r="G1459" s="753"/>
      <c r="H1459" s="753"/>
      <c r="I1459" s="753"/>
      <c r="J1459" s="753"/>
      <c r="K1459" s="753"/>
      <c r="L1459" s="753"/>
      <c r="M1459" s="753"/>
    </row>
    <row r="1460" spans="1:13" s="755" customFormat="1">
      <c r="A1460" s="816"/>
      <c r="B1460" s="753"/>
      <c r="C1460" s="753"/>
      <c r="D1460" s="753"/>
      <c r="E1460" s="753"/>
      <c r="F1460" s="753"/>
      <c r="G1460" s="753"/>
      <c r="H1460" s="753"/>
      <c r="I1460" s="753"/>
      <c r="J1460" s="753"/>
      <c r="K1460" s="753"/>
      <c r="L1460" s="753"/>
      <c r="M1460" s="753"/>
    </row>
    <row r="1461" spans="1:13" s="755" customFormat="1">
      <c r="A1461" s="816"/>
      <c r="B1461" s="753"/>
      <c r="C1461" s="753"/>
      <c r="D1461" s="753"/>
      <c r="E1461" s="753"/>
      <c r="F1461" s="753"/>
      <c r="G1461" s="753"/>
      <c r="H1461" s="753"/>
      <c r="I1461" s="753"/>
      <c r="J1461" s="753"/>
      <c r="K1461" s="753"/>
      <c r="L1461" s="753"/>
      <c r="M1461" s="753"/>
    </row>
    <row r="1462" spans="1:13" s="755" customFormat="1">
      <c r="A1462" s="816"/>
      <c r="B1462" s="753"/>
      <c r="C1462" s="753"/>
      <c r="D1462" s="753"/>
      <c r="E1462" s="753"/>
      <c r="F1462" s="753"/>
      <c r="G1462" s="753"/>
      <c r="H1462" s="753"/>
      <c r="I1462" s="753"/>
      <c r="J1462" s="753"/>
      <c r="K1462" s="753"/>
      <c r="L1462" s="753"/>
      <c r="M1462" s="753"/>
    </row>
    <row r="1463" spans="1:13" s="755" customFormat="1">
      <c r="A1463" s="816"/>
      <c r="B1463" s="753"/>
      <c r="C1463" s="753"/>
      <c r="D1463" s="753"/>
      <c r="E1463" s="753"/>
      <c r="F1463" s="753"/>
      <c r="G1463" s="753"/>
      <c r="H1463" s="753"/>
      <c r="I1463" s="753"/>
      <c r="J1463" s="753"/>
      <c r="K1463" s="753"/>
      <c r="L1463" s="753"/>
      <c r="M1463" s="753"/>
    </row>
    <row r="1464" spans="1:13" s="755" customFormat="1">
      <c r="A1464" s="816"/>
      <c r="B1464" s="753"/>
      <c r="C1464" s="753"/>
      <c r="D1464" s="753"/>
      <c r="E1464" s="753"/>
      <c r="F1464" s="753"/>
      <c r="G1464" s="753"/>
      <c r="H1464" s="753"/>
      <c r="I1464" s="753"/>
      <c r="J1464" s="753"/>
      <c r="K1464" s="753"/>
      <c r="L1464" s="753"/>
      <c r="M1464" s="753"/>
    </row>
    <row r="1465" spans="1:13" s="755" customFormat="1">
      <c r="A1465" s="816"/>
      <c r="B1465" s="753"/>
      <c r="C1465" s="753"/>
      <c r="D1465" s="753"/>
      <c r="E1465" s="753"/>
      <c r="F1465" s="753"/>
      <c r="G1465" s="753"/>
      <c r="H1465" s="753"/>
      <c r="I1465" s="753"/>
      <c r="J1465" s="753"/>
      <c r="K1465" s="753"/>
      <c r="L1465" s="753"/>
      <c r="M1465" s="753"/>
    </row>
    <row r="1466" spans="1:13" s="755" customFormat="1">
      <c r="A1466" s="816"/>
      <c r="B1466" s="753"/>
      <c r="C1466" s="753"/>
      <c r="D1466" s="753"/>
      <c r="E1466" s="753"/>
      <c r="F1466" s="753"/>
      <c r="G1466" s="753"/>
      <c r="H1466" s="753"/>
      <c r="I1466" s="753"/>
      <c r="J1466" s="753"/>
      <c r="K1466" s="753"/>
      <c r="L1466" s="753"/>
      <c r="M1466" s="753"/>
    </row>
    <row r="1467" spans="1:13" s="755" customFormat="1">
      <c r="A1467" s="816"/>
      <c r="B1467" s="753"/>
      <c r="C1467" s="753"/>
      <c r="D1467" s="753"/>
      <c r="E1467" s="753"/>
      <c r="F1467" s="753"/>
      <c r="G1467" s="753"/>
      <c r="H1467" s="753"/>
      <c r="I1467" s="753"/>
      <c r="J1467" s="753"/>
      <c r="K1467" s="753"/>
      <c r="L1467" s="753"/>
      <c r="M1467" s="753"/>
    </row>
    <row r="1468" spans="1:13" s="755" customFormat="1">
      <c r="A1468" s="816"/>
      <c r="B1468" s="753"/>
      <c r="C1468" s="753"/>
      <c r="D1468" s="753"/>
      <c r="E1468" s="753"/>
      <c r="F1468" s="753"/>
      <c r="G1468" s="753"/>
      <c r="H1468" s="753"/>
      <c r="I1468" s="753"/>
      <c r="J1468" s="753"/>
      <c r="K1468" s="753"/>
      <c r="L1468" s="753"/>
      <c r="M1468" s="753"/>
    </row>
    <row r="1469" spans="1:13" s="755" customFormat="1">
      <c r="A1469" s="816"/>
      <c r="B1469" s="753"/>
      <c r="C1469" s="753"/>
      <c r="D1469" s="753"/>
      <c r="E1469" s="753"/>
      <c r="F1469" s="753"/>
      <c r="G1469" s="753"/>
      <c r="H1469" s="753"/>
      <c r="I1469" s="753"/>
      <c r="J1469" s="753"/>
      <c r="K1469" s="753"/>
      <c r="L1469" s="753"/>
      <c r="M1469" s="753"/>
    </row>
    <row r="1470" spans="1:13" s="755" customFormat="1">
      <c r="A1470" s="816"/>
      <c r="B1470" s="753"/>
      <c r="C1470" s="753"/>
      <c r="D1470" s="753"/>
      <c r="E1470" s="753"/>
      <c r="F1470" s="753"/>
      <c r="G1470" s="753"/>
      <c r="H1470" s="753"/>
      <c r="I1470" s="753"/>
      <c r="J1470" s="753"/>
      <c r="K1470" s="753"/>
      <c r="L1470" s="753"/>
      <c r="M1470" s="753"/>
    </row>
    <row r="1471" spans="1:13" s="755" customFormat="1">
      <c r="A1471" s="816"/>
      <c r="B1471" s="753"/>
      <c r="C1471" s="753"/>
      <c r="D1471" s="753"/>
      <c r="E1471" s="753"/>
      <c r="F1471" s="753"/>
      <c r="G1471" s="753"/>
      <c r="H1471" s="753"/>
      <c r="I1471" s="753"/>
      <c r="J1471" s="753"/>
      <c r="K1471" s="753"/>
      <c r="L1471" s="753"/>
      <c r="M1471" s="753"/>
    </row>
    <row r="1472" spans="1:13" s="755" customFormat="1">
      <c r="A1472" s="816"/>
      <c r="B1472" s="753"/>
      <c r="C1472" s="753"/>
      <c r="D1472" s="753"/>
      <c r="E1472" s="753"/>
      <c r="F1472" s="753"/>
      <c r="G1472" s="753"/>
      <c r="H1472" s="753"/>
      <c r="I1472" s="753"/>
      <c r="J1472" s="753"/>
      <c r="K1472" s="753"/>
      <c r="L1472" s="753"/>
      <c r="M1472" s="753"/>
    </row>
    <row r="1473" spans="1:13" s="755" customFormat="1">
      <c r="A1473" s="816"/>
      <c r="B1473" s="753"/>
      <c r="C1473" s="753"/>
      <c r="D1473" s="753"/>
      <c r="E1473" s="753"/>
      <c r="F1473" s="753"/>
      <c r="G1473" s="753"/>
      <c r="H1473" s="753"/>
      <c r="I1473" s="753"/>
      <c r="J1473" s="753"/>
      <c r="K1473" s="753"/>
      <c r="L1473" s="753"/>
      <c r="M1473" s="753"/>
    </row>
    <row r="1474" spans="1:13" s="755" customFormat="1">
      <c r="A1474" s="816"/>
      <c r="B1474" s="753"/>
      <c r="C1474" s="753"/>
      <c r="D1474" s="753"/>
      <c r="E1474" s="753"/>
      <c r="F1474" s="753"/>
      <c r="G1474" s="753"/>
      <c r="H1474" s="753"/>
      <c r="I1474" s="753"/>
      <c r="J1474" s="753"/>
      <c r="K1474" s="753"/>
      <c r="L1474" s="753"/>
      <c r="M1474" s="753"/>
    </row>
    <row r="1475" spans="1:13" s="755" customFormat="1">
      <c r="A1475" s="816"/>
      <c r="B1475" s="753"/>
      <c r="C1475" s="753"/>
      <c r="D1475" s="753"/>
      <c r="E1475" s="753"/>
      <c r="F1475" s="753"/>
      <c r="G1475" s="753"/>
      <c r="H1475" s="753"/>
      <c r="I1475" s="753"/>
      <c r="J1475" s="753"/>
      <c r="K1475" s="753"/>
      <c r="L1475" s="753"/>
      <c r="M1475" s="753"/>
    </row>
    <row r="1476" spans="1:13" s="755" customFormat="1">
      <c r="A1476" s="816"/>
      <c r="B1476" s="753"/>
      <c r="C1476" s="753"/>
      <c r="D1476" s="753"/>
      <c r="E1476" s="753"/>
      <c r="F1476" s="753"/>
      <c r="G1476" s="753"/>
      <c r="H1476" s="753"/>
      <c r="I1476" s="753"/>
      <c r="J1476" s="753"/>
      <c r="K1476" s="753"/>
      <c r="L1476" s="753"/>
      <c r="M1476" s="753"/>
    </row>
    <row r="1477" spans="1:13" s="755" customFormat="1">
      <c r="A1477" s="816"/>
      <c r="B1477" s="753"/>
      <c r="C1477" s="753"/>
      <c r="D1477" s="753"/>
      <c r="E1477" s="753"/>
      <c r="F1477" s="753"/>
      <c r="G1477" s="753"/>
      <c r="H1477" s="753"/>
      <c r="I1477" s="753"/>
      <c r="J1477" s="753"/>
      <c r="K1477" s="753"/>
      <c r="L1477" s="753"/>
      <c r="M1477" s="753"/>
    </row>
    <row r="1478" spans="1:13" s="755" customFormat="1">
      <c r="A1478" s="816"/>
      <c r="B1478" s="753"/>
      <c r="C1478" s="753"/>
      <c r="D1478" s="753"/>
      <c r="E1478" s="753"/>
      <c r="F1478" s="753"/>
      <c r="G1478" s="753"/>
      <c r="H1478" s="753"/>
      <c r="I1478" s="753"/>
      <c r="J1478" s="753"/>
      <c r="K1478" s="753"/>
      <c r="L1478" s="753"/>
      <c r="M1478" s="753"/>
    </row>
    <row r="1479" spans="1:13" s="755" customFormat="1">
      <c r="A1479" s="816"/>
      <c r="B1479" s="753"/>
      <c r="C1479" s="753"/>
      <c r="D1479" s="753"/>
      <c r="E1479" s="753"/>
      <c r="F1479" s="753"/>
      <c r="G1479" s="753"/>
      <c r="H1479" s="753"/>
      <c r="I1479" s="753"/>
      <c r="J1479" s="753"/>
      <c r="K1479" s="753"/>
      <c r="L1479" s="753"/>
      <c r="M1479" s="753"/>
    </row>
    <row r="1480" spans="1:13" s="755" customFormat="1">
      <c r="A1480" s="816"/>
      <c r="B1480" s="753"/>
      <c r="C1480" s="753"/>
      <c r="D1480" s="753"/>
      <c r="E1480" s="753"/>
      <c r="F1480" s="753"/>
      <c r="G1480" s="753"/>
      <c r="H1480" s="753"/>
      <c r="I1480" s="753"/>
      <c r="J1480" s="753"/>
      <c r="K1480" s="753"/>
      <c r="L1480" s="753"/>
      <c r="M1480" s="753"/>
    </row>
    <row r="1481" spans="1:13" s="755" customFormat="1">
      <c r="A1481" s="816"/>
      <c r="B1481" s="753"/>
      <c r="C1481" s="753"/>
      <c r="D1481" s="753"/>
      <c r="E1481" s="753"/>
      <c r="F1481" s="753"/>
      <c r="G1481" s="753"/>
      <c r="H1481" s="753"/>
      <c r="I1481" s="753"/>
      <c r="J1481" s="753"/>
      <c r="K1481" s="753"/>
      <c r="L1481" s="753"/>
      <c r="M1481" s="753"/>
    </row>
    <row r="1482" spans="1:13" s="755" customFormat="1">
      <c r="A1482" s="816"/>
      <c r="B1482" s="753"/>
      <c r="C1482" s="753"/>
      <c r="D1482" s="753"/>
      <c r="E1482" s="753"/>
      <c r="F1482" s="753"/>
      <c r="G1482" s="753"/>
      <c r="H1482" s="753"/>
      <c r="I1482" s="753"/>
      <c r="J1482" s="753"/>
      <c r="K1482" s="753"/>
      <c r="L1482" s="753"/>
      <c r="M1482" s="753"/>
    </row>
    <row r="1483" spans="1:13" s="755" customFormat="1">
      <c r="A1483" s="816"/>
      <c r="B1483" s="753"/>
      <c r="C1483" s="753"/>
      <c r="D1483" s="753"/>
      <c r="E1483" s="753"/>
      <c r="F1483" s="753"/>
      <c r="G1483" s="753"/>
      <c r="H1483" s="753"/>
      <c r="I1483" s="753"/>
      <c r="J1483" s="753"/>
      <c r="K1483" s="753"/>
      <c r="L1483" s="753"/>
      <c r="M1483" s="753"/>
    </row>
    <row r="1484" spans="1:13" s="755" customFormat="1">
      <c r="A1484" s="816"/>
      <c r="B1484" s="753"/>
      <c r="C1484" s="753"/>
      <c r="D1484" s="753"/>
      <c r="E1484" s="753"/>
      <c r="F1484" s="753"/>
      <c r="G1484" s="753"/>
      <c r="H1484" s="753"/>
      <c r="I1484" s="753"/>
      <c r="J1484" s="753"/>
      <c r="K1484" s="753"/>
      <c r="L1484" s="753"/>
      <c r="M1484" s="753"/>
    </row>
    <row r="1485" spans="1:13" s="755" customFormat="1">
      <c r="A1485" s="816"/>
      <c r="B1485" s="753"/>
      <c r="C1485" s="753"/>
      <c r="D1485" s="753"/>
      <c r="E1485" s="753"/>
      <c r="F1485" s="753"/>
      <c r="G1485" s="753"/>
      <c r="H1485" s="753"/>
      <c r="I1485" s="753"/>
      <c r="J1485" s="753"/>
      <c r="K1485" s="753"/>
      <c r="L1485" s="753"/>
      <c r="M1485" s="753"/>
    </row>
    <row r="1486" spans="1:13" s="755" customFormat="1">
      <c r="A1486" s="816"/>
      <c r="B1486" s="753"/>
      <c r="C1486" s="753"/>
      <c r="D1486" s="753"/>
      <c r="E1486" s="753"/>
      <c r="F1486" s="753"/>
      <c r="G1486" s="753"/>
      <c r="H1486" s="753"/>
      <c r="I1486" s="753"/>
      <c r="J1486" s="753"/>
      <c r="K1486" s="753"/>
      <c r="L1486" s="753"/>
      <c r="M1486" s="753"/>
    </row>
    <row r="1487" spans="1:13" s="755" customFormat="1">
      <c r="A1487" s="816"/>
      <c r="B1487" s="753"/>
      <c r="C1487" s="753"/>
      <c r="D1487" s="753"/>
      <c r="E1487" s="753"/>
      <c r="F1487" s="753"/>
      <c r="G1487" s="753"/>
      <c r="H1487" s="753"/>
      <c r="I1487" s="753"/>
      <c r="J1487" s="753"/>
      <c r="K1487" s="753"/>
      <c r="L1487" s="753"/>
      <c r="M1487" s="753"/>
    </row>
    <row r="1488" spans="1:13" s="755" customFormat="1">
      <c r="A1488" s="816"/>
      <c r="B1488" s="753"/>
      <c r="C1488" s="753"/>
      <c r="D1488" s="753"/>
      <c r="E1488" s="753"/>
      <c r="F1488" s="753"/>
      <c r="G1488" s="753"/>
      <c r="H1488" s="753"/>
      <c r="I1488" s="753"/>
      <c r="J1488" s="753"/>
      <c r="K1488" s="753"/>
      <c r="L1488" s="753"/>
      <c r="M1488" s="753"/>
    </row>
    <row r="1489" spans="1:13" s="755" customFormat="1">
      <c r="A1489" s="816"/>
      <c r="B1489" s="753"/>
      <c r="C1489" s="753"/>
      <c r="D1489" s="753"/>
      <c r="E1489" s="753"/>
      <c r="F1489" s="753"/>
      <c r="G1489" s="753"/>
      <c r="H1489" s="753"/>
      <c r="I1489" s="753"/>
      <c r="J1489" s="753"/>
      <c r="K1489" s="753"/>
      <c r="L1489" s="753"/>
      <c r="M1489" s="753"/>
    </row>
    <row r="1490" spans="1:13" s="755" customFormat="1">
      <c r="A1490" s="816"/>
      <c r="B1490" s="753"/>
      <c r="C1490" s="753"/>
      <c r="D1490" s="753"/>
      <c r="E1490" s="753"/>
      <c r="F1490" s="753"/>
      <c r="G1490" s="753"/>
      <c r="H1490" s="753"/>
      <c r="I1490" s="753"/>
      <c r="J1490" s="753"/>
      <c r="K1490" s="753"/>
      <c r="L1490" s="753"/>
      <c r="M1490" s="753"/>
    </row>
    <row r="1491" spans="1:13" s="755" customFormat="1">
      <c r="A1491" s="816"/>
      <c r="B1491" s="753"/>
      <c r="C1491" s="753"/>
      <c r="D1491" s="753"/>
      <c r="E1491" s="753"/>
      <c r="F1491" s="753"/>
      <c r="G1491" s="753"/>
      <c r="H1491" s="753"/>
      <c r="I1491" s="753"/>
      <c r="J1491" s="753"/>
      <c r="K1491" s="753"/>
      <c r="L1491" s="753"/>
      <c r="M1491" s="753"/>
    </row>
    <row r="1492" spans="1:13" s="755" customFormat="1">
      <c r="A1492" s="816"/>
      <c r="B1492" s="753"/>
      <c r="C1492" s="753"/>
      <c r="D1492" s="753"/>
      <c r="E1492" s="753"/>
      <c r="F1492" s="753"/>
      <c r="G1492" s="753"/>
      <c r="H1492" s="753"/>
      <c r="I1492" s="753"/>
      <c r="J1492" s="753"/>
      <c r="K1492" s="753"/>
      <c r="L1492" s="753"/>
      <c r="M1492" s="753"/>
    </row>
    <row r="1493" spans="1:13" s="755" customFormat="1">
      <c r="A1493" s="816"/>
      <c r="B1493" s="753"/>
      <c r="C1493" s="753"/>
      <c r="D1493" s="753"/>
      <c r="E1493" s="753"/>
      <c r="F1493" s="753"/>
      <c r="G1493" s="753"/>
      <c r="H1493" s="753"/>
      <c r="I1493" s="753"/>
      <c r="J1493" s="753"/>
      <c r="K1493" s="753"/>
      <c r="L1493" s="753"/>
      <c r="M1493" s="753"/>
    </row>
    <row r="1494" spans="1:13" s="755" customFormat="1">
      <c r="A1494" s="816"/>
      <c r="B1494" s="753"/>
      <c r="C1494" s="753"/>
      <c r="D1494" s="753"/>
      <c r="E1494" s="753"/>
      <c r="F1494" s="753"/>
      <c r="G1494" s="753"/>
      <c r="H1494" s="753"/>
      <c r="I1494" s="753"/>
      <c r="J1494" s="753"/>
      <c r="K1494" s="753"/>
      <c r="L1494" s="753"/>
      <c r="M1494" s="753"/>
    </row>
    <row r="1495" spans="1:13" s="755" customFormat="1">
      <c r="A1495" s="816"/>
      <c r="B1495" s="753"/>
      <c r="C1495" s="753"/>
      <c r="D1495" s="753"/>
      <c r="E1495" s="753"/>
      <c r="F1495" s="753"/>
      <c r="G1495" s="753"/>
      <c r="H1495" s="753"/>
      <c r="I1495" s="753"/>
      <c r="J1495" s="753"/>
      <c r="K1495" s="753"/>
      <c r="L1495" s="753"/>
      <c r="M1495" s="753"/>
    </row>
    <row r="1496" spans="1:13" s="755" customFormat="1">
      <c r="A1496" s="816"/>
      <c r="B1496" s="753"/>
      <c r="C1496" s="753"/>
      <c r="D1496" s="753"/>
      <c r="E1496" s="753"/>
      <c r="F1496" s="753"/>
      <c r="G1496" s="753"/>
      <c r="H1496" s="753"/>
      <c r="I1496" s="753"/>
      <c r="J1496" s="753"/>
      <c r="K1496" s="753"/>
      <c r="L1496" s="753"/>
      <c r="M1496" s="753"/>
    </row>
    <row r="1497" spans="1:13" s="755" customFormat="1">
      <c r="A1497" s="816"/>
      <c r="B1497" s="753"/>
      <c r="C1497" s="753"/>
      <c r="D1497" s="753"/>
      <c r="E1497" s="753"/>
      <c r="F1497" s="753"/>
      <c r="G1497" s="753"/>
      <c r="H1497" s="753"/>
      <c r="I1497" s="753"/>
      <c r="J1497" s="753"/>
      <c r="K1497" s="753"/>
      <c r="L1497" s="753"/>
      <c r="M1497" s="753"/>
    </row>
    <row r="1498" spans="1:13" s="755" customFormat="1">
      <c r="A1498" s="816"/>
      <c r="B1498" s="753"/>
      <c r="C1498" s="753"/>
      <c r="D1498" s="753"/>
      <c r="E1498" s="753"/>
      <c r="F1498" s="753"/>
      <c r="G1498" s="753"/>
      <c r="H1498" s="753"/>
      <c r="I1498" s="753"/>
      <c r="J1498" s="753"/>
      <c r="K1498" s="753"/>
      <c r="L1498" s="753"/>
      <c r="M1498" s="753"/>
    </row>
    <row r="1499" spans="1:13" s="755" customFormat="1">
      <c r="A1499" s="816"/>
      <c r="B1499" s="753"/>
      <c r="C1499" s="753"/>
      <c r="D1499" s="753"/>
      <c r="E1499" s="753"/>
      <c r="F1499" s="753"/>
      <c r="G1499" s="753"/>
      <c r="H1499" s="753"/>
      <c r="I1499" s="753"/>
      <c r="J1499" s="753"/>
      <c r="K1499" s="753"/>
      <c r="L1499" s="753"/>
      <c r="M1499" s="753"/>
    </row>
    <row r="1500" spans="1:13" s="755" customFormat="1">
      <c r="A1500" s="816"/>
      <c r="B1500" s="753"/>
      <c r="C1500" s="753"/>
      <c r="D1500" s="753"/>
      <c r="E1500" s="753"/>
      <c r="F1500" s="753"/>
      <c r="G1500" s="753"/>
      <c r="H1500" s="753"/>
      <c r="I1500" s="753"/>
      <c r="J1500" s="753"/>
      <c r="K1500" s="753"/>
      <c r="L1500" s="753"/>
      <c r="M1500" s="753"/>
    </row>
    <row r="1501" spans="1:13" s="755" customFormat="1">
      <c r="A1501" s="816"/>
      <c r="B1501" s="753"/>
      <c r="C1501" s="753"/>
      <c r="D1501" s="753"/>
      <c r="E1501" s="753"/>
      <c r="F1501" s="753"/>
      <c r="G1501" s="753"/>
      <c r="H1501" s="753"/>
      <c r="I1501" s="753"/>
      <c r="J1501" s="753"/>
      <c r="K1501" s="753"/>
      <c r="L1501" s="753"/>
      <c r="M1501" s="753"/>
    </row>
    <row r="1502" spans="1:13" s="755" customFormat="1">
      <c r="A1502" s="816"/>
      <c r="B1502" s="753"/>
      <c r="C1502" s="753"/>
      <c r="D1502" s="753"/>
      <c r="E1502" s="753"/>
      <c r="F1502" s="753"/>
      <c r="G1502" s="753"/>
      <c r="H1502" s="753"/>
      <c r="I1502" s="753"/>
      <c r="J1502" s="753"/>
      <c r="K1502" s="753"/>
      <c r="L1502" s="753"/>
      <c r="M1502" s="753"/>
    </row>
    <row r="1503" spans="1:13" s="755" customFormat="1">
      <c r="A1503" s="816"/>
      <c r="B1503" s="753"/>
      <c r="C1503" s="753"/>
      <c r="D1503" s="753"/>
      <c r="E1503" s="753"/>
      <c r="F1503" s="753"/>
      <c r="G1503" s="753"/>
      <c r="H1503" s="753"/>
      <c r="I1503" s="753"/>
      <c r="J1503" s="753"/>
      <c r="K1503" s="753"/>
      <c r="L1503" s="753"/>
      <c r="M1503" s="753"/>
    </row>
    <row r="1504" spans="1:13" s="755" customFormat="1">
      <c r="A1504" s="816"/>
      <c r="B1504" s="753"/>
      <c r="C1504" s="753"/>
      <c r="D1504" s="753"/>
      <c r="E1504" s="753"/>
      <c r="F1504" s="753"/>
      <c r="G1504" s="753"/>
      <c r="H1504" s="753"/>
      <c r="I1504" s="753"/>
      <c r="J1504" s="753"/>
      <c r="K1504" s="753"/>
      <c r="L1504" s="753"/>
      <c r="M1504" s="753"/>
    </row>
    <row r="1505" spans="1:13" s="755" customFormat="1">
      <c r="A1505" s="816"/>
      <c r="B1505" s="753"/>
      <c r="C1505" s="753"/>
      <c r="D1505" s="753"/>
      <c r="E1505" s="753"/>
      <c r="F1505" s="753"/>
      <c r="G1505" s="753"/>
      <c r="H1505" s="753"/>
      <c r="I1505" s="753"/>
      <c r="J1505" s="753"/>
      <c r="K1505" s="753"/>
      <c r="L1505" s="753"/>
      <c r="M1505" s="753"/>
    </row>
    <row r="1506" spans="1:13" s="755" customFormat="1">
      <c r="A1506" s="816"/>
      <c r="B1506" s="753"/>
      <c r="C1506" s="753"/>
      <c r="D1506" s="753"/>
      <c r="E1506" s="753"/>
      <c r="F1506" s="753"/>
      <c r="G1506" s="753"/>
      <c r="H1506" s="753"/>
      <c r="I1506" s="753"/>
      <c r="J1506" s="753"/>
      <c r="K1506" s="753"/>
      <c r="L1506" s="753"/>
      <c r="M1506" s="753"/>
    </row>
    <row r="1507" spans="1:13" s="755" customFormat="1">
      <c r="A1507" s="816"/>
      <c r="B1507" s="753"/>
      <c r="C1507" s="753"/>
      <c r="D1507" s="753"/>
      <c r="E1507" s="753"/>
      <c r="F1507" s="753"/>
      <c r="G1507" s="753"/>
      <c r="H1507" s="753"/>
      <c r="I1507" s="753"/>
      <c r="J1507" s="753"/>
      <c r="K1507" s="753"/>
      <c r="L1507" s="753"/>
      <c r="M1507" s="753"/>
    </row>
    <row r="1508" spans="1:13" s="755" customFormat="1">
      <c r="A1508" s="816"/>
      <c r="B1508" s="753"/>
      <c r="C1508" s="753"/>
      <c r="D1508" s="753"/>
      <c r="E1508" s="753"/>
      <c r="F1508" s="753"/>
      <c r="G1508" s="753"/>
      <c r="H1508" s="753"/>
      <c r="I1508" s="753"/>
      <c r="J1508" s="753"/>
      <c r="K1508" s="753"/>
      <c r="L1508" s="753"/>
      <c r="M1508" s="753"/>
    </row>
    <row r="1509" spans="1:13" s="755" customFormat="1">
      <c r="A1509" s="816"/>
      <c r="B1509" s="753"/>
      <c r="C1509" s="753"/>
      <c r="D1509" s="753"/>
      <c r="E1509" s="753"/>
      <c r="F1509" s="753"/>
      <c r="G1509" s="753"/>
      <c r="H1509" s="753"/>
      <c r="I1509" s="753"/>
      <c r="J1509" s="753"/>
      <c r="K1509" s="753"/>
      <c r="L1509" s="753"/>
      <c r="M1509" s="753"/>
    </row>
    <row r="1510" spans="1:13" s="755" customFormat="1">
      <c r="A1510" s="816"/>
      <c r="B1510" s="753"/>
      <c r="C1510" s="753"/>
      <c r="D1510" s="753"/>
      <c r="E1510" s="753"/>
      <c r="F1510" s="753"/>
      <c r="G1510" s="753"/>
      <c r="H1510" s="753"/>
      <c r="I1510" s="753"/>
      <c r="J1510" s="753"/>
      <c r="K1510" s="753"/>
      <c r="L1510" s="753"/>
      <c r="M1510" s="753"/>
    </row>
    <row r="1511" spans="1:13" s="755" customFormat="1">
      <c r="A1511" s="816"/>
      <c r="B1511" s="753"/>
      <c r="C1511" s="753"/>
      <c r="D1511" s="753"/>
      <c r="E1511" s="753"/>
      <c r="F1511" s="753"/>
      <c r="G1511" s="753"/>
      <c r="H1511" s="753"/>
      <c r="I1511" s="753"/>
      <c r="J1511" s="753"/>
      <c r="K1511" s="753"/>
      <c r="L1511" s="753"/>
      <c r="M1511" s="753"/>
    </row>
    <row r="1512" spans="1:13" s="755" customFormat="1">
      <c r="A1512" s="816"/>
      <c r="B1512" s="753"/>
      <c r="C1512" s="753"/>
      <c r="D1512" s="753"/>
      <c r="E1512" s="753"/>
      <c r="F1512" s="753"/>
      <c r="G1512" s="753"/>
      <c r="H1512" s="753"/>
      <c r="I1512" s="753"/>
      <c r="J1512" s="753"/>
      <c r="K1512" s="753"/>
      <c r="L1512" s="753"/>
      <c r="M1512" s="753"/>
    </row>
    <row r="1513" spans="1:13" s="755" customFormat="1">
      <c r="A1513" s="816"/>
      <c r="B1513" s="753"/>
      <c r="C1513" s="753"/>
      <c r="D1513" s="753"/>
      <c r="E1513" s="753"/>
      <c r="F1513" s="753"/>
      <c r="G1513" s="753"/>
      <c r="H1513" s="753"/>
      <c r="I1513" s="753"/>
      <c r="J1513" s="753"/>
      <c r="K1513" s="753"/>
      <c r="L1513" s="753"/>
      <c r="M1513" s="753"/>
    </row>
    <row r="1514" spans="1:13" s="755" customFormat="1">
      <c r="A1514" s="816"/>
      <c r="B1514" s="753"/>
      <c r="C1514" s="753"/>
      <c r="D1514" s="753"/>
      <c r="E1514" s="753"/>
      <c r="F1514" s="753"/>
      <c r="G1514" s="753"/>
      <c r="H1514" s="753"/>
      <c r="I1514" s="753"/>
      <c r="J1514" s="753"/>
      <c r="K1514" s="753"/>
      <c r="L1514" s="753"/>
      <c r="M1514" s="753"/>
    </row>
    <row r="1515" spans="1:13" s="755" customFormat="1">
      <c r="A1515" s="816"/>
      <c r="B1515" s="753"/>
      <c r="C1515" s="753"/>
      <c r="D1515" s="753"/>
      <c r="E1515" s="753"/>
      <c r="F1515" s="753"/>
      <c r="G1515" s="753"/>
      <c r="H1515" s="753"/>
      <c r="I1515" s="753"/>
      <c r="J1515" s="753"/>
      <c r="K1515" s="753"/>
      <c r="L1515" s="753"/>
      <c r="M1515" s="753"/>
    </row>
    <row r="1516" spans="1:13" s="755" customFormat="1">
      <c r="A1516" s="816"/>
      <c r="B1516" s="753"/>
      <c r="C1516" s="753"/>
      <c r="D1516" s="753"/>
      <c r="E1516" s="753"/>
      <c r="F1516" s="753"/>
      <c r="G1516" s="753"/>
      <c r="H1516" s="753"/>
      <c r="I1516" s="753"/>
      <c r="J1516" s="753"/>
      <c r="K1516" s="753"/>
      <c r="L1516" s="753"/>
      <c r="M1516" s="753"/>
    </row>
    <row r="1517" spans="1:13" s="755" customFormat="1">
      <c r="A1517" s="816"/>
      <c r="B1517" s="753"/>
      <c r="C1517" s="753"/>
      <c r="D1517" s="753"/>
      <c r="E1517" s="753"/>
      <c r="F1517" s="753"/>
      <c r="G1517" s="753"/>
      <c r="H1517" s="753"/>
      <c r="I1517" s="753"/>
      <c r="J1517" s="753"/>
      <c r="K1517" s="753"/>
      <c r="L1517" s="753"/>
      <c r="M1517" s="753"/>
    </row>
    <row r="1518" spans="1:13" s="755" customFormat="1">
      <c r="A1518" s="816"/>
      <c r="B1518" s="753"/>
      <c r="C1518" s="753"/>
      <c r="D1518" s="753"/>
      <c r="E1518" s="753"/>
      <c r="F1518" s="753"/>
      <c r="G1518" s="753"/>
      <c r="H1518" s="753"/>
      <c r="I1518" s="753"/>
      <c r="J1518" s="753"/>
      <c r="K1518" s="753"/>
      <c r="L1518" s="753"/>
      <c r="M1518" s="753"/>
    </row>
    <row r="1519" spans="1:13" s="755" customFormat="1">
      <c r="A1519" s="816"/>
      <c r="B1519" s="753"/>
      <c r="C1519" s="753"/>
      <c r="D1519" s="753"/>
      <c r="E1519" s="753"/>
      <c r="F1519" s="753"/>
      <c r="G1519" s="753"/>
      <c r="H1519" s="753"/>
      <c r="I1519" s="753"/>
      <c r="J1519" s="753"/>
      <c r="K1519" s="753"/>
      <c r="L1519" s="753"/>
      <c r="M1519" s="753"/>
    </row>
    <row r="1520" spans="1:13" s="755" customFormat="1">
      <c r="A1520" s="816"/>
      <c r="B1520" s="753"/>
      <c r="C1520" s="753"/>
      <c r="D1520" s="753"/>
      <c r="E1520" s="753"/>
      <c r="F1520" s="753"/>
      <c r="G1520" s="753"/>
      <c r="H1520" s="753"/>
      <c r="I1520" s="753"/>
      <c r="J1520" s="753"/>
      <c r="K1520" s="753"/>
      <c r="L1520" s="753"/>
      <c r="M1520" s="753"/>
    </row>
    <row r="1521" spans="1:13" s="755" customFormat="1">
      <c r="A1521" s="816"/>
      <c r="B1521" s="753"/>
      <c r="C1521" s="753"/>
      <c r="D1521" s="753"/>
      <c r="E1521" s="753"/>
      <c r="F1521" s="753"/>
      <c r="G1521" s="753"/>
      <c r="H1521" s="753"/>
      <c r="I1521" s="753"/>
      <c r="J1521" s="753"/>
      <c r="K1521" s="753"/>
      <c r="L1521" s="753"/>
      <c r="M1521" s="753"/>
    </row>
    <row r="1522" spans="1:13" s="755" customFormat="1">
      <c r="A1522" s="816"/>
      <c r="B1522" s="753"/>
      <c r="C1522" s="753"/>
      <c r="D1522" s="753"/>
      <c r="E1522" s="753"/>
      <c r="F1522" s="753"/>
      <c r="G1522" s="753"/>
      <c r="H1522" s="753"/>
      <c r="I1522" s="753"/>
      <c r="J1522" s="753"/>
      <c r="K1522" s="753"/>
      <c r="L1522" s="753"/>
      <c r="M1522" s="753"/>
    </row>
    <row r="1523" spans="1:13" s="755" customFormat="1">
      <c r="A1523" s="816"/>
      <c r="B1523" s="753"/>
      <c r="C1523" s="753"/>
      <c r="D1523" s="753"/>
      <c r="E1523" s="753"/>
      <c r="F1523" s="753"/>
      <c r="G1523" s="753"/>
      <c r="H1523" s="753"/>
      <c r="I1523" s="753"/>
      <c r="J1523" s="753"/>
      <c r="K1523" s="753"/>
      <c r="L1523" s="753"/>
      <c r="M1523" s="753"/>
    </row>
    <row r="1524" spans="1:13" s="755" customFormat="1">
      <c r="A1524" s="816"/>
      <c r="B1524" s="753"/>
      <c r="C1524" s="753"/>
      <c r="D1524" s="753"/>
      <c r="E1524" s="753"/>
      <c r="F1524" s="753"/>
      <c r="G1524" s="753"/>
      <c r="H1524" s="753"/>
      <c r="I1524" s="753"/>
      <c r="J1524" s="753"/>
      <c r="K1524" s="753"/>
      <c r="L1524" s="753"/>
      <c r="M1524" s="753"/>
    </row>
    <row r="1525" spans="1:13" s="755" customFormat="1">
      <c r="A1525" s="816"/>
      <c r="B1525" s="753"/>
      <c r="C1525" s="753"/>
      <c r="D1525" s="753"/>
      <c r="E1525" s="753"/>
      <c r="F1525" s="753"/>
      <c r="G1525" s="753"/>
      <c r="H1525" s="753"/>
      <c r="I1525" s="753"/>
      <c r="J1525" s="753"/>
      <c r="K1525" s="753"/>
      <c r="L1525" s="753"/>
      <c r="M1525" s="753"/>
    </row>
    <row r="1526" spans="1:13" s="755" customFormat="1">
      <c r="A1526" s="816"/>
      <c r="B1526" s="753"/>
      <c r="C1526" s="753"/>
      <c r="D1526" s="753"/>
      <c r="E1526" s="753"/>
      <c r="F1526" s="753"/>
      <c r="G1526" s="753"/>
      <c r="H1526" s="753"/>
      <c r="I1526" s="753"/>
      <c r="J1526" s="753"/>
      <c r="K1526" s="753"/>
      <c r="L1526" s="753"/>
      <c r="M1526" s="753"/>
    </row>
    <row r="1527" spans="1:13" s="755" customFormat="1">
      <c r="A1527" s="816"/>
      <c r="B1527" s="753"/>
      <c r="C1527" s="753"/>
      <c r="D1527" s="753"/>
      <c r="E1527" s="753"/>
      <c r="F1527" s="753"/>
      <c r="G1527" s="753"/>
      <c r="H1527" s="753"/>
      <c r="I1527" s="753"/>
      <c r="J1527" s="753"/>
      <c r="K1527" s="753"/>
      <c r="L1527" s="753"/>
      <c r="M1527" s="753"/>
    </row>
    <row r="1528" spans="1:13" s="755" customFormat="1">
      <c r="A1528" s="816"/>
      <c r="B1528" s="753"/>
      <c r="C1528" s="753"/>
      <c r="D1528" s="753"/>
      <c r="E1528" s="753"/>
      <c r="F1528" s="753"/>
      <c r="G1528" s="753"/>
      <c r="H1528" s="753"/>
      <c r="I1528" s="753"/>
      <c r="J1528" s="753"/>
      <c r="K1528" s="753"/>
      <c r="L1528" s="753"/>
      <c r="M1528" s="753"/>
    </row>
    <row r="1529" spans="1:13" s="755" customFormat="1">
      <c r="A1529" s="816"/>
      <c r="B1529" s="753"/>
      <c r="C1529" s="753"/>
      <c r="D1529" s="753"/>
      <c r="E1529" s="753"/>
      <c r="F1529" s="753"/>
      <c r="G1529" s="753"/>
      <c r="H1529" s="753"/>
      <c r="I1529" s="753"/>
      <c r="J1529" s="753"/>
      <c r="K1529" s="753"/>
      <c r="L1529" s="753"/>
      <c r="M1529" s="753"/>
    </row>
    <row r="1530" spans="1:13" s="755" customFormat="1">
      <c r="A1530" s="816"/>
      <c r="B1530" s="753"/>
      <c r="C1530" s="753"/>
      <c r="D1530" s="753"/>
      <c r="E1530" s="753"/>
      <c r="F1530" s="753"/>
      <c r="G1530" s="753"/>
      <c r="H1530" s="753"/>
      <c r="I1530" s="753"/>
      <c r="J1530" s="753"/>
      <c r="K1530" s="753"/>
      <c r="L1530" s="753"/>
      <c r="M1530" s="753"/>
    </row>
    <row r="1531" spans="1:13" s="755" customFormat="1">
      <c r="A1531" s="816"/>
      <c r="B1531" s="753"/>
      <c r="C1531" s="753"/>
      <c r="D1531" s="753"/>
      <c r="E1531" s="753"/>
      <c r="F1531" s="753"/>
      <c r="G1531" s="753"/>
      <c r="H1531" s="753"/>
      <c r="I1531" s="753"/>
      <c r="J1531" s="753"/>
      <c r="K1531" s="753"/>
      <c r="L1531" s="753"/>
      <c r="M1531" s="753"/>
    </row>
    <row r="1532" spans="1:13" s="755" customFormat="1">
      <c r="A1532" s="816"/>
      <c r="B1532" s="753"/>
      <c r="C1532" s="753"/>
      <c r="D1532" s="753"/>
      <c r="E1532" s="753"/>
      <c r="F1532" s="753"/>
      <c r="G1532" s="753"/>
      <c r="H1532" s="753"/>
      <c r="I1532" s="753"/>
      <c r="J1532" s="753"/>
      <c r="K1532" s="753"/>
      <c r="L1532" s="753"/>
      <c r="M1532" s="753"/>
    </row>
    <row r="1533" spans="1:13" s="755" customFormat="1">
      <c r="A1533" s="816"/>
      <c r="B1533" s="753"/>
      <c r="C1533" s="753"/>
      <c r="D1533" s="753"/>
      <c r="E1533" s="753"/>
      <c r="F1533" s="753"/>
      <c r="G1533" s="753"/>
      <c r="H1533" s="753"/>
      <c r="I1533" s="753"/>
      <c r="J1533" s="753"/>
      <c r="K1533" s="753"/>
      <c r="L1533" s="753"/>
      <c r="M1533" s="753"/>
    </row>
    <row r="1534" spans="1:13" s="755" customFormat="1">
      <c r="A1534" s="816"/>
      <c r="B1534" s="753"/>
      <c r="C1534" s="753"/>
      <c r="D1534" s="753"/>
      <c r="E1534" s="753"/>
      <c r="F1534" s="753"/>
      <c r="G1534" s="753"/>
      <c r="H1534" s="753"/>
      <c r="I1534" s="753"/>
      <c r="J1534" s="753"/>
      <c r="K1534" s="753"/>
      <c r="L1534" s="753"/>
      <c r="M1534" s="753"/>
    </row>
    <row r="1535" spans="1:13" s="755" customFormat="1">
      <c r="A1535" s="816"/>
      <c r="B1535" s="753"/>
      <c r="C1535" s="753"/>
      <c r="D1535" s="753"/>
      <c r="E1535" s="753"/>
      <c r="F1535" s="753"/>
      <c r="G1535" s="753"/>
      <c r="H1535" s="753"/>
      <c r="I1535" s="753"/>
      <c r="J1535" s="753"/>
      <c r="K1535" s="753"/>
      <c r="L1535" s="753"/>
      <c r="M1535" s="753"/>
    </row>
    <row r="1536" spans="1:13" s="755" customFormat="1">
      <c r="A1536" s="816"/>
      <c r="B1536" s="753"/>
      <c r="C1536" s="753"/>
      <c r="D1536" s="753"/>
      <c r="E1536" s="753"/>
      <c r="F1536" s="753"/>
      <c r="G1536" s="753"/>
      <c r="H1536" s="753"/>
      <c r="I1536" s="753"/>
      <c r="J1536" s="753"/>
      <c r="K1536" s="753"/>
      <c r="L1536" s="753"/>
      <c r="M1536" s="753"/>
    </row>
    <row r="1537" spans="1:13" s="755" customFormat="1">
      <c r="A1537" s="816"/>
      <c r="B1537" s="753"/>
      <c r="C1537" s="753"/>
      <c r="D1537" s="753"/>
      <c r="E1537" s="753"/>
      <c r="F1537" s="753"/>
      <c r="G1537" s="753"/>
      <c r="H1537" s="753"/>
      <c r="I1537" s="753"/>
      <c r="J1537" s="753"/>
      <c r="K1537" s="753"/>
      <c r="L1537" s="753"/>
      <c r="M1537" s="753"/>
    </row>
    <row r="1538" spans="1:13" s="755" customFormat="1">
      <c r="A1538" s="816"/>
      <c r="B1538" s="753"/>
      <c r="C1538" s="753"/>
      <c r="D1538" s="753"/>
      <c r="E1538" s="753"/>
      <c r="F1538" s="753"/>
      <c r="G1538" s="753"/>
      <c r="H1538" s="753"/>
      <c r="I1538" s="753"/>
      <c r="J1538" s="753"/>
      <c r="K1538" s="753"/>
      <c r="L1538" s="753"/>
      <c r="M1538" s="753"/>
    </row>
    <row r="1539" spans="1:13" s="755" customFormat="1">
      <c r="A1539" s="816"/>
      <c r="B1539" s="753"/>
      <c r="C1539" s="753"/>
      <c r="D1539" s="753"/>
      <c r="E1539" s="753"/>
      <c r="F1539" s="753"/>
      <c r="G1539" s="753"/>
      <c r="H1539" s="753"/>
      <c r="I1539" s="753"/>
      <c r="J1539" s="753"/>
      <c r="K1539" s="753"/>
      <c r="L1539" s="753"/>
      <c r="M1539" s="753"/>
    </row>
    <row r="1540" spans="1:13" s="755" customFormat="1">
      <c r="A1540" s="816"/>
      <c r="B1540" s="753"/>
      <c r="C1540" s="753"/>
      <c r="D1540" s="753"/>
      <c r="E1540" s="753"/>
      <c r="F1540" s="753"/>
      <c r="G1540" s="753"/>
      <c r="H1540" s="753"/>
      <c r="I1540" s="753"/>
      <c r="J1540" s="753"/>
      <c r="K1540" s="753"/>
      <c r="L1540" s="753"/>
      <c r="M1540" s="753"/>
    </row>
    <row r="1541" spans="1:13" s="755" customFormat="1">
      <c r="A1541" s="816"/>
      <c r="B1541" s="753"/>
      <c r="C1541" s="753"/>
      <c r="D1541" s="753"/>
      <c r="E1541" s="753"/>
      <c r="F1541" s="753"/>
      <c r="G1541" s="753"/>
      <c r="H1541" s="753"/>
      <c r="I1541" s="753"/>
      <c r="J1541" s="753"/>
      <c r="K1541" s="753"/>
      <c r="L1541" s="753"/>
      <c r="M1541" s="753"/>
    </row>
    <row r="1542" spans="1:13" s="755" customFormat="1">
      <c r="A1542" s="816"/>
      <c r="B1542" s="753"/>
      <c r="C1542" s="753"/>
      <c r="D1542" s="753"/>
      <c r="E1542" s="753"/>
      <c r="F1542" s="753"/>
      <c r="G1542" s="753"/>
      <c r="H1542" s="753"/>
      <c r="I1542" s="753"/>
      <c r="J1542" s="753"/>
      <c r="K1542" s="753"/>
      <c r="L1542" s="753"/>
      <c r="M1542" s="753"/>
    </row>
    <row r="1543" spans="1:13" s="755" customFormat="1">
      <c r="A1543" s="816"/>
      <c r="B1543" s="753"/>
      <c r="C1543" s="753"/>
      <c r="D1543" s="753"/>
      <c r="E1543" s="753"/>
      <c r="F1543" s="753"/>
      <c r="G1543" s="753"/>
      <c r="H1543" s="753"/>
      <c r="I1543" s="753"/>
      <c r="J1543" s="753"/>
      <c r="K1543" s="753"/>
      <c r="L1543" s="753"/>
      <c r="M1543" s="753"/>
    </row>
    <row r="1544" spans="1:13" s="755" customFormat="1">
      <c r="A1544" s="816"/>
      <c r="B1544" s="753"/>
      <c r="C1544" s="753"/>
      <c r="D1544" s="753"/>
      <c r="E1544" s="753"/>
      <c r="F1544" s="753"/>
      <c r="G1544" s="753"/>
      <c r="H1544" s="753"/>
      <c r="I1544" s="753"/>
      <c r="J1544" s="753"/>
      <c r="K1544" s="753"/>
      <c r="L1544" s="753"/>
      <c r="M1544" s="753"/>
    </row>
    <row r="1545" spans="1:13" s="755" customFormat="1">
      <c r="A1545" s="816"/>
      <c r="B1545" s="753"/>
      <c r="C1545" s="753"/>
      <c r="D1545" s="753"/>
      <c r="E1545" s="753"/>
      <c r="F1545" s="753"/>
      <c r="G1545" s="753"/>
      <c r="H1545" s="753"/>
      <c r="I1545" s="753"/>
      <c r="J1545" s="753"/>
      <c r="K1545" s="753"/>
      <c r="L1545" s="753"/>
      <c r="M1545" s="753"/>
    </row>
    <row r="1546" spans="1:13" s="755" customFormat="1">
      <c r="A1546" s="816"/>
      <c r="B1546" s="753"/>
      <c r="C1546" s="753"/>
      <c r="D1546" s="753"/>
      <c r="E1546" s="753"/>
      <c r="F1546" s="753"/>
      <c r="G1546" s="753"/>
      <c r="H1546" s="753"/>
      <c r="I1546" s="753"/>
      <c r="J1546" s="753"/>
      <c r="K1546" s="753"/>
      <c r="L1546" s="753"/>
      <c r="M1546" s="753"/>
    </row>
    <row r="1547" spans="1:13" s="755" customFormat="1">
      <c r="A1547" s="816"/>
      <c r="B1547" s="753"/>
      <c r="C1547" s="753"/>
      <c r="D1547" s="753"/>
      <c r="E1547" s="753"/>
      <c r="F1547" s="753"/>
      <c r="G1547" s="753"/>
      <c r="H1547" s="753"/>
      <c r="I1547" s="753"/>
      <c r="J1547" s="753"/>
      <c r="K1547" s="753"/>
      <c r="L1547" s="753"/>
      <c r="M1547" s="753"/>
    </row>
    <row r="1548" spans="1:13" s="755" customFormat="1">
      <c r="A1548" s="816"/>
      <c r="B1548" s="753"/>
      <c r="C1548" s="753"/>
      <c r="D1548" s="753"/>
      <c r="E1548" s="753"/>
      <c r="F1548" s="753"/>
      <c r="G1548" s="753"/>
      <c r="H1548" s="753"/>
      <c r="I1548" s="753"/>
      <c r="J1548" s="753"/>
      <c r="K1548" s="753"/>
      <c r="L1548" s="753"/>
      <c r="M1548" s="753"/>
    </row>
    <row r="1549" spans="1:13" s="755" customFormat="1">
      <c r="A1549" s="816"/>
      <c r="B1549" s="753"/>
      <c r="C1549" s="753"/>
      <c r="D1549" s="753"/>
      <c r="E1549" s="753"/>
      <c r="F1549" s="753"/>
      <c r="G1549" s="753"/>
      <c r="H1549" s="753"/>
      <c r="I1549" s="753"/>
      <c r="J1549" s="753"/>
      <c r="K1549" s="753"/>
      <c r="L1549" s="753"/>
      <c r="M1549" s="753"/>
    </row>
    <row r="1550" spans="1:13" s="755" customFormat="1">
      <c r="A1550" s="816"/>
      <c r="B1550" s="753"/>
      <c r="C1550" s="753"/>
      <c r="D1550" s="753"/>
      <c r="E1550" s="753"/>
      <c r="F1550" s="753"/>
      <c r="G1550" s="753"/>
      <c r="H1550" s="753"/>
      <c r="I1550" s="753"/>
      <c r="J1550" s="753"/>
      <c r="K1550" s="753"/>
      <c r="L1550" s="753"/>
      <c r="M1550" s="753"/>
    </row>
    <row r="1551" spans="1:13" s="755" customFormat="1">
      <c r="A1551" s="816"/>
      <c r="B1551" s="753"/>
      <c r="C1551" s="753"/>
      <c r="D1551" s="753"/>
      <c r="E1551" s="753"/>
      <c r="F1551" s="753"/>
      <c r="G1551" s="753"/>
      <c r="H1551" s="753"/>
      <c r="I1551" s="753"/>
      <c r="J1551" s="753"/>
      <c r="K1551" s="753"/>
      <c r="L1551" s="753"/>
      <c r="M1551" s="753"/>
    </row>
    <row r="1552" spans="1:13" s="755" customFormat="1">
      <c r="A1552" s="816"/>
      <c r="B1552" s="753"/>
      <c r="C1552" s="753"/>
      <c r="D1552" s="753"/>
      <c r="E1552" s="753"/>
      <c r="F1552" s="753"/>
      <c r="G1552" s="753"/>
      <c r="H1552" s="753"/>
      <c r="I1552" s="753"/>
      <c r="J1552" s="753"/>
      <c r="K1552" s="753"/>
      <c r="L1552" s="753"/>
      <c r="M1552" s="753"/>
    </row>
    <row r="1553" spans="1:13" s="755" customFormat="1">
      <c r="A1553" s="816"/>
      <c r="B1553" s="753"/>
      <c r="C1553" s="753"/>
      <c r="D1553" s="753"/>
      <c r="E1553" s="753"/>
      <c r="F1553" s="753"/>
      <c r="G1553" s="753"/>
      <c r="H1553" s="753"/>
      <c r="I1553" s="753"/>
      <c r="J1553" s="753"/>
      <c r="K1553" s="753"/>
      <c r="L1553" s="753"/>
      <c r="M1553" s="753"/>
    </row>
    <row r="1554" spans="1:13" s="755" customFormat="1">
      <c r="A1554" s="816"/>
      <c r="B1554" s="753"/>
      <c r="C1554" s="753"/>
      <c r="D1554" s="753"/>
      <c r="E1554" s="753"/>
      <c r="F1554" s="753"/>
      <c r="G1554" s="753"/>
      <c r="H1554" s="753"/>
      <c r="I1554" s="753"/>
      <c r="J1554" s="753"/>
      <c r="K1554" s="753"/>
      <c r="L1554" s="753"/>
      <c r="M1554" s="753"/>
    </row>
    <row r="1555" spans="1:13" s="755" customFormat="1">
      <c r="A1555" s="816"/>
      <c r="B1555" s="753"/>
      <c r="C1555" s="753"/>
      <c r="D1555" s="753"/>
      <c r="E1555" s="753"/>
      <c r="F1555" s="753"/>
      <c r="G1555" s="753"/>
      <c r="H1555" s="753"/>
      <c r="I1555" s="753"/>
      <c r="J1555" s="753"/>
      <c r="K1555" s="753"/>
      <c r="L1555" s="753"/>
      <c r="M1555" s="753"/>
    </row>
    <row r="1556" spans="1:13" s="755" customFormat="1">
      <c r="A1556" s="816"/>
      <c r="B1556" s="753"/>
      <c r="C1556" s="753"/>
      <c r="D1556" s="753"/>
      <c r="E1556" s="753"/>
      <c r="F1556" s="753"/>
      <c r="G1556" s="753"/>
      <c r="H1556" s="753"/>
      <c r="I1556" s="753"/>
      <c r="J1556" s="753"/>
      <c r="K1556" s="753"/>
      <c r="L1556" s="753"/>
      <c r="M1556" s="753"/>
    </row>
    <row r="1557" spans="1:13" s="755" customFormat="1">
      <c r="A1557" s="816"/>
      <c r="B1557" s="753"/>
      <c r="C1557" s="753"/>
      <c r="D1557" s="753"/>
      <c r="E1557" s="753"/>
      <c r="F1557" s="753"/>
      <c r="G1557" s="753"/>
      <c r="H1557" s="753"/>
      <c r="I1557" s="753"/>
      <c r="J1557" s="753"/>
      <c r="K1557" s="753"/>
      <c r="L1557" s="753"/>
      <c r="M1557" s="753"/>
    </row>
    <row r="1558" spans="1:13" s="755" customFormat="1">
      <c r="A1558" s="816"/>
      <c r="B1558" s="753"/>
      <c r="C1558" s="753"/>
      <c r="D1558" s="753"/>
      <c r="E1558" s="753"/>
      <c r="F1558" s="753"/>
      <c r="G1558" s="753"/>
      <c r="H1558" s="753"/>
      <c r="I1558" s="753"/>
      <c r="J1558" s="753"/>
      <c r="K1558" s="753"/>
      <c r="L1558" s="753"/>
      <c r="M1558" s="753"/>
    </row>
    <row r="1559" spans="1:13" s="755" customFormat="1">
      <c r="A1559" s="816"/>
      <c r="B1559" s="753"/>
      <c r="C1559" s="753"/>
      <c r="D1559" s="753"/>
      <c r="E1559" s="753"/>
      <c r="F1559" s="753"/>
      <c r="G1559" s="753"/>
      <c r="H1559" s="753"/>
      <c r="I1559" s="753"/>
      <c r="J1559" s="753"/>
      <c r="K1559" s="753"/>
      <c r="L1559" s="753"/>
      <c r="M1559" s="753"/>
    </row>
    <row r="1560" spans="1:13" s="755" customFormat="1">
      <c r="A1560" s="816"/>
      <c r="B1560" s="753"/>
      <c r="C1560" s="753"/>
      <c r="D1560" s="753"/>
      <c r="E1560" s="753"/>
      <c r="F1560" s="753"/>
      <c r="G1560" s="753"/>
      <c r="H1560" s="753"/>
      <c r="I1560" s="753"/>
      <c r="J1560" s="753"/>
      <c r="K1560" s="753"/>
      <c r="L1560" s="753"/>
      <c r="M1560" s="753"/>
    </row>
    <row r="1561" spans="1:13" s="755" customFormat="1">
      <c r="A1561" s="816"/>
      <c r="B1561" s="753"/>
      <c r="C1561" s="753"/>
      <c r="D1561" s="753"/>
      <c r="E1561" s="753"/>
      <c r="F1561" s="753"/>
      <c r="G1561" s="753"/>
      <c r="H1561" s="753"/>
      <c r="I1561" s="753"/>
      <c r="J1561" s="753"/>
      <c r="K1561" s="753"/>
      <c r="L1561" s="753"/>
      <c r="M1561" s="753"/>
    </row>
    <row r="1562" spans="1:13" s="755" customFormat="1">
      <c r="A1562" s="816"/>
      <c r="B1562" s="753"/>
      <c r="C1562" s="753"/>
      <c r="D1562" s="753"/>
      <c r="E1562" s="753"/>
      <c r="F1562" s="753"/>
      <c r="G1562" s="753"/>
      <c r="H1562" s="753"/>
      <c r="I1562" s="753"/>
      <c r="J1562" s="753"/>
      <c r="K1562" s="753"/>
      <c r="L1562" s="753"/>
      <c r="M1562" s="753"/>
    </row>
    <row r="1563" spans="1:13" s="755" customFormat="1">
      <c r="A1563" s="816"/>
      <c r="B1563" s="753"/>
      <c r="C1563" s="753"/>
      <c r="D1563" s="753"/>
      <c r="E1563" s="753"/>
      <c r="F1563" s="753"/>
      <c r="G1563" s="753"/>
      <c r="H1563" s="753"/>
      <c r="I1563" s="753"/>
      <c r="J1563" s="753"/>
      <c r="K1563" s="753"/>
      <c r="L1563" s="753"/>
      <c r="M1563" s="753"/>
    </row>
    <row r="1564" spans="1:13" s="755" customFormat="1">
      <c r="A1564" s="816"/>
      <c r="B1564" s="753"/>
      <c r="C1564" s="753"/>
      <c r="D1564" s="753"/>
      <c r="E1564" s="753"/>
      <c r="F1564" s="753"/>
      <c r="G1564" s="753"/>
      <c r="H1564" s="753"/>
      <c r="I1564" s="753"/>
      <c r="J1564" s="753"/>
      <c r="K1564" s="753"/>
      <c r="L1564" s="753"/>
      <c r="M1564" s="753"/>
    </row>
    <row r="1565" spans="1:13" s="755" customFormat="1">
      <c r="A1565" s="816"/>
      <c r="B1565" s="753"/>
      <c r="C1565" s="753"/>
      <c r="D1565" s="753"/>
      <c r="E1565" s="753"/>
      <c r="F1565" s="753"/>
      <c r="G1565" s="753"/>
      <c r="H1565" s="753"/>
      <c r="I1565" s="753"/>
      <c r="J1565" s="753"/>
      <c r="K1565" s="753"/>
      <c r="L1565" s="753"/>
      <c r="M1565" s="753"/>
    </row>
    <row r="1566" spans="1:13" s="755" customFormat="1">
      <c r="A1566" s="816"/>
      <c r="B1566" s="753"/>
      <c r="C1566" s="753"/>
      <c r="D1566" s="753"/>
      <c r="E1566" s="753"/>
      <c r="F1566" s="753"/>
      <c r="G1566" s="753"/>
      <c r="H1566" s="753"/>
      <c r="I1566" s="753"/>
      <c r="J1566" s="753"/>
      <c r="K1566" s="753"/>
      <c r="L1566" s="753"/>
      <c r="M1566" s="753"/>
    </row>
    <row r="1567" spans="1:13" s="755" customFormat="1">
      <c r="A1567" s="816"/>
      <c r="B1567" s="753"/>
      <c r="C1567" s="753"/>
      <c r="D1567" s="753"/>
      <c r="E1567" s="753"/>
      <c r="F1567" s="753"/>
      <c r="G1567" s="753"/>
      <c r="H1567" s="753"/>
      <c r="I1567" s="753"/>
      <c r="J1567" s="753"/>
      <c r="K1567" s="753"/>
      <c r="L1567" s="753"/>
      <c r="M1567" s="753"/>
    </row>
    <row r="1568" spans="1:13" s="755" customFormat="1">
      <c r="A1568" s="816"/>
      <c r="B1568" s="753"/>
      <c r="C1568" s="753"/>
      <c r="D1568" s="753"/>
      <c r="E1568" s="753"/>
      <c r="F1568" s="753"/>
      <c r="G1568" s="753"/>
      <c r="H1568" s="753"/>
      <c r="I1568" s="753"/>
      <c r="J1568" s="753"/>
      <c r="K1568" s="753"/>
      <c r="L1568" s="753"/>
      <c r="M1568" s="753"/>
    </row>
    <row r="1569" spans="1:13" s="755" customFormat="1">
      <c r="A1569" s="816"/>
      <c r="B1569" s="753"/>
      <c r="C1569" s="753"/>
      <c r="D1569" s="753"/>
      <c r="E1569" s="753"/>
      <c r="F1569" s="753"/>
      <c r="G1569" s="753"/>
      <c r="H1569" s="753"/>
      <c r="I1569" s="753"/>
      <c r="J1569" s="753"/>
      <c r="K1569" s="753"/>
      <c r="L1569" s="753"/>
      <c r="M1569" s="753"/>
    </row>
    <row r="1570" spans="1:13" s="755" customFormat="1">
      <c r="A1570" s="816"/>
      <c r="B1570" s="753"/>
      <c r="C1570" s="753"/>
      <c r="D1570" s="753"/>
      <c r="E1570" s="753"/>
      <c r="F1570" s="753"/>
      <c r="G1570" s="753"/>
      <c r="H1570" s="753"/>
      <c r="I1570" s="753"/>
      <c r="J1570" s="753"/>
      <c r="K1570" s="753"/>
      <c r="L1570" s="753"/>
      <c r="M1570" s="753"/>
    </row>
    <row r="1571" spans="1:13" s="755" customFormat="1">
      <c r="A1571" s="816"/>
      <c r="B1571" s="753"/>
      <c r="C1571" s="753"/>
      <c r="D1571" s="753"/>
      <c r="E1571" s="753"/>
      <c r="F1571" s="753"/>
      <c r="G1571" s="753"/>
      <c r="H1571" s="753"/>
      <c r="I1571" s="753"/>
      <c r="J1571" s="753"/>
      <c r="K1571" s="753"/>
      <c r="L1571" s="753"/>
      <c r="M1571" s="753"/>
    </row>
    <row r="1572" spans="1:13" s="755" customFormat="1">
      <c r="A1572" s="816"/>
      <c r="B1572" s="753"/>
      <c r="C1572" s="753"/>
      <c r="D1572" s="753"/>
      <c r="E1572" s="753"/>
      <c r="F1572" s="753"/>
      <c r="G1572" s="753"/>
      <c r="H1572" s="753"/>
      <c r="I1572" s="753"/>
      <c r="J1572" s="753"/>
      <c r="K1572" s="753"/>
      <c r="L1572" s="753"/>
      <c r="M1572" s="753"/>
    </row>
    <row r="1573" spans="1:13" s="755" customFormat="1">
      <c r="A1573" s="816"/>
      <c r="B1573" s="753"/>
      <c r="C1573" s="753"/>
      <c r="D1573" s="753"/>
      <c r="E1573" s="753"/>
      <c r="F1573" s="753"/>
      <c r="G1573" s="753"/>
      <c r="H1573" s="753"/>
      <c r="I1573" s="753"/>
      <c r="J1573" s="753"/>
      <c r="K1573" s="753"/>
      <c r="L1573" s="753"/>
      <c r="M1573" s="753"/>
    </row>
    <row r="1574" spans="1:13" s="755" customFormat="1">
      <c r="A1574" s="816"/>
      <c r="B1574" s="753"/>
      <c r="C1574" s="753"/>
      <c r="D1574" s="753"/>
      <c r="E1574" s="753"/>
      <c r="F1574" s="753"/>
      <c r="G1574" s="753"/>
      <c r="H1574" s="753"/>
      <c r="I1574" s="753"/>
      <c r="J1574" s="753"/>
      <c r="K1574" s="753"/>
      <c r="L1574" s="753"/>
      <c r="M1574" s="753"/>
    </row>
    <row r="1575" spans="1:13" s="755" customFormat="1">
      <c r="A1575" s="816"/>
      <c r="B1575" s="753"/>
      <c r="C1575" s="753"/>
      <c r="D1575" s="753"/>
      <c r="E1575" s="753"/>
      <c r="F1575" s="753"/>
      <c r="G1575" s="753"/>
      <c r="H1575" s="753"/>
      <c r="I1575" s="753"/>
      <c r="J1575" s="753"/>
      <c r="K1575" s="753"/>
      <c r="L1575" s="753"/>
      <c r="M1575" s="753"/>
    </row>
    <row r="1576" spans="1:13" s="755" customFormat="1">
      <c r="A1576" s="816"/>
      <c r="B1576" s="753"/>
      <c r="C1576" s="753"/>
      <c r="D1576" s="753"/>
      <c r="E1576" s="753"/>
      <c r="F1576" s="753"/>
      <c r="G1576" s="753"/>
      <c r="H1576" s="753"/>
      <c r="I1576" s="753"/>
      <c r="J1576" s="753"/>
      <c r="K1576" s="753"/>
      <c r="L1576" s="753"/>
      <c r="M1576" s="753"/>
    </row>
    <row r="1577" spans="1:13" s="755" customFormat="1">
      <c r="A1577" s="816"/>
      <c r="B1577" s="753"/>
      <c r="C1577" s="753"/>
      <c r="D1577" s="753"/>
      <c r="E1577" s="753"/>
      <c r="F1577" s="753"/>
      <c r="G1577" s="753"/>
      <c r="H1577" s="753"/>
      <c r="I1577" s="753"/>
      <c r="J1577" s="753"/>
      <c r="K1577" s="753"/>
      <c r="L1577" s="753"/>
      <c r="M1577" s="753"/>
    </row>
    <row r="1578" spans="1:13" s="755" customFormat="1">
      <c r="A1578" s="816"/>
      <c r="B1578" s="753"/>
      <c r="C1578" s="753"/>
      <c r="D1578" s="753"/>
      <c r="E1578" s="753"/>
      <c r="F1578" s="753"/>
      <c r="G1578" s="753"/>
      <c r="H1578" s="753"/>
      <c r="I1578" s="753"/>
      <c r="J1578" s="753"/>
      <c r="K1578" s="753"/>
      <c r="L1578" s="753"/>
      <c r="M1578" s="753"/>
    </row>
    <row r="1579" spans="1:13" s="755" customFormat="1">
      <c r="A1579" s="816"/>
      <c r="B1579" s="753"/>
      <c r="C1579" s="753"/>
      <c r="D1579" s="753"/>
      <c r="E1579" s="753"/>
      <c r="F1579" s="753"/>
      <c r="G1579" s="753"/>
      <c r="H1579" s="753"/>
      <c r="I1579" s="753"/>
      <c r="J1579" s="753"/>
      <c r="K1579" s="753"/>
      <c r="L1579" s="753"/>
      <c r="M1579" s="753"/>
    </row>
    <row r="1580" spans="1:13" s="755" customFormat="1">
      <c r="A1580" s="816"/>
      <c r="B1580" s="753"/>
      <c r="C1580" s="753"/>
      <c r="D1580" s="753"/>
      <c r="E1580" s="753"/>
      <c r="F1580" s="753"/>
      <c r="G1580" s="753"/>
      <c r="H1580" s="753"/>
      <c r="I1580" s="753"/>
      <c r="J1580" s="753"/>
      <c r="K1580" s="753"/>
      <c r="L1580" s="753"/>
      <c r="M1580" s="753"/>
    </row>
    <row r="1581" spans="1:13" s="755" customFormat="1">
      <c r="A1581" s="816"/>
      <c r="B1581" s="753"/>
      <c r="C1581" s="753"/>
      <c r="D1581" s="753"/>
      <c r="E1581" s="753"/>
      <c r="F1581" s="753"/>
      <c r="G1581" s="753"/>
      <c r="H1581" s="753"/>
      <c r="I1581" s="753"/>
      <c r="J1581" s="753"/>
      <c r="K1581" s="753"/>
      <c r="L1581" s="753"/>
      <c r="M1581" s="753"/>
    </row>
    <row r="1582" spans="1:13" s="755" customFormat="1">
      <c r="A1582" s="816"/>
      <c r="B1582" s="753"/>
      <c r="C1582" s="753"/>
      <c r="D1582" s="753"/>
      <c r="E1582" s="753"/>
      <c r="F1582" s="753"/>
      <c r="G1582" s="753"/>
      <c r="H1582" s="753"/>
      <c r="I1582" s="753"/>
      <c r="J1582" s="753"/>
      <c r="K1582" s="753"/>
      <c r="L1582" s="753"/>
      <c r="M1582" s="753"/>
    </row>
    <row r="1583" spans="1:13" s="755" customFormat="1">
      <c r="A1583" s="816"/>
      <c r="B1583" s="753"/>
      <c r="C1583" s="753"/>
      <c r="D1583" s="753"/>
      <c r="E1583" s="753"/>
      <c r="F1583" s="753"/>
      <c r="G1583" s="753"/>
      <c r="H1583" s="753"/>
      <c r="I1583" s="753"/>
      <c r="J1583" s="753"/>
      <c r="K1583" s="753"/>
      <c r="L1583" s="753"/>
      <c r="M1583" s="753"/>
    </row>
    <row r="1584" spans="1:13" s="755" customFormat="1">
      <c r="A1584" s="816"/>
      <c r="B1584" s="753"/>
      <c r="C1584" s="753"/>
      <c r="D1584" s="753"/>
      <c r="E1584" s="753"/>
      <c r="F1584" s="753"/>
      <c r="G1584" s="753"/>
      <c r="H1584" s="753"/>
      <c r="I1584" s="753"/>
      <c r="J1584" s="753"/>
      <c r="K1584" s="753"/>
      <c r="L1584" s="753"/>
      <c r="M1584" s="753"/>
    </row>
    <row r="1585" spans="1:13" s="755" customFormat="1">
      <c r="A1585" s="816"/>
      <c r="B1585" s="753"/>
      <c r="C1585" s="753"/>
      <c r="D1585" s="753"/>
      <c r="E1585" s="753"/>
      <c r="F1585" s="753"/>
      <c r="G1585" s="753"/>
      <c r="H1585" s="753"/>
      <c r="I1585" s="753"/>
      <c r="J1585" s="753"/>
      <c r="K1585" s="753"/>
      <c r="L1585" s="753"/>
      <c r="M1585" s="753"/>
    </row>
    <row r="1586" spans="1:13" s="755" customFormat="1">
      <c r="A1586" s="816"/>
      <c r="B1586" s="753"/>
      <c r="C1586" s="753"/>
      <c r="D1586" s="753"/>
      <c r="E1586" s="753"/>
      <c r="F1586" s="753"/>
      <c r="G1586" s="753"/>
      <c r="H1586" s="753"/>
      <c r="I1586" s="753"/>
      <c r="J1586" s="753"/>
      <c r="K1586" s="753"/>
      <c r="L1586" s="753"/>
      <c r="M1586" s="753"/>
    </row>
    <row r="1587" spans="1:13" s="755" customFormat="1">
      <c r="A1587" s="816"/>
      <c r="B1587" s="753"/>
      <c r="C1587" s="753"/>
      <c r="D1587" s="753"/>
      <c r="E1587" s="753"/>
      <c r="F1587" s="753"/>
      <c r="G1587" s="753"/>
      <c r="H1587" s="753"/>
      <c r="I1587" s="753"/>
      <c r="J1587" s="753"/>
      <c r="K1587" s="753"/>
      <c r="L1587" s="753"/>
      <c r="M1587" s="753"/>
    </row>
    <row r="1588" spans="1:13" s="755" customFormat="1">
      <c r="A1588" s="816"/>
      <c r="B1588" s="753"/>
      <c r="C1588" s="753"/>
      <c r="D1588" s="753"/>
      <c r="E1588" s="753"/>
      <c r="F1588" s="753"/>
      <c r="G1588" s="753"/>
      <c r="H1588" s="753"/>
      <c r="I1588" s="753"/>
      <c r="J1588" s="753"/>
      <c r="K1588" s="753"/>
      <c r="L1588" s="753"/>
      <c r="M1588" s="753"/>
    </row>
    <row r="1589" spans="1:13" s="755" customFormat="1">
      <c r="A1589" s="816"/>
      <c r="B1589" s="753"/>
      <c r="C1589" s="753"/>
      <c r="D1589" s="753"/>
      <c r="E1589" s="753"/>
      <c r="F1589" s="753"/>
      <c r="G1589" s="753"/>
      <c r="H1589" s="753"/>
      <c r="I1589" s="753"/>
      <c r="J1589" s="753"/>
      <c r="K1589" s="753"/>
      <c r="L1589" s="753"/>
      <c r="M1589" s="753"/>
    </row>
    <row r="1590" spans="1:13" s="755" customFormat="1">
      <c r="A1590" s="816"/>
      <c r="B1590" s="753"/>
      <c r="C1590" s="753"/>
      <c r="D1590" s="753"/>
      <c r="E1590" s="753"/>
      <c r="F1590" s="753"/>
      <c r="G1590" s="753"/>
      <c r="H1590" s="753"/>
      <c r="I1590" s="753"/>
      <c r="J1590" s="753"/>
      <c r="K1590" s="753"/>
      <c r="L1590" s="753"/>
      <c r="M1590" s="753"/>
    </row>
    <row r="1591" spans="1:13" s="755" customFormat="1">
      <c r="A1591" s="816"/>
      <c r="B1591" s="753"/>
      <c r="C1591" s="753"/>
      <c r="D1591" s="753"/>
      <c r="E1591" s="753"/>
      <c r="F1591" s="753"/>
      <c r="G1591" s="753"/>
      <c r="H1591" s="753"/>
      <c r="I1591" s="753"/>
      <c r="J1591" s="753"/>
      <c r="K1591" s="753"/>
      <c r="L1591" s="753"/>
      <c r="M1591" s="753"/>
    </row>
    <row r="1592" spans="1:13" s="755" customFormat="1">
      <c r="A1592" s="816"/>
      <c r="B1592" s="753"/>
      <c r="C1592" s="753"/>
      <c r="D1592" s="753"/>
      <c r="E1592" s="753"/>
      <c r="F1592" s="753"/>
      <c r="G1592" s="753"/>
      <c r="H1592" s="753"/>
      <c r="I1592" s="753"/>
      <c r="J1592" s="753"/>
      <c r="K1592" s="753"/>
      <c r="L1592" s="753"/>
      <c r="M1592" s="753"/>
    </row>
    <row r="1593" spans="1:13" s="755" customFormat="1">
      <c r="A1593" s="816"/>
      <c r="B1593" s="753"/>
      <c r="C1593" s="753"/>
      <c r="D1593" s="753"/>
      <c r="E1593" s="753"/>
      <c r="F1593" s="753"/>
      <c r="G1593" s="753"/>
      <c r="H1593" s="753"/>
      <c r="I1593" s="753"/>
      <c r="J1593" s="753"/>
      <c r="K1593" s="753"/>
      <c r="L1593" s="753"/>
      <c r="M1593" s="753"/>
    </row>
    <row r="1594" spans="1:13" s="755" customFormat="1">
      <c r="A1594" s="816"/>
      <c r="B1594" s="753"/>
      <c r="C1594" s="753"/>
      <c r="D1594" s="753"/>
      <c r="E1594" s="753"/>
      <c r="F1594" s="753"/>
      <c r="G1594" s="753"/>
      <c r="H1594" s="753"/>
      <c r="I1594" s="753"/>
      <c r="J1594" s="753"/>
      <c r="K1594" s="753"/>
      <c r="L1594" s="753"/>
      <c r="M1594" s="753"/>
    </row>
    <row r="1595" spans="1:13" s="755" customFormat="1">
      <c r="A1595" s="816"/>
      <c r="B1595" s="753"/>
      <c r="C1595" s="753"/>
      <c r="D1595" s="753"/>
      <c r="E1595" s="753"/>
      <c r="F1595" s="753"/>
      <c r="G1595" s="753"/>
      <c r="H1595" s="753"/>
      <c r="I1595" s="753"/>
      <c r="J1595" s="753"/>
      <c r="K1595" s="753"/>
      <c r="L1595" s="753"/>
      <c r="M1595" s="753"/>
    </row>
    <row r="1596" spans="1:13" s="755" customFormat="1">
      <c r="A1596" s="816"/>
      <c r="B1596" s="753"/>
      <c r="C1596" s="753"/>
      <c r="D1596" s="753"/>
      <c r="E1596" s="753"/>
      <c r="F1596" s="753"/>
      <c r="G1596" s="753"/>
      <c r="H1596" s="753"/>
      <c r="I1596" s="753"/>
      <c r="J1596" s="753"/>
      <c r="K1596" s="753"/>
      <c r="L1596" s="753"/>
      <c r="M1596" s="753"/>
    </row>
    <row r="1597" spans="1:13" s="755" customFormat="1">
      <c r="A1597" s="816"/>
      <c r="B1597" s="753"/>
      <c r="C1597" s="753"/>
      <c r="D1597" s="753"/>
      <c r="E1597" s="753"/>
      <c r="F1597" s="753"/>
      <c r="G1597" s="753"/>
      <c r="H1597" s="753"/>
      <c r="I1597" s="753"/>
      <c r="J1597" s="753"/>
      <c r="K1597" s="753"/>
      <c r="L1597" s="753"/>
      <c r="M1597" s="753"/>
    </row>
    <row r="1598" spans="1:13" s="755" customFormat="1">
      <c r="A1598" s="816"/>
      <c r="B1598" s="753"/>
      <c r="C1598" s="753"/>
      <c r="D1598" s="753"/>
      <c r="E1598" s="753"/>
      <c r="F1598" s="753"/>
      <c r="G1598" s="753"/>
      <c r="H1598" s="753"/>
      <c r="I1598" s="753"/>
      <c r="J1598" s="753"/>
      <c r="K1598" s="753"/>
      <c r="L1598" s="753"/>
      <c r="M1598" s="753"/>
    </row>
    <row r="1599" spans="1:13" s="755" customFormat="1">
      <c r="A1599" s="816"/>
      <c r="B1599" s="753"/>
      <c r="C1599" s="753"/>
      <c r="D1599" s="753"/>
      <c r="E1599" s="753"/>
      <c r="F1599" s="753"/>
      <c r="G1599" s="753"/>
      <c r="H1599" s="753"/>
      <c r="I1599" s="753"/>
      <c r="J1599" s="753"/>
      <c r="K1599" s="753"/>
      <c r="L1599" s="753"/>
      <c r="M1599" s="753"/>
    </row>
    <row r="1600" spans="1:13" s="755" customFormat="1">
      <c r="A1600" s="816"/>
      <c r="B1600" s="753"/>
      <c r="C1600" s="753"/>
      <c r="D1600" s="753"/>
      <c r="E1600" s="753"/>
      <c r="F1600" s="753"/>
      <c r="G1600" s="753"/>
      <c r="H1600" s="753"/>
      <c r="I1600" s="753"/>
      <c r="J1600" s="753"/>
      <c r="K1600" s="753"/>
      <c r="L1600" s="753"/>
      <c r="M1600" s="753"/>
    </row>
    <row r="1601" spans="1:13" s="755" customFormat="1">
      <c r="A1601" s="816"/>
      <c r="B1601" s="753"/>
      <c r="C1601" s="753"/>
      <c r="D1601" s="753"/>
      <c r="E1601" s="753"/>
      <c r="F1601" s="753"/>
      <c r="G1601" s="753"/>
      <c r="H1601" s="753"/>
      <c r="I1601" s="753"/>
      <c r="J1601" s="753"/>
      <c r="K1601" s="753"/>
      <c r="L1601" s="753"/>
      <c r="M1601" s="753"/>
    </row>
    <row r="1602" spans="1:13" s="755" customFormat="1">
      <c r="A1602" s="816"/>
      <c r="B1602" s="753"/>
      <c r="C1602" s="753"/>
      <c r="D1602" s="753"/>
      <c r="E1602" s="753"/>
      <c r="F1602" s="753"/>
      <c r="G1602" s="753"/>
      <c r="H1602" s="753"/>
      <c r="I1602" s="753"/>
      <c r="J1602" s="753"/>
      <c r="K1602" s="753"/>
      <c r="L1602" s="753"/>
      <c r="M1602" s="753"/>
    </row>
    <row r="1603" spans="1:13" s="755" customFormat="1">
      <c r="A1603" s="816"/>
      <c r="B1603" s="753"/>
      <c r="C1603" s="753"/>
      <c r="D1603" s="753"/>
      <c r="E1603" s="753"/>
      <c r="F1603" s="753"/>
      <c r="G1603" s="753"/>
      <c r="H1603" s="753"/>
      <c r="I1603" s="753"/>
      <c r="J1603" s="753"/>
      <c r="K1603" s="753"/>
      <c r="L1603" s="753"/>
      <c r="M1603" s="753"/>
    </row>
    <row r="1604" spans="1:13" s="755" customFormat="1">
      <c r="A1604" s="816"/>
      <c r="B1604" s="753"/>
      <c r="C1604" s="753"/>
      <c r="D1604" s="753"/>
      <c r="E1604" s="753"/>
      <c r="F1604" s="753"/>
      <c r="G1604" s="753"/>
      <c r="H1604" s="753"/>
      <c r="I1604" s="753"/>
      <c r="J1604" s="753"/>
      <c r="K1604" s="753"/>
      <c r="L1604" s="753"/>
      <c r="M1604" s="753"/>
    </row>
    <row r="1605" spans="1:13" s="755" customFormat="1">
      <c r="A1605" s="816"/>
      <c r="B1605" s="753"/>
      <c r="C1605" s="753"/>
      <c r="D1605" s="753"/>
      <c r="E1605" s="753"/>
      <c r="F1605" s="753"/>
      <c r="G1605" s="753"/>
      <c r="H1605" s="753"/>
      <c r="I1605" s="753"/>
      <c r="J1605" s="753"/>
      <c r="K1605" s="753"/>
      <c r="L1605" s="753"/>
      <c r="M1605" s="753"/>
    </row>
    <row r="1606" spans="1:13" s="755" customFormat="1">
      <c r="A1606" s="816"/>
      <c r="B1606" s="753"/>
      <c r="C1606" s="753"/>
      <c r="D1606" s="753"/>
      <c r="E1606" s="753"/>
      <c r="F1606" s="753"/>
      <c r="G1606" s="753"/>
      <c r="H1606" s="753"/>
      <c r="I1606" s="753"/>
      <c r="J1606" s="753"/>
      <c r="K1606" s="753"/>
      <c r="L1606" s="753"/>
      <c r="M1606" s="753"/>
    </row>
    <row r="1607" spans="1:13" s="755" customFormat="1">
      <c r="A1607" s="816"/>
      <c r="B1607" s="753"/>
      <c r="C1607" s="753"/>
      <c r="D1607" s="753"/>
      <c r="E1607" s="753"/>
      <c r="F1607" s="753"/>
      <c r="G1607" s="753"/>
      <c r="H1607" s="753"/>
      <c r="I1607" s="753"/>
      <c r="J1607" s="753"/>
      <c r="K1607" s="753"/>
      <c r="L1607" s="753"/>
      <c r="M1607" s="753"/>
    </row>
    <row r="1608" spans="1:13" s="755" customFormat="1">
      <c r="A1608" s="816"/>
      <c r="B1608" s="753"/>
      <c r="C1608" s="753"/>
      <c r="D1608" s="753"/>
      <c r="E1608" s="753"/>
      <c r="F1608" s="753"/>
      <c r="G1608" s="753"/>
      <c r="H1608" s="753"/>
      <c r="I1608" s="753"/>
      <c r="J1608" s="753"/>
      <c r="K1608" s="753"/>
      <c r="L1608" s="753"/>
      <c r="M1608" s="753"/>
    </row>
    <row r="1609" spans="1:13" s="755" customFormat="1">
      <c r="A1609" s="816"/>
      <c r="B1609" s="753"/>
      <c r="C1609" s="753"/>
      <c r="D1609" s="753"/>
      <c r="E1609" s="753"/>
      <c r="F1609" s="753"/>
      <c r="G1609" s="753"/>
      <c r="H1609" s="753"/>
      <c r="I1609" s="753"/>
      <c r="J1609" s="753"/>
      <c r="K1609" s="753"/>
      <c r="L1609" s="753"/>
      <c r="M1609" s="753"/>
    </row>
    <row r="1610" spans="1:13" s="755" customFormat="1">
      <c r="A1610" s="816"/>
      <c r="B1610" s="753"/>
      <c r="C1610" s="753"/>
      <c r="D1610" s="753"/>
      <c r="E1610" s="753"/>
      <c r="F1610" s="753"/>
      <c r="G1610" s="753"/>
      <c r="H1610" s="753"/>
      <c r="I1610" s="753"/>
      <c r="J1610" s="753"/>
      <c r="K1610" s="753"/>
      <c r="L1610" s="753"/>
      <c r="M1610" s="753"/>
    </row>
    <row r="1611" spans="1:13" s="755" customFormat="1">
      <c r="A1611" s="816"/>
      <c r="B1611" s="753"/>
      <c r="C1611" s="753"/>
      <c r="D1611" s="753"/>
      <c r="E1611" s="753"/>
      <c r="F1611" s="753"/>
      <c r="G1611" s="753"/>
      <c r="H1611" s="753"/>
      <c r="I1611" s="753"/>
      <c r="J1611" s="753"/>
      <c r="K1611" s="753"/>
      <c r="L1611" s="753"/>
      <c r="M1611" s="753"/>
    </row>
    <row r="1612" spans="1:13" s="755" customFormat="1">
      <c r="A1612" s="816"/>
      <c r="B1612" s="753"/>
      <c r="C1612" s="753"/>
      <c r="D1612" s="753"/>
      <c r="E1612" s="753"/>
      <c r="F1612" s="753"/>
      <c r="G1612" s="753"/>
      <c r="H1612" s="753"/>
      <c r="I1612" s="753"/>
      <c r="J1612" s="753"/>
      <c r="K1612" s="753"/>
      <c r="L1612" s="753"/>
      <c r="M1612" s="753"/>
    </row>
    <row r="1613" spans="1:13" s="755" customFormat="1">
      <c r="A1613" s="816"/>
      <c r="B1613" s="753"/>
      <c r="C1613" s="753"/>
      <c r="D1613" s="753"/>
      <c r="E1613" s="753"/>
      <c r="F1613" s="753"/>
      <c r="G1613" s="753"/>
      <c r="H1613" s="753"/>
      <c r="I1613" s="753"/>
      <c r="J1613" s="753"/>
      <c r="K1613" s="753"/>
      <c r="L1613" s="753"/>
      <c r="M1613" s="753"/>
    </row>
    <row r="1614" spans="1:13" s="755" customFormat="1">
      <c r="A1614" s="816"/>
      <c r="B1614" s="753"/>
      <c r="C1614" s="753"/>
      <c r="D1614" s="753"/>
      <c r="E1614" s="753"/>
      <c r="F1614" s="753"/>
      <c r="G1614" s="753"/>
      <c r="H1614" s="753"/>
      <c r="I1614" s="753"/>
      <c r="J1614" s="753"/>
      <c r="K1614" s="753"/>
      <c r="L1614" s="753"/>
      <c r="M1614" s="753"/>
    </row>
    <row r="1615" spans="1:13" s="755" customFormat="1">
      <c r="A1615" s="816"/>
      <c r="B1615" s="753"/>
      <c r="C1615" s="753"/>
      <c r="D1615" s="753"/>
      <c r="E1615" s="753"/>
      <c r="F1615" s="753"/>
      <c r="G1615" s="753"/>
      <c r="H1615" s="753"/>
      <c r="I1615" s="753"/>
      <c r="J1615" s="753"/>
      <c r="K1615" s="753"/>
      <c r="L1615" s="753"/>
      <c r="M1615" s="753"/>
    </row>
    <row r="1616" spans="1:13" s="755" customFormat="1">
      <c r="A1616" s="816"/>
      <c r="B1616" s="753"/>
      <c r="C1616" s="753"/>
      <c r="D1616" s="753"/>
      <c r="E1616" s="753"/>
      <c r="F1616" s="753"/>
      <c r="G1616" s="753"/>
      <c r="H1616" s="753"/>
      <c r="I1616" s="753"/>
      <c r="J1616" s="753"/>
      <c r="K1616" s="753"/>
      <c r="L1616" s="753"/>
      <c r="M1616" s="753"/>
    </row>
    <row r="1617" spans="1:13" s="755" customFormat="1">
      <c r="A1617" s="816"/>
      <c r="B1617" s="753"/>
      <c r="C1617" s="753"/>
      <c r="D1617" s="753"/>
      <c r="E1617" s="753"/>
      <c r="F1617" s="753"/>
      <c r="G1617" s="753"/>
      <c r="H1617" s="753"/>
      <c r="I1617" s="753"/>
      <c r="J1617" s="753"/>
      <c r="K1617" s="753"/>
      <c r="L1617" s="753"/>
      <c r="M1617" s="753"/>
    </row>
    <row r="1618" spans="1:13" s="755" customFormat="1">
      <c r="A1618" s="816"/>
      <c r="B1618" s="753"/>
      <c r="C1618" s="753"/>
      <c r="D1618" s="753"/>
      <c r="E1618" s="753"/>
      <c r="F1618" s="753"/>
      <c r="G1618" s="753"/>
      <c r="H1618" s="753"/>
      <c r="I1618" s="753"/>
      <c r="J1618" s="753"/>
      <c r="K1618" s="753"/>
      <c r="L1618" s="753"/>
      <c r="M1618" s="753"/>
    </row>
    <row r="1619" spans="1:13" s="755" customFormat="1">
      <c r="A1619" s="816"/>
      <c r="B1619" s="753"/>
      <c r="C1619" s="753"/>
      <c r="D1619" s="753"/>
      <c r="E1619" s="753"/>
      <c r="F1619" s="753"/>
      <c r="G1619" s="753"/>
      <c r="H1619" s="753"/>
      <c r="I1619" s="753"/>
      <c r="J1619" s="753"/>
      <c r="K1619" s="753"/>
      <c r="L1619" s="753"/>
      <c r="M1619" s="753"/>
    </row>
    <row r="1620" spans="1:13" s="755" customFormat="1">
      <c r="A1620" s="816"/>
      <c r="B1620" s="753"/>
      <c r="C1620" s="753"/>
      <c r="D1620" s="753"/>
      <c r="E1620" s="753"/>
      <c r="F1620" s="753"/>
      <c r="G1620" s="753"/>
      <c r="H1620" s="753"/>
      <c r="I1620" s="753"/>
      <c r="J1620" s="753"/>
      <c r="K1620" s="753"/>
      <c r="L1620" s="753"/>
      <c r="M1620" s="753"/>
    </row>
    <row r="1621" spans="1:13" s="755" customFormat="1">
      <c r="A1621" s="816"/>
      <c r="B1621" s="753"/>
      <c r="C1621" s="753"/>
      <c r="D1621" s="753"/>
      <c r="E1621" s="753"/>
      <c r="F1621" s="753"/>
      <c r="G1621" s="753"/>
      <c r="H1621" s="753"/>
      <c r="I1621" s="753"/>
      <c r="J1621" s="753"/>
      <c r="K1621" s="753"/>
      <c r="L1621" s="753"/>
      <c r="M1621" s="753"/>
    </row>
    <row r="1622" spans="1:13" s="755" customFormat="1">
      <c r="A1622" s="816"/>
      <c r="B1622" s="753"/>
      <c r="C1622" s="753"/>
      <c r="D1622" s="753"/>
      <c r="E1622" s="753"/>
      <c r="F1622" s="753"/>
      <c r="G1622" s="753"/>
      <c r="H1622" s="753"/>
      <c r="I1622" s="753"/>
      <c r="J1622" s="753"/>
      <c r="K1622" s="753"/>
      <c r="L1622" s="753"/>
      <c r="M1622" s="753"/>
    </row>
    <row r="1623" spans="1:13" s="755" customFormat="1">
      <c r="A1623" s="816"/>
      <c r="B1623" s="753"/>
      <c r="C1623" s="753"/>
      <c r="D1623" s="753"/>
      <c r="E1623" s="753"/>
      <c r="F1623" s="753"/>
      <c r="G1623" s="753"/>
      <c r="H1623" s="753"/>
      <c r="I1623" s="753"/>
      <c r="J1623" s="753"/>
      <c r="K1623" s="753"/>
      <c r="L1623" s="753"/>
      <c r="M1623" s="753"/>
    </row>
    <row r="1624" spans="1:13" s="755" customFormat="1">
      <c r="A1624" s="816"/>
      <c r="B1624" s="753"/>
      <c r="C1624" s="753"/>
      <c r="D1624" s="753"/>
      <c r="E1624" s="753"/>
      <c r="F1624" s="753"/>
      <c r="G1624" s="753"/>
      <c r="H1624" s="753"/>
      <c r="I1624" s="753"/>
      <c r="J1624" s="753"/>
      <c r="K1624" s="753"/>
      <c r="L1624" s="753"/>
      <c r="M1624" s="753"/>
    </row>
    <row r="1625" spans="1:13" s="755" customFormat="1">
      <c r="A1625" s="816"/>
      <c r="B1625" s="753"/>
      <c r="C1625" s="753"/>
      <c r="D1625" s="753"/>
      <c r="E1625" s="753"/>
      <c r="F1625" s="753"/>
      <c r="G1625" s="753"/>
      <c r="H1625" s="753"/>
      <c r="I1625" s="753"/>
      <c r="J1625" s="753"/>
      <c r="K1625" s="753"/>
      <c r="L1625" s="753"/>
      <c r="M1625" s="753"/>
    </row>
    <row r="1626" spans="1:13" s="755" customFormat="1">
      <c r="A1626" s="816"/>
      <c r="B1626" s="753"/>
      <c r="C1626" s="753"/>
      <c r="D1626" s="753"/>
      <c r="E1626" s="753"/>
      <c r="F1626" s="753"/>
      <c r="G1626" s="753"/>
      <c r="H1626" s="753"/>
      <c r="I1626" s="753"/>
      <c r="J1626" s="753"/>
      <c r="K1626" s="753"/>
      <c r="L1626" s="753"/>
      <c r="M1626" s="753"/>
    </row>
    <row r="1627" spans="1:13" s="755" customFormat="1">
      <c r="A1627" s="816"/>
      <c r="B1627" s="753"/>
      <c r="C1627" s="753"/>
      <c r="D1627" s="753"/>
      <c r="E1627" s="753"/>
      <c r="F1627" s="753"/>
      <c r="G1627" s="753"/>
      <c r="H1627" s="753"/>
      <c r="I1627" s="753"/>
      <c r="J1627" s="753"/>
      <c r="K1627" s="753"/>
      <c r="L1627" s="753"/>
      <c r="M1627" s="753"/>
    </row>
    <row r="1628" spans="1:13" s="755" customFormat="1">
      <c r="A1628" s="816"/>
      <c r="B1628" s="753"/>
      <c r="C1628" s="753"/>
      <c r="D1628" s="753"/>
      <c r="E1628" s="753"/>
      <c r="F1628" s="753"/>
      <c r="G1628" s="753"/>
      <c r="H1628" s="753"/>
      <c r="I1628" s="753"/>
      <c r="J1628" s="753"/>
      <c r="K1628" s="753"/>
      <c r="L1628" s="753"/>
      <c r="M1628" s="753"/>
    </row>
    <row r="1629" spans="1:13" s="755" customFormat="1">
      <c r="A1629" s="816"/>
      <c r="B1629" s="753"/>
      <c r="C1629" s="753"/>
      <c r="D1629" s="753"/>
      <c r="E1629" s="753"/>
      <c r="F1629" s="753"/>
      <c r="G1629" s="753"/>
      <c r="H1629" s="753"/>
      <c r="I1629" s="753"/>
      <c r="J1629" s="753"/>
      <c r="K1629" s="753"/>
      <c r="L1629" s="753"/>
      <c r="M1629" s="753"/>
    </row>
    <row r="1630" spans="1:13" s="755" customFormat="1">
      <c r="A1630" s="816"/>
      <c r="B1630" s="753"/>
      <c r="C1630" s="753"/>
      <c r="D1630" s="753"/>
      <c r="E1630" s="753"/>
      <c r="F1630" s="753"/>
      <c r="G1630" s="753"/>
      <c r="H1630" s="753"/>
      <c r="I1630" s="753"/>
      <c r="J1630" s="753"/>
      <c r="K1630" s="753"/>
      <c r="L1630" s="753"/>
      <c r="M1630" s="753"/>
    </row>
    <row r="1631" spans="1:13" s="755" customFormat="1">
      <c r="A1631" s="816"/>
      <c r="B1631" s="753"/>
      <c r="C1631" s="753"/>
      <c r="D1631" s="753"/>
      <c r="E1631" s="753"/>
      <c r="F1631" s="753"/>
      <c r="G1631" s="753"/>
      <c r="H1631" s="753"/>
      <c r="I1631" s="753"/>
      <c r="J1631" s="753"/>
      <c r="K1631" s="753"/>
      <c r="L1631" s="753"/>
      <c r="M1631" s="753"/>
    </row>
    <row r="1632" spans="1:13" s="755" customFormat="1">
      <c r="A1632" s="816"/>
      <c r="B1632" s="753"/>
      <c r="C1632" s="753"/>
      <c r="D1632" s="753"/>
      <c r="E1632" s="753"/>
      <c r="F1632" s="753"/>
      <c r="G1632" s="753"/>
      <c r="H1632" s="753"/>
      <c r="I1632" s="753"/>
      <c r="J1632" s="753"/>
      <c r="K1632" s="753"/>
      <c r="L1632" s="753"/>
      <c r="M1632" s="753"/>
    </row>
    <row r="1633" spans="1:13" s="755" customFormat="1">
      <c r="A1633" s="816"/>
      <c r="B1633" s="753"/>
      <c r="C1633" s="753"/>
      <c r="D1633" s="753"/>
      <c r="E1633" s="753"/>
      <c r="F1633" s="753"/>
      <c r="G1633" s="753"/>
      <c r="H1633" s="753"/>
      <c r="I1633" s="753"/>
      <c r="J1633" s="753"/>
      <c r="K1633" s="753"/>
      <c r="L1633" s="753"/>
      <c r="M1633" s="753"/>
    </row>
    <row r="1634" spans="1:13" s="755" customFormat="1">
      <c r="A1634" s="816"/>
      <c r="B1634" s="753"/>
      <c r="C1634" s="753"/>
      <c r="D1634" s="753"/>
      <c r="E1634" s="753"/>
      <c r="F1634" s="753"/>
      <c r="G1634" s="753"/>
      <c r="H1634" s="753"/>
      <c r="I1634" s="753"/>
      <c r="J1634" s="753"/>
      <c r="K1634" s="753"/>
      <c r="L1634" s="753"/>
      <c r="M1634" s="753"/>
    </row>
    <row r="1635" spans="1:13" s="755" customFormat="1">
      <c r="A1635" s="816"/>
      <c r="B1635" s="753"/>
      <c r="C1635" s="753"/>
      <c r="D1635" s="753"/>
      <c r="E1635" s="753"/>
      <c r="F1635" s="753"/>
      <c r="G1635" s="753"/>
      <c r="H1635" s="753"/>
      <c r="I1635" s="753"/>
      <c r="J1635" s="753"/>
      <c r="K1635" s="753"/>
      <c r="L1635" s="753"/>
      <c r="M1635" s="753"/>
    </row>
    <row r="1636" spans="1:13" s="755" customFormat="1">
      <c r="A1636" s="816"/>
      <c r="B1636" s="753"/>
      <c r="C1636" s="753"/>
      <c r="D1636" s="753"/>
      <c r="E1636" s="753"/>
      <c r="F1636" s="753"/>
      <c r="G1636" s="753"/>
      <c r="H1636" s="753"/>
      <c r="I1636" s="753"/>
      <c r="J1636" s="753"/>
      <c r="K1636" s="753"/>
      <c r="L1636" s="753"/>
      <c r="M1636" s="753"/>
    </row>
    <row r="1637" spans="1:13" s="755" customFormat="1">
      <c r="A1637" s="816"/>
      <c r="B1637" s="753"/>
      <c r="C1637" s="753"/>
      <c r="D1637" s="753"/>
      <c r="E1637" s="753"/>
      <c r="F1637" s="753"/>
      <c r="G1637" s="753"/>
      <c r="H1637" s="753"/>
      <c r="I1637" s="753"/>
      <c r="J1637" s="753"/>
      <c r="K1637" s="753"/>
      <c r="L1637" s="753"/>
      <c r="M1637" s="753"/>
    </row>
    <row r="1638" spans="1:13" s="755" customFormat="1">
      <c r="A1638" s="816"/>
      <c r="B1638" s="753"/>
      <c r="C1638" s="753"/>
      <c r="D1638" s="753"/>
      <c r="E1638" s="753"/>
      <c r="F1638" s="753"/>
      <c r="G1638" s="753"/>
      <c r="H1638" s="753"/>
      <c r="I1638" s="753"/>
      <c r="J1638" s="753"/>
      <c r="K1638" s="753"/>
      <c r="L1638" s="753"/>
      <c r="M1638" s="753"/>
    </row>
    <row r="1639" spans="1:13" s="755" customFormat="1">
      <c r="A1639" s="816"/>
      <c r="B1639" s="753"/>
      <c r="C1639" s="753"/>
      <c r="D1639" s="753"/>
      <c r="E1639" s="753"/>
      <c r="F1639" s="753"/>
      <c r="G1639" s="753"/>
      <c r="H1639" s="753"/>
      <c r="I1639" s="753"/>
      <c r="J1639" s="753"/>
      <c r="K1639" s="753"/>
      <c r="L1639" s="753"/>
      <c r="M1639" s="753"/>
    </row>
    <row r="1640" spans="1:13" s="755" customFormat="1">
      <c r="A1640" s="816"/>
      <c r="B1640" s="753"/>
      <c r="C1640" s="753"/>
      <c r="D1640" s="753"/>
      <c r="E1640" s="753"/>
      <c r="F1640" s="753"/>
      <c r="G1640" s="753"/>
      <c r="H1640" s="753"/>
      <c r="I1640" s="753"/>
      <c r="J1640" s="753"/>
      <c r="K1640" s="753"/>
      <c r="L1640" s="753"/>
      <c r="M1640" s="753"/>
    </row>
    <row r="1641" spans="1:13" s="755" customFormat="1">
      <c r="A1641" s="816"/>
      <c r="B1641" s="753"/>
      <c r="C1641" s="753"/>
      <c r="D1641" s="753"/>
      <c r="E1641" s="753"/>
      <c r="F1641" s="753"/>
      <c r="G1641" s="753"/>
      <c r="H1641" s="753"/>
      <c r="I1641" s="753"/>
      <c r="J1641" s="753"/>
      <c r="K1641" s="753"/>
      <c r="L1641" s="753"/>
      <c r="M1641" s="753"/>
    </row>
    <row r="1642" spans="1:13" s="755" customFormat="1">
      <c r="A1642" s="816"/>
      <c r="B1642" s="753"/>
      <c r="C1642" s="753"/>
      <c r="D1642" s="753"/>
      <c r="E1642" s="753"/>
      <c r="F1642" s="753"/>
      <c r="G1642" s="753"/>
      <c r="H1642" s="753"/>
      <c r="I1642" s="753"/>
      <c r="J1642" s="753"/>
      <c r="K1642" s="753"/>
      <c r="L1642" s="753"/>
      <c r="M1642" s="753"/>
    </row>
    <row r="1643" spans="1:13" s="755" customFormat="1">
      <c r="A1643" s="816"/>
      <c r="B1643" s="753"/>
      <c r="C1643" s="753"/>
      <c r="D1643" s="753"/>
      <c r="E1643" s="753"/>
      <c r="F1643" s="753"/>
      <c r="G1643" s="753"/>
      <c r="H1643" s="753"/>
      <c r="I1643" s="753"/>
      <c r="J1643" s="753"/>
      <c r="K1643" s="753"/>
      <c r="L1643" s="753"/>
      <c r="M1643" s="753"/>
    </row>
    <row r="1644" spans="1:13" s="755" customFormat="1">
      <c r="A1644" s="816"/>
      <c r="B1644" s="753"/>
      <c r="C1644" s="753"/>
      <c r="D1644" s="753"/>
      <c r="E1644" s="753"/>
      <c r="F1644" s="753"/>
      <c r="G1644" s="753"/>
      <c r="H1644" s="753"/>
      <c r="I1644" s="753"/>
      <c r="J1644" s="753"/>
      <c r="K1644" s="753"/>
      <c r="L1644" s="753"/>
      <c r="M1644" s="753"/>
    </row>
    <row r="1645" spans="1:13" s="755" customFormat="1">
      <c r="A1645" s="816"/>
      <c r="B1645" s="753"/>
      <c r="C1645" s="753"/>
      <c r="D1645" s="753"/>
      <c r="E1645" s="753"/>
      <c r="F1645" s="753"/>
      <c r="G1645" s="753"/>
      <c r="H1645" s="753"/>
      <c r="I1645" s="753"/>
      <c r="J1645" s="753"/>
      <c r="K1645" s="753"/>
      <c r="L1645" s="753"/>
      <c r="M1645" s="753"/>
    </row>
    <row r="1646" spans="1:13" s="755" customFormat="1">
      <c r="A1646" s="816"/>
      <c r="B1646" s="753"/>
      <c r="C1646" s="753"/>
      <c r="D1646" s="753"/>
      <c r="E1646" s="753"/>
      <c r="F1646" s="753"/>
      <c r="G1646" s="753"/>
      <c r="H1646" s="753"/>
      <c r="I1646" s="753"/>
      <c r="J1646" s="753"/>
      <c r="K1646" s="753"/>
      <c r="L1646" s="753"/>
      <c r="M1646" s="753"/>
    </row>
    <row r="1647" spans="1:13" s="755" customFormat="1">
      <c r="A1647" s="816"/>
      <c r="B1647" s="753"/>
      <c r="C1647" s="753"/>
      <c r="D1647" s="753"/>
      <c r="E1647" s="753"/>
      <c r="F1647" s="753"/>
      <c r="G1647" s="753"/>
      <c r="H1647" s="753"/>
      <c r="I1647" s="753"/>
      <c r="J1647" s="753"/>
      <c r="K1647" s="753"/>
      <c r="L1647" s="753"/>
      <c r="M1647" s="753"/>
    </row>
    <row r="1648" spans="1:13" s="755" customFormat="1">
      <c r="A1648" s="816"/>
      <c r="B1648" s="753"/>
      <c r="C1648" s="753"/>
      <c r="D1648" s="753"/>
      <c r="E1648" s="753"/>
      <c r="F1648" s="753"/>
      <c r="G1648" s="753"/>
      <c r="H1648" s="753"/>
      <c r="I1648" s="753"/>
      <c r="J1648" s="753"/>
      <c r="K1648" s="753"/>
      <c r="L1648" s="753"/>
      <c r="M1648" s="753"/>
    </row>
    <row r="1649" spans="1:13" s="755" customFormat="1">
      <c r="A1649" s="816"/>
      <c r="B1649" s="753"/>
      <c r="C1649" s="753"/>
      <c r="D1649" s="753"/>
      <c r="E1649" s="753"/>
      <c r="F1649" s="753"/>
      <c r="G1649" s="753"/>
      <c r="H1649" s="753"/>
      <c r="I1649" s="753"/>
      <c r="J1649" s="753"/>
      <c r="K1649" s="753"/>
      <c r="L1649" s="753"/>
      <c r="M1649" s="753"/>
    </row>
    <row r="1650" spans="1:13" s="755" customFormat="1">
      <c r="A1650" s="816"/>
      <c r="B1650" s="753"/>
      <c r="C1650" s="753"/>
      <c r="D1650" s="753"/>
      <c r="E1650" s="753"/>
      <c r="F1650" s="753"/>
      <c r="G1650" s="753"/>
      <c r="H1650" s="753"/>
      <c r="I1650" s="753"/>
      <c r="J1650" s="753"/>
      <c r="K1650" s="753"/>
      <c r="L1650" s="753"/>
      <c r="M1650" s="753"/>
    </row>
    <row r="1651" spans="1:13" s="755" customFormat="1">
      <c r="A1651" s="816"/>
      <c r="B1651" s="753"/>
      <c r="C1651" s="753"/>
      <c r="D1651" s="753"/>
      <c r="E1651" s="753"/>
      <c r="F1651" s="753"/>
      <c r="G1651" s="753"/>
      <c r="H1651" s="753"/>
      <c r="I1651" s="753"/>
      <c r="J1651" s="753"/>
      <c r="K1651" s="753"/>
      <c r="L1651" s="753"/>
      <c r="M1651" s="753"/>
    </row>
    <row r="1652" spans="1:13" s="755" customFormat="1">
      <c r="A1652" s="816"/>
      <c r="B1652" s="753"/>
      <c r="C1652" s="753"/>
      <c r="D1652" s="753"/>
      <c r="E1652" s="753"/>
      <c r="F1652" s="753"/>
      <c r="G1652" s="753"/>
      <c r="H1652" s="753"/>
      <c r="I1652" s="753"/>
      <c r="J1652" s="753"/>
      <c r="K1652" s="753"/>
      <c r="L1652" s="753"/>
      <c r="M1652" s="753"/>
    </row>
    <row r="1653" spans="1:13" s="755" customFormat="1">
      <c r="A1653" s="816"/>
      <c r="B1653" s="753"/>
      <c r="C1653" s="753"/>
      <c r="D1653" s="753"/>
      <c r="E1653" s="753"/>
      <c r="F1653" s="753"/>
      <c r="G1653" s="753"/>
      <c r="H1653" s="753"/>
      <c r="I1653" s="753"/>
      <c r="J1653" s="753"/>
      <c r="K1653" s="753"/>
      <c r="L1653" s="753"/>
      <c r="M1653" s="753"/>
    </row>
    <row r="1654" spans="1:13" s="755" customFormat="1">
      <c r="A1654" s="816"/>
      <c r="B1654" s="753"/>
      <c r="C1654" s="753"/>
      <c r="D1654" s="753"/>
      <c r="E1654" s="753"/>
      <c r="F1654" s="753"/>
      <c r="G1654" s="753"/>
      <c r="H1654" s="753"/>
      <c r="I1654" s="753"/>
      <c r="J1654" s="753"/>
      <c r="K1654" s="753"/>
      <c r="L1654" s="753"/>
      <c r="M1654" s="753"/>
    </row>
    <row r="1655" spans="1:13" s="755" customFormat="1">
      <c r="A1655" s="816"/>
      <c r="B1655" s="753"/>
      <c r="C1655" s="753"/>
      <c r="D1655" s="753"/>
      <c r="E1655" s="753"/>
      <c r="F1655" s="753"/>
      <c r="G1655" s="753"/>
      <c r="H1655" s="753"/>
      <c r="I1655" s="753"/>
      <c r="J1655" s="753"/>
      <c r="K1655" s="753"/>
      <c r="L1655" s="753"/>
      <c r="M1655" s="753"/>
    </row>
    <row r="1656" spans="1:13" s="755" customFormat="1">
      <c r="A1656" s="816"/>
      <c r="B1656" s="753"/>
      <c r="C1656" s="753"/>
      <c r="D1656" s="753"/>
      <c r="E1656" s="753"/>
      <c r="F1656" s="753"/>
      <c r="G1656" s="753"/>
      <c r="H1656" s="753"/>
      <c r="I1656" s="753"/>
      <c r="J1656" s="753"/>
      <c r="K1656" s="753"/>
      <c r="L1656" s="753"/>
      <c r="M1656" s="753"/>
    </row>
    <row r="1657" spans="1:13" s="755" customFormat="1">
      <c r="A1657" s="816"/>
      <c r="B1657" s="753"/>
      <c r="C1657" s="753"/>
      <c r="D1657" s="753"/>
      <c r="E1657" s="753"/>
      <c r="F1657" s="753"/>
      <c r="G1657" s="753"/>
      <c r="H1657" s="753"/>
      <c r="I1657" s="753"/>
      <c r="J1657" s="753"/>
      <c r="K1657" s="753"/>
      <c r="L1657" s="753"/>
      <c r="M1657" s="753"/>
    </row>
    <row r="1658" spans="1:13" s="755" customFormat="1">
      <c r="A1658" s="816"/>
      <c r="B1658" s="753"/>
      <c r="C1658" s="753"/>
      <c r="D1658" s="753"/>
      <c r="E1658" s="753"/>
      <c r="F1658" s="753"/>
      <c r="G1658" s="753"/>
      <c r="H1658" s="753"/>
      <c r="I1658" s="753"/>
      <c r="J1658" s="753"/>
      <c r="K1658" s="753"/>
      <c r="L1658" s="753"/>
      <c r="M1658" s="753"/>
    </row>
    <row r="1659" spans="1:13" s="755" customFormat="1">
      <c r="A1659" s="816"/>
      <c r="B1659" s="753"/>
      <c r="C1659" s="753"/>
      <c r="D1659" s="753"/>
      <c r="E1659" s="753"/>
      <c r="F1659" s="753"/>
      <c r="G1659" s="753"/>
      <c r="H1659" s="753"/>
      <c r="I1659" s="753"/>
      <c r="J1659" s="753"/>
      <c r="K1659" s="753"/>
      <c r="L1659" s="753"/>
      <c r="M1659" s="753"/>
    </row>
    <row r="1660" spans="1:13" s="755" customFormat="1">
      <c r="A1660" s="816"/>
      <c r="B1660" s="753"/>
      <c r="C1660" s="753"/>
      <c r="D1660" s="753"/>
      <c r="E1660" s="753"/>
      <c r="F1660" s="753"/>
      <c r="G1660" s="753"/>
      <c r="H1660" s="753"/>
      <c r="I1660" s="753"/>
      <c r="J1660" s="753"/>
      <c r="K1660" s="753"/>
      <c r="L1660" s="753"/>
      <c r="M1660" s="753"/>
    </row>
    <row r="1661" spans="1:13" s="755" customFormat="1">
      <c r="A1661" s="816"/>
      <c r="B1661" s="753"/>
      <c r="C1661" s="753"/>
      <c r="D1661" s="753"/>
      <c r="E1661" s="753"/>
      <c r="F1661" s="753"/>
      <c r="G1661" s="753"/>
      <c r="H1661" s="753"/>
      <c r="I1661" s="753"/>
      <c r="J1661" s="753"/>
      <c r="K1661" s="753"/>
      <c r="L1661" s="753"/>
      <c r="M1661" s="753"/>
    </row>
    <row r="1662" spans="1:13" s="755" customFormat="1">
      <c r="A1662" s="816"/>
      <c r="B1662" s="753"/>
      <c r="C1662" s="753"/>
      <c r="D1662" s="753"/>
      <c r="E1662" s="753"/>
      <c r="F1662" s="753"/>
      <c r="G1662" s="753"/>
      <c r="H1662" s="753"/>
      <c r="I1662" s="753"/>
      <c r="J1662" s="753"/>
      <c r="K1662" s="753"/>
      <c r="L1662" s="753"/>
      <c r="M1662" s="753"/>
    </row>
    <row r="1663" spans="1:13" s="755" customFormat="1">
      <c r="A1663" s="816"/>
      <c r="B1663" s="753"/>
      <c r="C1663" s="753"/>
      <c r="D1663" s="753"/>
      <c r="E1663" s="753"/>
      <c r="F1663" s="753"/>
      <c r="G1663" s="753"/>
      <c r="H1663" s="753"/>
      <c r="I1663" s="753"/>
      <c r="J1663" s="753"/>
      <c r="K1663" s="753"/>
      <c r="L1663" s="753"/>
      <c r="M1663" s="753"/>
    </row>
    <row r="1664" spans="1:13" s="755" customFormat="1">
      <c r="A1664" s="816"/>
      <c r="B1664" s="753"/>
      <c r="C1664" s="753"/>
      <c r="D1664" s="753"/>
      <c r="E1664" s="753"/>
      <c r="F1664" s="753"/>
      <c r="G1664" s="753"/>
      <c r="H1664" s="753"/>
      <c r="I1664" s="753"/>
      <c r="J1664" s="753"/>
      <c r="K1664" s="753"/>
      <c r="L1664" s="753"/>
      <c r="M1664" s="753"/>
    </row>
    <row r="1665" spans="1:13" s="755" customFormat="1">
      <c r="A1665" s="816"/>
      <c r="B1665" s="753"/>
      <c r="C1665" s="753"/>
      <c r="D1665" s="753"/>
      <c r="E1665" s="753"/>
      <c r="F1665" s="753"/>
      <c r="G1665" s="753"/>
      <c r="H1665" s="753"/>
      <c r="I1665" s="753"/>
      <c r="J1665" s="753"/>
      <c r="K1665" s="753"/>
      <c r="L1665" s="753"/>
      <c r="M1665" s="753"/>
    </row>
    <row r="1666" spans="1:13" s="755" customFormat="1">
      <c r="A1666" s="816"/>
      <c r="B1666" s="753"/>
      <c r="C1666" s="753"/>
      <c r="D1666" s="753"/>
      <c r="E1666" s="753"/>
      <c r="F1666" s="753"/>
      <c r="G1666" s="753"/>
      <c r="H1666" s="753"/>
      <c r="I1666" s="753"/>
      <c r="J1666" s="753"/>
      <c r="K1666" s="753"/>
      <c r="L1666" s="753"/>
      <c r="M1666" s="753"/>
    </row>
    <row r="1667" spans="1:13" s="755" customFormat="1">
      <c r="A1667" s="816"/>
      <c r="B1667" s="753"/>
      <c r="C1667" s="753"/>
      <c r="D1667" s="753"/>
      <c r="E1667" s="753"/>
      <c r="F1667" s="753"/>
      <c r="G1667" s="753"/>
      <c r="H1667" s="753"/>
      <c r="I1667" s="753"/>
      <c r="J1667" s="753"/>
      <c r="K1667" s="753"/>
      <c r="L1667" s="753"/>
      <c r="M1667" s="753"/>
    </row>
    <row r="1668" spans="1:13" s="755" customFormat="1">
      <c r="A1668" s="816"/>
      <c r="B1668" s="753"/>
      <c r="C1668" s="753"/>
      <c r="D1668" s="753"/>
      <c r="E1668" s="753"/>
      <c r="F1668" s="753"/>
      <c r="G1668" s="753"/>
      <c r="H1668" s="753"/>
      <c r="I1668" s="753"/>
      <c r="J1668" s="753"/>
      <c r="K1668" s="753"/>
      <c r="L1668" s="753"/>
      <c r="M1668" s="753"/>
    </row>
    <row r="1669" spans="1:13" s="755" customFormat="1">
      <c r="A1669" s="816"/>
      <c r="B1669" s="753"/>
      <c r="C1669" s="753"/>
      <c r="D1669" s="753"/>
      <c r="E1669" s="753"/>
      <c r="F1669" s="753"/>
      <c r="G1669" s="753"/>
      <c r="H1669" s="753"/>
      <c r="I1669" s="753"/>
      <c r="J1669" s="753"/>
      <c r="K1669" s="753"/>
      <c r="L1669" s="753"/>
      <c r="M1669" s="753"/>
    </row>
    <row r="1670" spans="1:13" s="755" customFormat="1">
      <c r="A1670" s="816"/>
      <c r="B1670" s="753"/>
      <c r="C1670" s="753"/>
      <c r="D1670" s="753"/>
      <c r="E1670" s="753"/>
      <c r="F1670" s="753"/>
      <c r="G1670" s="753"/>
      <c r="H1670" s="753"/>
      <c r="I1670" s="753"/>
      <c r="J1670" s="753"/>
      <c r="K1670" s="753"/>
      <c r="L1670" s="753"/>
      <c r="M1670" s="753"/>
    </row>
    <row r="1671" spans="1:13" s="755" customFormat="1">
      <c r="A1671" s="816"/>
      <c r="B1671" s="753"/>
      <c r="C1671" s="753"/>
      <c r="D1671" s="753"/>
      <c r="E1671" s="753"/>
      <c r="F1671" s="753"/>
      <c r="G1671" s="753"/>
      <c r="H1671" s="753"/>
      <c r="I1671" s="753"/>
      <c r="J1671" s="753"/>
      <c r="K1671" s="753"/>
      <c r="L1671" s="753"/>
      <c r="M1671" s="753"/>
    </row>
    <row r="1672" spans="1:13" s="755" customFormat="1">
      <c r="A1672" s="816"/>
      <c r="B1672" s="753"/>
      <c r="C1672" s="753"/>
      <c r="D1672" s="753"/>
      <c r="E1672" s="753"/>
      <c r="F1672" s="753"/>
      <c r="G1672" s="753"/>
      <c r="H1672" s="753"/>
      <c r="I1672" s="753"/>
      <c r="J1672" s="753"/>
      <c r="K1672" s="753"/>
      <c r="L1672" s="753"/>
      <c r="M1672" s="753"/>
    </row>
    <row r="1673" spans="1:13" s="755" customFormat="1">
      <c r="A1673" s="816"/>
      <c r="B1673" s="753"/>
      <c r="C1673" s="753"/>
      <c r="D1673" s="753"/>
      <c r="E1673" s="753"/>
      <c r="F1673" s="753"/>
      <c r="G1673" s="753"/>
      <c r="H1673" s="753"/>
      <c r="I1673" s="753"/>
      <c r="J1673" s="753"/>
      <c r="K1673" s="753"/>
      <c r="L1673" s="753"/>
      <c r="M1673" s="753"/>
    </row>
    <row r="1674" spans="1:13" s="755" customFormat="1">
      <c r="A1674" s="816"/>
      <c r="B1674" s="753"/>
      <c r="C1674" s="753"/>
      <c r="D1674" s="753"/>
      <c r="E1674" s="753"/>
      <c r="F1674" s="753"/>
      <c r="G1674" s="753"/>
      <c r="H1674" s="753"/>
      <c r="I1674" s="753"/>
      <c r="J1674" s="753"/>
      <c r="K1674" s="753"/>
      <c r="L1674" s="753"/>
      <c r="M1674" s="753"/>
    </row>
    <row r="1675" spans="1:13" s="755" customFormat="1">
      <c r="A1675" s="816"/>
      <c r="B1675" s="753"/>
      <c r="C1675" s="753"/>
      <c r="D1675" s="753"/>
      <c r="E1675" s="753"/>
      <c r="F1675" s="753"/>
      <c r="G1675" s="753"/>
      <c r="H1675" s="753"/>
      <c r="I1675" s="753"/>
      <c r="J1675" s="753"/>
      <c r="K1675" s="753"/>
      <c r="L1675" s="753"/>
      <c r="M1675" s="753"/>
    </row>
    <row r="1676" spans="1:13" s="755" customFormat="1">
      <c r="A1676" s="816"/>
      <c r="B1676" s="753"/>
      <c r="C1676" s="753"/>
      <c r="D1676" s="753"/>
      <c r="E1676" s="753"/>
      <c r="F1676" s="753"/>
      <c r="G1676" s="753"/>
      <c r="H1676" s="753"/>
      <c r="I1676" s="753"/>
      <c r="J1676" s="753"/>
      <c r="K1676" s="753"/>
      <c r="L1676" s="753"/>
      <c r="M1676" s="753"/>
    </row>
    <row r="1677" spans="1:13" s="755" customFormat="1">
      <c r="A1677" s="816"/>
      <c r="B1677" s="753"/>
      <c r="C1677" s="753"/>
      <c r="D1677" s="753"/>
      <c r="E1677" s="753"/>
      <c r="F1677" s="753"/>
      <c r="G1677" s="753"/>
      <c r="H1677" s="753"/>
      <c r="I1677" s="753"/>
      <c r="J1677" s="753"/>
      <c r="K1677" s="753"/>
      <c r="L1677" s="753"/>
      <c r="M1677" s="753"/>
    </row>
    <row r="1678" spans="1:13" s="755" customFormat="1">
      <c r="A1678" s="816"/>
      <c r="B1678" s="753"/>
      <c r="C1678" s="753"/>
      <c r="D1678" s="753"/>
      <c r="E1678" s="753"/>
      <c r="F1678" s="753"/>
      <c r="G1678" s="753"/>
      <c r="H1678" s="753"/>
      <c r="I1678" s="753"/>
      <c r="J1678" s="753"/>
      <c r="K1678" s="753"/>
      <c r="L1678" s="753"/>
      <c r="M1678" s="753"/>
    </row>
    <row r="1679" spans="1:13" s="755" customFormat="1">
      <c r="A1679" s="816"/>
      <c r="B1679" s="753"/>
      <c r="C1679" s="753"/>
      <c r="D1679" s="753"/>
      <c r="E1679" s="753"/>
      <c r="F1679" s="753"/>
      <c r="G1679" s="753"/>
      <c r="H1679" s="753"/>
      <c r="I1679" s="753"/>
      <c r="J1679" s="753"/>
      <c r="K1679" s="753"/>
      <c r="L1679" s="753"/>
      <c r="M1679" s="753"/>
    </row>
    <row r="1680" spans="1:13" s="755" customFormat="1">
      <c r="A1680" s="816"/>
      <c r="B1680" s="753"/>
      <c r="C1680" s="753"/>
      <c r="D1680" s="753"/>
      <c r="E1680" s="753"/>
      <c r="F1680" s="753"/>
      <c r="G1680" s="753"/>
      <c r="H1680" s="753"/>
      <c r="I1680" s="753"/>
      <c r="J1680" s="753"/>
      <c r="K1680" s="753"/>
      <c r="L1680" s="753"/>
      <c r="M1680" s="753"/>
    </row>
    <row r="1681" spans="1:13" s="755" customFormat="1">
      <c r="A1681" s="816"/>
      <c r="B1681" s="753"/>
      <c r="C1681" s="753"/>
      <c r="D1681" s="753"/>
      <c r="E1681" s="753"/>
      <c r="F1681" s="753"/>
      <c r="G1681" s="753"/>
      <c r="H1681" s="753"/>
      <c r="I1681" s="753"/>
      <c r="J1681" s="753"/>
      <c r="K1681" s="753"/>
      <c r="L1681" s="753"/>
      <c r="M1681" s="753"/>
    </row>
    <row r="1682" spans="1:13" s="755" customFormat="1">
      <c r="A1682" s="816"/>
      <c r="B1682" s="753"/>
      <c r="C1682" s="753"/>
      <c r="D1682" s="753"/>
      <c r="E1682" s="753"/>
      <c r="F1682" s="753"/>
      <c r="G1682" s="753"/>
      <c r="H1682" s="753"/>
      <c r="I1682" s="753"/>
      <c r="J1682" s="753"/>
      <c r="K1682" s="753"/>
      <c r="L1682" s="753"/>
      <c r="M1682" s="753"/>
    </row>
    <row r="1683" spans="1:13" s="755" customFormat="1">
      <c r="A1683" s="816"/>
      <c r="B1683" s="753"/>
      <c r="C1683" s="753"/>
      <c r="D1683" s="753"/>
      <c r="E1683" s="753"/>
      <c r="F1683" s="753"/>
      <c r="G1683" s="753"/>
      <c r="H1683" s="753"/>
      <c r="I1683" s="753"/>
      <c r="J1683" s="753"/>
      <c r="K1683" s="753"/>
      <c r="L1683" s="753"/>
      <c r="M1683" s="753"/>
    </row>
    <row r="1684" spans="1:13" s="755" customFormat="1">
      <c r="A1684" s="816"/>
      <c r="B1684" s="753"/>
      <c r="C1684" s="753"/>
      <c r="D1684" s="753"/>
      <c r="E1684" s="753"/>
      <c r="F1684" s="753"/>
      <c r="G1684" s="753"/>
      <c r="H1684" s="753"/>
      <c r="I1684" s="753"/>
      <c r="J1684" s="753"/>
      <c r="K1684" s="753"/>
      <c r="L1684" s="753"/>
      <c r="M1684" s="753"/>
    </row>
    <row r="1685" spans="1:13" s="755" customFormat="1">
      <c r="A1685" s="816"/>
      <c r="B1685" s="753"/>
      <c r="C1685" s="753"/>
      <c r="D1685" s="753"/>
      <c r="E1685" s="753"/>
      <c r="F1685" s="753"/>
      <c r="G1685" s="753"/>
      <c r="H1685" s="753"/>
      <c r="I1685" s="753"/>
      <c r="J1685" s="753"/>
      <c r="K1685" s="753"/>
      <c r="L1685" s="753"/>
      <c r="M1685" s="753"/>
    </row>
    <row r="1686" spans="1:13" s="755" customFormat="1">
      <c r="A1686" s="816"/>
      <c r="B1686" s="753"/>
      <c r="C1686" s="753"/>
      <c r="D1686" s="753"/>
      <c r="E1686" s="753"/>
      <c r="F1686" s="753"/>
      <c r="G1686" s="753"/>
      <c r="H1686" s="753"/>
      <c r="I1686" s="753"/>
      <c r="J1686" s="753"/>
      <c r="K1686" s="753"/>
      <c r="L1686" s="753"/>
      <c r="M1686" s="753"/>
    </row>
    <row r="1687" spans="1:13" s="755" customFormat="1">
      <c r="A1687" s="816"/>
      <c r="B1687" s="753"/>
      <c r="C1687" s="753"/>
      <c r="D1687" s="753"/>
      <c r="E1687" s="753"/>
      <c r="F1687" s="753"/>
      <c r="G1687" s="753"/>
      <c r="H1687" s="753"/>
      <c r="I1687" s="753"/>
      <c r="J1687" s="753"/>
      <c r="K1687" s="753"/>
      <c r="L1687" s="753"/>
      <c r="M1687" s="753"/>
    </row>
    <row r="1688" spans="1:13" s="755" customFormat="1">
      <c r="A1688" s="816"/>
      <c r="B1688" s="753"/>
      <c r="C1688" s="753"/>
      <c r="D1688" s="753"/>
      <c r="E1688" s="753"/>
      <c r="F1688" s="753"/>
      <c r="G1688" s="753"/>
      <c r="H1688" s="753"/>
      <c r="I1688" s="753"/>
      <c r="J1688" s="753"/>
      <c r="K1688" s="753"/>
      <c r="L1688" s="753"/>
      <c r="M1688" s="753"/>
    </row>
    <row r="1689" spans="1:13" s="755" customFormat="1">
      <c r="A1689" s="816"/>
      <c r="B1689" s="753"/>
      <c r="C1689" s="753"/>
      <c r="D1689" s="753"/>
      <c r="E1689" s="753"/>
      <c r="F1689" s="753"/>
      <c r="G1689" s="753"/>
      <c r="H1689" s="753"/>
      <c r="I1689" s="753"/>
      <c r="J1689" s="753"/>
      <c r="K1689" s="753"/>
      <c r="L1689" s="753"/>
      <c r="M1689" s="753"/>
    </row>
    <row r="1690" spans="1:13" s="755" customFormat="1">
      <c r="A1690" s="816"/>
      <c r="B1690" s="753"/>
      <c r="C1690" s="753"/>
      <c r="D1690" s="753"/>
      <c r="E1690" s="753"/>
      <c r="F1690" s="753"/>
      <c r="G1690" s="753"/>
      <c r="H1690" s="753"/>
      <c r="I1690" s="753"/>
      <c r="J1690" s="753"/>
      <c r="K1690" s="753"/>
      <c r="L1690" s="753"/>
      <c r="M1690" s="753"/>
    </row>
    <row r="1691" spans="1:13" s="755" customFormat="1">
      <c r="A1691" s="816"/>
      <c r="B1691" s="753"/>
      <c r="C1691" s="753"/>
      <c r="D1691" s="753"/>
      <c r="E1691" s="753"/>
      <c r="F1691" s="753"/>
      <c r="G1691" s="753"/>
      <c r="H1691" s="753"/>
      <c r="I1691" s="753"/>
      <c r="J1691" s="753"/>
      <c r="K1691" s="753"/>
      <c r="L1691" s="753"/>
      <c r="M1691" s="753"/>
    </row>
    <row r="1692" spans="1:13" s="755" customFormat="1">
      <c r="A1692" s="816"/>
      <c r="B1692" s="753"/>
      <c r="C1692" s="753"/>
      <c r="D1692" s="753"/>
      <c r="E1692" s="753"/>
      <c r="F1692" s="753"/>
      <c r="G1692" s="753"/>
      <c r="H1692" s="753"/>
      <c r="I1692" s="753"/>
      <c r="J1692" s="753"/>
      <c r="K1692" s="753"/>
      <c r="L1692" s="753"/>
      <c r="M1692" s="753"/>
    </row>
    <row r="1693" spans="1:13" s="755" customFormat="1">
      <c r="A1693" s="816"/>
      <c r="B1693" s="753"/>
      <c r="C1693" s="753"/>
      <c r="D1693" s="753"/>
      <c r="E1693" s="753"/>
      <c r="F1693" s="753"/>
      <c r="G1693" s="753"/>
      <c r="H1693" s="753"/>
      <c r="I1693" s="753"/>
      <c r="J1693" s="753"/>
      <c r="K1693" s="753"/>
      <c r="L1693" s="753"/>
      <c r="M1693" s="753"/>
    </row>
    <row r="1694" spans="1:13" s="755" customFormat="1">
      <c r="A1694" s="816"/>
      <c r="B1694" s="753"/>
      <c r="C1694" s="753"/>
      <c r="D1694" s="753"/>
      <c r="E1694" s="753"/>
      <c r="F1694" s="753"/>
      <c r="G1694" s="753"/>
      <c r="H1694" s="753"/>
      <c r="I1694" s="753"/>
      <c r="J1694" s="753"/>
      <c r="K1694" s="753"/>
      <c r="L1694" s="753"/>
      <c r="M1694" s="753"/>
    </row>
    <row r="1695" spans="1:13" s="755" customFormat="1">
      <c r="A1695" s="816"/>
      <c r="B1695" s="753"/>
      <c r="C1695" s="753"/>
      <c r="D1695" s="753"/>
      <c r="E1695" s="753"/>
      <c r="F1695" s="753"/>
      <c r="G1695" s="753"/>
      <c r="H1695" s="753"/>
      <c r="I1695" s="753"/>
      <c r="J1695" s="753"/>
      <c r="K1695" s="753"/>
      <c r="L1695" s="753"/>
      <c r="M1695" s="753"/>
    </row>
    <row r="1696" spans="1:13" s="755" customFormat="1">
      <c r="A1696" s="816"/>
      <c r="B1696" s="753"/>
      <c r="C1696" s="753"/>
      <c r="D1696" s="753"/>
      <c r="E1696" s="753"/>
      <c r="F1696" s="753"/>
      <c r="G1696" s="753"/>
      <c r="H1696" s="753"/>
      <c r="I1696" s="753"/>
      <c r="J1696" s="753"/>
      <c r="K1696" s="753"/>
      <c r="L1696" s="753"/>
      <c r="M1696" s="753"/>
    </row>
    <row r="1697" spans="1:13" s="755" customFormat="1">
      <c r="A1697" s="816"/>
      <c r="B1697" s="753"/>
      <c r="C1697" s="753"/>
      <c r="D1697" s="753"/>
      <c r="E1697" s="753"/>
      <c r="F1697" s="753"/>
      <c r="G1697" s="753"/>
      <c r="H1697" s="753"/>
      <c r="I1697" s="753"/>
      <c r="J1697" s="753"/>
      <c r="K1697" s="753"/>
      <c r="L1697" s="753"/>
      <c r="M1697" s="753"/>
    </row>
    <row r="1698" spans="1:13" s="755" customFormat="1">
      <c r="A1698" s="816"/>
      <c r="B1698" s="753"/>
      <c r="C1698" s="753"/>
      <c r="D1698" s="753"/>
      <c r="E1698" s="753"/>
      <c r="F1698" s="753"/>
      <c r="G1698" s="753"/>
      <c r="H1698" s="753"/>
      <c r="I1698" s="753"/>
      <c r="J1698" s="753"/>
      <c r="K1698" s="753"/>
      <c r="L1698" s="753"/>
      <c r="M1698" s="753"/>
    </row>
    <row r="1699" spans="1:13" s="755" customFormat="1">
      <c r="A1699" s="816"/>
      <c r="B1699" s="753"/>
      <c r="C1699" s="753"/>
      <c r="D1699" s="753"/>
      <c r="E1699" s="753"/>
      <c r="F1699" s="753"/>
      <c r="G1699" s="753"/>
      <c r="H1699" s="753"/>
      <c r="I1699" s="753"/>
      <c r="J1699" s="753"/>
      <c r="K1699" s="753"/>
      <c r="L1699" s="753"/>
      <c r="M1699" s="753"/>
    </row>
    <row r="1700" spans="1:13" s="755" customFormat="1">
      <c r="A1700" s="816"/>
      <c r="B1700" s="753"/>
      <c r="C1700" s="753"/>
      <c r="D1700" s="753"/>
      <c r="E1700" s="753"/>
      <c r="F1700" s="753"/>
      <c r="G1700" s="753"/>
      <c r="H1700" s="753"/>
      <c r="I1700" s="753"/>
      <c r="J1700" s="753"/>
      <c r="K1700" s="753"/>
      <c r="L1700" s="753"/>
      <c r="M1700" s="753"/>
    </row>
    <row r="1701" spans="1:13" s="755" customFormat="1">
      <c r="A1701" s="816"/>
      <c r="B1701" s="753"/>
      <c r="C1701" s="753"/>
      <c r="D1701" s="753"/>
      <c r="E1701" s="753"/>
      <c r="F1701" s="753"/>
      <c r="G1701" s="753"/>
      <c r="H1701" s="753"/>
      <c r="I1701" s="753"/>
      <c r="J1701" s="753"/>
      <c r="K1701" s="753"/>
      <c r="L1701" s="753"/>
      <c r="M1701" s="753"/>
    </row>
    <row r="1702" spans="1:13" s="755" customFormat="1">
      <c r="A1702" s="816"/>
      <c r="B1702" s="753"/>
      <c r="C1702" s="753"/>
      <c r="D1702" s="753"/>
      <c r="E1702" s="753"/>
      <c r="F1702" s="753"/>
      <c r="G1702" s="753"/>
      <c r="H1702" s="753"/>
      <c r="I1702" s="753"/>
      <c r="J1702" s="753"/>
      <c r="K1702" s="753"/>
      <c r="L1702" s="753"/>
      <c r="M1702" s="753"/>
    </row>
    <row r="1703" spans="1:13" s="755" customFormat="1">
      <c r="A1703" s="816"/>
      <c r="B1703" s="753"/>
      <c r="C1703" s="753"/>
      <c r="D1703" s="753"/>
      <c r="E1703" s="753"/>
      <c r="F1703" s="753"/>
      <c r="G1703" s="753"/>
      <c r="H1703" s="753"/>
      <c r="I1703" s="753"/>
      <c r="J1703" s="753"/>
      <c r="K1703" s="753"/>
      <c r="L1703" s="753"/>
      <c r="M1703" s="753"/>
    </row>
    <row r="1704" spans="1:13" s="755" customFormat="1">
      <c r="A1704" s="816"/>
      <c r="B1704" s="753"/>
      <c r="C1704" s="753"/>
      <c r="D1704" s="753"/>
      <c r="E1704" s="753"/>
      <c r="F1704" s="753"/>
      <c r="G1704" s="753"/>
      <c r="H1704" s="753"/>
      <c r="I1704" s="753"/>
      <c r="J1704" s="753"/>
      <c r="K1704" s="753"/>
      <c r="L1704" s="753"/>
      <c r="M1704" s="753"/>
    </row>
    <row r="1705" spans="1:13" s="755" customFormat="1">
      <c r="A1705" s="816"/>
      <c r="B1705" s="753"/>
      <c r="C1705" s="753"/>
      <c r="D1705" s="753"/>
      <c r="E1705" s="753"/>
      <c r="F1705" s="753"/>
      <c r="G1705" s="753"/>
      <c r="H1705" s="753"/>
      <c r="I1705" s="753"/>
      <c r="J1705" s="753"/>
      <c r="K1705" s="753"/>
      <c r="L1705" s="753"/>
      <c r="M1705" s="753"/>
    </row>
    <row r="1706" spans="1:13" s="755" customFormat="1">
      <c r="A1706" s="816"/>
      <c r="B1706" s="753"/>
      <c r="C1706" s="753"/>
      <c r="D1706" s="753"/>
      <c r="E1706" s="753"/>
      <c r="F1706" s="753"/>
      <c r="G1706" s="753"/>
      <c r="H1706" s="753"/>
      <c r="I1706" s="753"/>
      <c r="J1706" s="753"/>
      <c r="K1706" s="753"/>
      <c r="L1706" s="753"/>
      <c r="M1706" s="753"/>
    </row>
    <row r="1707" spans="1:13" s="755" customFormat="1">
      <c r="A1707" s="816"/>
      <c r="B1707" s="753"/>
      <c r="C1707" s="753"/>
      <c r="D1707" s="753"/>
      <c r="E1707" s="753"/>
      <c r="F1707" s="753"/>
      <c r="G1707" s="753"/>
      <c r="H1707" s="753"/>
      <c r="I1707" s="753"/>
      <c r="J1707" s="753"/>
      <c r="K1707" s="753"/>
      <c r="L1707" s="753"/>
      <c r="M1707" s="753"/>
    </row>
    <row r="1708" spans="1:13" s="755" customFormat="1">
      <c r="A1708" s="816"/>
      <c r="B1708" s="753"/>
      <c r="C1708" s="753"/>
      <c r="D1708" s="753"/>
      <c r="E1708" s="753"/>
      <c r="F1708" s="753"/>
      <c r="G1708" s="753"/>
      <c r="H1708" s="753"/>
      <c r="I1708" s="753"/>
      <c r="J1708" s="753"/>
      <c r="K1708" s="753"/>
      <c r="L1708" s="753"/>
      <c r="M1708" s="753"/>
    </row>
    <row r="1709" spans="1:13" s="755" customFormat="1">
      <c r="A1709" s="816"/>
      <c r="B1709" s="753"/>
      <c r="C1709" s="753"/>
      <c r="D1709" s="753"/>
      <c r="E1709" s="753"/>
      <c r="F1709" s="753"/>
      <c r="G1709" s="753"/>
      <c r="H1709" s="753"/>
      <c r="I1709" s="753"/>
      <c r="J1709" s="753"/>
      <c r="K1709" s="753"/>
      <c r="L1709" s="753"/>
      <c r="M1709" s="753"/>
    </row>
    <row r="1710" spans="1:13" s="755" customFormat="1">
      <c r="A1710" s="816"/>
      <c r="B1710" s="753"/>
      <c r="C1710" s="753"/>
      <c r="D1710" s="753"/>
      <c r="E1710" s="753"/>
      <c r="F1710" s="753"/>
      <c r="G1710" s="753"/>
      <c r="H1710" s="753"/>
      <c r="I1710" s="753"/>
      <c r="J1710" s="753"/>
      <c r="K1710" s="753"/>
      <c r="L1710" s="753"/>
      <c r="M1710" s="753"/>
    </row>
    <row r="1711" spans="1:13" s="755" customFormat="1">
      <c r="A1711" s="816"/>
      <c r="B1711" s="753"/>
      <c r="C1711" s="753"/>
      <c r="D1711" s="753"/>
      <c r="E1711" s="753"/>
      <c r="F1711" s="753"/>
      <c r="G1711" s="753"/>
      <c r="H1711" s="753"/>
      <c r="I1711" s="753"/>
      <c r="J1711" s="753"/>
      <c r="K1711" s="753"/>
      <c r="L1711" s="753"/>
      <c r="M1711" s="753"/>
    </row>
    <row r="1712" spans="1:13" s="755" customFormat="1">
      <c r="A1712" s="816"/>
      <c r="B1712" s="753"/>
      <c r="C1712" s="753"/>
      <c r="D1712" s="753"/>
      <c r="E1712" s="753"/>
      <c r="F1712" s="753"/>
      <c r="G1712" s="753"/>
      <c r="H1712" s="753"/>
      <c r="I1712" s="753"/>
      <c r="J1712" s="753"/>
      <c r="K1712" s="753"/>
      <c r="L1712" s="753"/>
      <c r="M1712" s="753"/>
    </row>
    <row r="1713" spans="1:13" s="755" customFormat="1">
      <c r="A1713" s="816"/>
      <c r="B1713" s="753"/>
      <c r="C1713" s="753"/>
      <c r="D1713" s="753"/>
      <c r="E1713" s="753"/>
      <c r="F1713" s="753"/>
      <c r="G1713" s="753"/>
      <c r="H1713" s="753"/>
      <c r="I1713" s="753"/>
      <c r="J1713" s="753"/>
      <c r="K1713" s="753"/>
      <c r="L1713" s="753"/>
      <c r="M1713" s="753"/>
    </row>
    <row r="1714" spans="1:13" s="755" customFormat="1">
      <c r="A1714" s="816"/>
      <c r="B1714" s="753"/>
      <c r="C1714" s="753"/>
      <c r="D1714" s="753"/>
      <c r="E1714" s="753"/>
      <c r="F1714" s="753"/>
      <c r="G1714" s="753"/>
      <c r="H1714" s="753"/>
      <c r="I1714" s="753"/>
      <c r="J1714" s="753"/>
      <c r="K1714" s="753"/>
      <c r="L1714" s="753"/>
      <c r="M1714" s="753"/>
    </row>
    <row r="1715" spans="1:13" s="755" customFormat="1">
      <c r="A1715" s="816"/>
      <c r="B1715" s="753"/>
      <c r="C1715" s="753"/>
      <c r="D1715" s="753"/>
      <c r="E1715" s="753"/>
      <c r="F1715" s="753"/>
      <c r="G1715" s="753"/>
      <c r="H1715" s="753"/>
      <c r="I1715" s="753"/>
      <c r="J1715" s="753"/>
      <c r="K1715" s="753"/>
      <c r="L1715" s="753"/>
      <c r="M1715" s="753"/>
    </row>
    <row r="1716" spans="1:13" s="755" customFormat="1">
      <c r="A1716" s="816"/>
      <c r="B1716" s="753"/>
      <c r="C1716" s="753"/>
      <c r="D1716" s="753"/>
      <c r="E1716" s="753"/>
      <c r="F1716" s="753"/>
      <c r="G1716" s="753"/>
      <c r="H1716" s="753"/>
      <c r="I1716" s="753"/>
      <c r="J1716" s="753"/>
      <c r="K1716" s="753"/>
      <c r="L1716" s="753"/>
      <c r="M1716" s="753"/>
    </row>
    <row r="1717" spans="1:13" s="755" customFormat="1">
      <c r="A1717" s="816"/>
      <c r="B1717" s="753"/>
      <c r="C1717" s="753"/>
      <c r="D1717" s="753"/>
      <c r="E1717" s="753"/>
      <c r="F1717" s="753"/>
      <c r="G1717" s="753"/>
      <c r="H1717" s="753"/>
      <c r="I1717" s="753"/>
      <c r="J1717" s="753"/>
      <c r="K1717" s="753"/>
      <c r="L1717" s="753"/>
      <c r="M1717" s="753"/>
    </row>
    <row r="1718" spans="1:13" s="755" customFormat="1">
      <c r="A1718" s="816"/>
      <c r="B1718" s="753"/>
      <c r="C1718" s="753"/>
      <c r="D1718" s="753"/>
      <c r="E1718" s="753"/>
      <c r="F1718" s="753"/>
      <c r="G1718" s="753"/>
      <c r="H1718" s="753"/>
      <c r="I1718" s="753"/>
      <c r="J1718" s="753"/>
      <c r="K1718" s="753"/>
      <c r="L1718" s="753"/>
      <c r="M1718" s="753"/>
    </row>
    <row r="1719" spans="1:13" s="755" customFormat="1">
      <c r="A1719" s="816"/>
      <c r="B1719" s="753"/>
      <c r="C1719" s="753"/>
      <c r="D1719" s="753"/>
      <c r="E1719" s="753"/>
      <c r="F1719" s="753"/>
      <c r="G1719" s="753"/>
      <c r="H1719" s="753"/>
      <c r="I1719" s="753"/>
      <c r="J1719" s="753"/>
      <c r="K1719" s="753"/>
      <c r="L1719" s="753"/>
      <c r="M1719" s="753"/>
    </row>
    <row r="1720" spans="1:13" s="755" customFormat="1">
      <c r="A1720" s="816"/>
      <c r="B1720" s="753"/>
      <c r="C1720" s="753"/>
      <c r="D1720" s="753"/>
      <c r="E1720" s="753"/>
      <c r="F1720" s="753"/>
      <c r="G1720" s="753"/>
      <c r="H1720" s="753"/>
      <c r="I1720" s="753"/>
      <c r="J1720" s="753"/>
      <c r="K1720" s="753"/>
      <c r="L1720" s="753"/>
      <c r="M1720" s="753"/>
    </row>
    <row r="1721" spans="1:13" s="755" customFormat="1">
      <c r="A1721" s="816"/>
      <c r="B1721" s="753"/>
      <c r="C1721" s="753"/>
      <c r="D1721" s="753"/>
      <c r="E1721" s="753"/>
      <c r="F1721" s="753"/>
      <c r="G1721" s="753"/>
      <c r="H1721" s="753"/>
      <c r="I1721" s="753"/>
      <c r="J1721" s="753"/>
      <c r="K1721" s="753"/>
      <c r="L1721" s="753"/>
      <c r="M1721" s="753"/>
    </row>
    <row r="1722" spans="1:13" s="755" customFormat="1">
      <c r="A1722" s="816"/>
      <c r="B1722" s="753"/>
      <c r="C1722" s="753"/>
      <c r="D1722" s="753"/>
      <c r="E1722" s="753"/>
      <c r="F1722" s="753"/>
      <c r="G1722" s="753"/>
      <c r="H1722" s="753"/>
      <c r="I1722" s="753"/>
      <c r="J1722" s="753"/>
      <c r="K1722" s="753"/>
      <c r="L1722" s="753"/>
      <c r="M1722" s="753"/>
    </row>
    <row r="1723" spans="1:13" s="755" customFormat="1">
      <c r="A1723" s="816"/>
      <c r="B1723" s="753"/>
      <c r="C1723" s="753"/>
      <c r="D1723" s="753"/>
      <c r="E1723" s="753"/>
      <c r="F1723" s="753"/>
      <c r="G1723" s="753"/>
      <c r="H1723" s="753"/>
      <c r="I1723" s="753"/>
      <c r="J1723" s="753"/>
      <c r="K1723" s="753"/>
      <c r="L1723" s="753"/>
      <c r="M1723" s="753"/>
    </row>
    <row r="1724" spans="1:13" s="755" customFormat="1">
      <c r="A1724" s="816"/>
      <c r="B1724" s="753"/>
      <c r="C1724" s="753"/>
      <c r="D1724" s="753"/>
      <c r="E1724" s="753"/>
      <c r="F1724" s="753"/>
      <c r="G1724" s="753"/>
      <c r="H1724" s="753"/>
      <c r="I1724" s="753"/>
      <c r="J1724" s="753"/>
      <c r="K1724" s="753"/>
      <c r="L1724" s="753"/>
      <c r="M1724" s="753"/>
    </row>
    <row r="1725" spans="1:13" s="755" customFormat="1">
      <c r="A1725" s="816"/>
      <c r="B1725" s="753"/>
      <c r="C1725" s="753"/>
      <c r="D1725" s="753"/>
      <c r="E1725" s="753"/>
      <c r="F1725" s="753"/>
      <c r="G1725" s="753"/>
      <c r="H1725" s="753"/>
      <c r="I1725" s="753"/>
      <c r="J1725" s="753"/>
      <c r="K1725" s="753"/>
      <c r="L1725" s="753"/>
      <c r="M1725" s="753"/>
    </row>
    <row r="1726" spans="1:13" s="755" customFormat="1">
      <c r="A1726" s="816"/>
      <c r="B1726" s="753"/>
      <c r="C1726" s="753"/>
      <c r="D1726" s="753"/>
      <c r="E1726" s="753"/>
      <c r="F1726" s="753"/>
      <c r="G1726" s="753"/>
      <c r="H1726" s="753"/>
      <c r="I1726" s="753"/>
      <c r="J1726" s="753"/>
      <c r="K1726" s="753"/>
      <c r="L1726" s="753"/>
      <c r="M1726" s="753"/>
    </row>
    <row r="1727" spans="1:13" s="755" customFormat="1">
      <c r="A1727" s="816"/>
      <c r="B1727" s="753"/>
      <c r="C1727" s="753"/>
      <c r="D1727" s="753"/>
      <c r="E1727" s="753"/>
      <c r="F1727" s="753"/>
      <c r="G1727" s="753"/>
      <c r="H1727" s="753"/>
      <c r="I1727" s="753"/>
      <c r="J1727" s="753"/>
      <c r="K1727" s="753"/>
      <c r="L1727" s="753"/>
      <c r="M1727" s="753"/>
    </row>
    <row r="1728" spans="1:13" s="755" customFormat="1">
      <c r="A1728" s="816"/>
      <c r="B1728" s="753"/>
      <c r="C1728" s="753"/>
      <c r="D1728" s="753"/>
      <c r="E1728" s="753"/>
      <c r="F1728" s="753"/>
      <c r="G1728" s="753"/>
      <c r="H1728" s="753"/>
      <c r="I1728" s="753"/>
      <c r="J1728" s="753"/>
      <c r="K1728" s="753"/>
      <c r="L1728" s="753"/>
      <c r="M1728" s="753"/>
    </row>
    <row r="1729" spans="1:13" s="755" customFormat="1">
      <c r="A1729" s="816"/>
      <c r="B1729" s="753"/>
      <c r="C1729" s="753"/>
      <c r="D1729" s="753"/>
      <c r="E1729" s="753"/>
      <c r="F1729" s="753"/>
      <c r="G1729" s="753"/>
      <c r="H1729" s="753"/>
      <c r="I1729" s="753"/>
      <c r="J1729" s="753"/>
      <c r="K1729" s="753"/>
      <c r="L1729" s="753"/>
      <c r="M1729" s="753"/>
    </row>
    <row r="1730" spans="1:13" s="755" customFormat="1">
      <c r="A1730" s="816"/>
      <c r="B1730" s="753"/>
      <c r="C1730" s="753"/>
      <c r="D1730" s="753"/>
      <c r="E1730" s="753"/>
      <c r="F1730" s="753"/>
      <c r="G1730" s="753"/>
      <c r="H1730" s="753"/>
      <c r="I1730" s="753"/>
      <c r="J1730" s="753"/>
      <c r="K1730" s="753"/>
      <c r="L1730" s="753"/>
      <c r="M1730" s="753"/>
    </row>
    <row r="1731" spans="1:13" s="755" customFormat="1">
      <c r="A1731" s="816"/>
      <c r="B1731" s="753"/>
      <c r="C1731" s="753"/>
      <c r="D1731" s="753"/>
      <c r="E1731" s="753"/>
      <c r="F1731" s="753"/>
      <c r="G1731" s="753"/>
      <c r="H1731" s="753"/>
      <c r="I1731" s="753"/>
      <c r="J1731" s="753"/>
      <c r="K1731" s="753"/>
      <c r="L1731" s="753"/>
      <c r="M1731" s="753"/>
    </row>
    <row r="1732" spans="1:13" s="755" customFormat="1">
      <c r="A1732" s="816"/>
      <c r="B1732" s="753"/>
      <c r="C1732" s="753"/>
      <c r="D1732" s="753"/>
      <c r="E1732" s="753"/>
      <c r="F1732" s="753"/>
      <c r="G1732" s="753"/>
      <c r="H1732" s="753"/>
      <c r="I1732" s="753"/>
      <c r="J1732" s="753"/>
      <c r="K1732" s="753"/>
      <c r="L1732" s="753"/>
      <c r="M1732" s="753"/>
    </row>
    <row r="1733" spans="1:13" s="755" customFormat="1">
      <c r="A1733" s="816"/>
      <c r="B1733" s="753"/>
      <c r="C1733" s="753"/>
      <c r="D1733" s="753"/>
      <c r="E1733" s="753"/>
      <c r="F1733" s="753"/>
      <c r="G1733" s="753"/>
      <c r="H1733" s="753"/>
      <c r="I1733" s="753"/>
      <c r="J1733" s="753"/>
      <c r="K1733" s="753"/>
      <c r="L1733" s="753"/>
      <c r="M1733" s="753"/>
    </row>
    <row r="1734" spans="1:13" s="755" customFormat="1">
      <c r="A1734" s="816"/>
      <c r="B1734" s="753"/>
      <c r="C1734" s="753"/>
      <c r="D1734" s="753"/>
      <c r="E1734" s="753"/>
      <c r="F1734" s="753"/>
      <c r="G1734" s="753"/>
      <c r="H1734" s="753"/>
      <c r="I1734" s="753"/>
      <c r="J1734" s="753"/>
      <c r="K1734" s="753"/>
      <c r="L1734" s="753"/>
      <c r="M1734" s="753"/>
    </row>
    <row r="1735" spans="1:13" s="755" customFormat="1">
      <c r="A1735" s="816"/>
      <c r="B1735" s="753"/>
      <c r="C1735" s="753"/>
      <c r="D1735" s="753"/>
      <c r="E1735" s="753"/>
      <c r="F1735" s="753"/>
      <c r="G1735" s="753"/>
      <c r="H1735" s="753"/>
      <c r="I1735" s="753"/>
      <c r="J1735" s="753"/>
      <c r="K1735" s="753"/>
      <c r="L1735" s="753"/>
      <c r="M1735" s="753"/>
    </row>
    <row r="1736" spans="1:13" s="755" customFormat="1">
      <c r="A1736" s="816"/>
      <c r="B1736" s="753"/>
      <c r="C1736" s="753"/>
      <c r="D1736" s="753"/>
      <c r="E1736" s="753"/>
      <c r="F1736" s="753"/>
      <c r="G1736" s="753"/>
      <c r="H1736" s="753"/>
      <c r="I1736" s="753"/>
      <c r="J1736" s="753"/>
      <c r="K1736" s="753"/>
      <c r="L1736" s="753"/>
      <c r="M1736" s="753"/>
    </row>
    <row r="1737" spans="1:13" s="755" customFormat="1">
      <c r="A1737" s="816"/>
      <c r="B1737" s="753"/>
      <c r="C1737" s="753"/>
      <c r="D1737" s="753"/>
      <c r="E1737" s="753"/>
      <c r="F1737" s="753"/>
      <c r="G1737" s="753"/>
      <c r="H1737" s="753"/>
      <c r="I1737" s="753"/>
      <c r="J1737" s="753"/>
      <c r="K1737" s="753"/>
      <c r="L1737" s="753"/>
      <c r="M1737" s="753"/>
    </row>
    <row r="1738" spans="1:13" s="755" customFormat="1">
      <c r="A1738" s="816"/>
      <c r="B1738" s="753"/>
      <c r="C1738" s="753"/>
      <c r="D1738" s="753"/>
      <c r="E1738" s="753"/>
      <c r="F1738" s="753"/>
      <c r="G1738" s="753"/>
      <c r="H1738" s="753"/>
      <c r="I1738" s="753"/>
      <c r="J1738" s="753"/>
      <c r="K1738" s="753"/>
      <c r="L1738" s="753"/>
      <c r="M1738" s="753"/>
    </row>
    <row r="1739" spans="1:13" s="755" customFormat="1">
      <c r="A1739" s="816"/>
      <c r="B1739" s="753"/>
      <c r="C1739" s="753"/>
      <c r="D1739" s="753"/>
      <c r="E1739" s="753"/>
      <c r="F1739" s="753"/>
      <c r="G1739" s="753"/>
      <c r="H1739" s="753"/>
      <c r="I1739" s="753"/>
      <c r="J1739" s="753"/>
      <c r="K1739" s="753"/>
      <c r="L1739" s="753"/>
      <c r="M1739" s="753"/>
    </row>
    <row r="1740" spans="1:13" s="755" customFormat="1">
      <c r="A1740" s="816"/>
      <c r="B1740" s="753"/>
      <c r="C1740" s="753"/>
      <c r="D1740" s="753"/>
      <c r="E1740" s="753"/>
      <c r="F1740" s="753"/>
      <c r="G1740" s="753"/>
      <c r="H1740" s="753"/>
      <c r="I1740" s="753"/>
      <c r="J1740" s="753"/>
      <c r="K1740" s="753"/>
      <c r="L1740" s="753"/>
      <c r="M1740" s="753"/>
    </row>
    <row r="1741" spans="1:13" s="755" customFormat="1">
      <c r="A1741" s="816"/>
      <c r="B1741" s="753"/>
      <c r="C1741" s="753"/>
      <c r="D1741" s="753"/>
      <c r="E1741" s="753"/>
      <c r="F1741" s="753"/>
      <c r="G1741" s="753"/>
      <c r="H1741" s="753"/>
      <c r="I1741" s="753"/>
      <c r="J1741" s="753"/>
      <c r="K1741" s="753"/>
      <c r="L1741" s="753"/>
      <c r="M1741" s="753"/>
    </row>
    <row r="1742" spans="1:13" s="755" customFormat="1">
      <c r="A1742" s="816"/>
      <c r="B1742" s="753"/>
      <c r="C1742" s="753"/>
      <c r="D1742" s="753"/>
      <c r="E1742" s="753"/>
      <c r="F1742" s="753"/>
      <c r="G1742" s="753"/>
      <c r="H1742" s="753"/>
      <c r="I1742" s="753"/>
      <c r="J1742" s="753"/>
      <c r="K1742" s="753"/>
      <c r="L1742" s="753"/>
      <c r="M1742" s="753"/>
    </row>
    <row r="1743" spans="1:13" s="755" customFormat="1">
      <c r="A1743" s="816"/>
      <c r="B1743" s="753"/>
      <c r="C1743" s="753"/>
      <c r="D1743" s="753"/>
      <c r="E1743" s="753"/>
      <c r="F1743" s="753"/>
      <c r="G1743" s="753"/>
      <c r="H1743" s="753"/>
      <c r="I1743" s="753"/>
      <c r="J1743" s="753"/>
      <c r="K1743" s="753"/>
      <c r="L1743" s="753"/>
      <c r="M1743" s="753"/>
    </row>
    <row r="1744" spans="1:13" s="755" customFormat="1">
      <c r="A1744" s="816"/>
      <c r="B1744" s="753"/>
      <c r="C1744" s="753"/>
      <c r="D1744" s="753"/>
      <c r="E1744" s="753"/>
      <c r="F1744" s="753"/>
      <c r="G1744" s="753"/>
      <c r="H1744" s="753"/>
      <c r="I1744" s="753"/>
      <c r="J1744" s="753"/>
      <c r="K1744" s="753"/>
      <c r="L1744" s="753"/>
      <c r="M1744" s="753"/>
    </row>
    <row r="1745" spans="1:13" s="755" customFormat="1">
      <c r="A1745" s="816"/>
      <c r="B1745" s="753"/>
      <c r="C1745" s="753"/>
      <c r="D1745" s="753"/>
      <c r="E1745" s="753"/>
      <c r="F1745" s="753"/>
      <c r="G1745" s="753"/>
      <c r="H1745" s="753"/>
      <c r="I1745" s="753"/>
      <c r="J1745" s="753"/>
      <c r="K1745" s="753"/>
      <c r="L1745" s="753"/>
      <c r="M1745" s="753"/>
    </row>
    <row r="1746" spans="1:13" s="755" customFormat="1">
      <c r="A1746" s="816"/>
      <c r="B1746" s="753"/>
      <c r="C1746" s="753"/>
      <c r="D1746" s="753"/>
      <c r="E1746" s="753"/>
      <c r="F1746" s="753"/>
      <c r="G1746" s="753"/>
      <c r="H1746" s="753"/>
      <c r="I1746" s="753"/>
      <c r="J1746" s="753"/>
      <c r="K1746" s="753"/>
      <c r="L1746" s="753"/>
      <c r="M1746" s="753"/>
    </row>
    <row r="1747" spans="1:13" s="755" customFormat="1">
      <c r="A1747" s="816"/>
      <c r="B1747" s="753"/>
      <c r="C1747" s="753"/>
      <c r="D1747" s="753"/>
      <c r="E1747" s="753"/>
      <c r="F1747" s="753"/>
      <c r="G1747" s="753"/>
      <c r="H1747" s="753"/>
      <c r="I1747" s="753"/>
      <c r="J1747" s="753"/>
      <c r="K1747" s="753"/>
      <c r="L1747" s="753"/>
      <c r="M1747" s="753"/>
    </row>
    <row r="1748" spans="1:13" s="755" customFormat="1">
      <c r="A1748" s="816"/>
      <c r="B1748" s="753"/>
      <c r="C1748" s="753"/>
      <c r="D1748" s="753"/>
      <c r="E1748" s="753"/>
      <c r="F1748" s="753"/>
      <c r="G1748" s="753"/>
      <c r="H1748" s="753"/>
      <c r="I1748" s="753"/>
      <c r="J1748" s="753"/>
      <c r="K1748" s="753"/>
      <c r="L1748" s="753"/>
      <c r="M1748" s="753"/>
    </row>
    <row r="1749" spans="1:13" s="755" customFormat="1">
      <c r="A1749" s="816"/>
      <c r="B1749" s="753"/>
      <c r="C1749" s="753"/>
      <c r="D1749" s="753"/>
      <c r="E1749" s="753"/>
      <c r="F1749" s="753"/>
      <c r="G1749" s="753"/>
      <c r="H1749" s="753"/>
      <c r="I1749" s="753"/>
      <c r="J1749" s="753"/>
      <c r="K1749" s="753"/>
      <c r="L1749" s="753"/>
      <c r="M1749" s="753"/>
    </row>
    <row r="1750" spans="1:13" s="755" customFormat="1">
      <c r="A1750" s="816"/>
      <c r="B1750" s="753"/>
      <c r="C1750" s="753"/>
      <c r="D1750" s="753"/>
      <c r="E1750" s="753"/>
      <c r="F1750" s="753"/>
      <c r="G1750" s="753"/>
      <c r="H1750" s="753"/>
      <c r="I1750" s="753"/>
      <c r="J1750" s="753"/>
      <c r="K1750" s="753"/>
      <c r="L1750" s="753"/>
      <c r="M1750" s="753"/>
    </row>
    <row r="1751" spans="1:13" s="755" customFormat="1">
      <c r="A1751" s="816"/>
      <c r="B1751" s="753"/>
      <c r="C1751" s="753"/>
      <c r="D1751" s="753"/>
      <c r="E1751" s="753"/>
      <c r="F1751" s="753"/>
      <c r="G1751" s="753"/>
      <c r="H1751" s="753"/>
      <c r="I1751" s="753"/>
      <c r="J1751" s="753"/>
      <c r="K1751" s="753"/>
      <c r="L1751" s="753"/>
      <c r="M1751" s="753"/>
    </row>
    <row r="1752" spans="1:13" s="755" customFormat="1">
      <c r="A1752" s="816"/>
      <c r="B1752" s="753"/>
      <c r="C1752" s="753"/>
      <c r="D1752" s="753"/>
      <c r="E1752" s="753"/>
      <c r="F1752" s="753"/>
      <c r="G1752" s="753"/>
      <c r="H1752" s="753"/>
      <c r="I1752" s="753"/>
      <c r="J1752" s="753"/>
      <c r="K1752" s="753"/>
      <c r="L1752" s="753"/>
      <c r="M1752" s="753"/>
    </row>
    <row r="1753" spans="1:13" s="755" customFormat="1">
      <c r="A1753" s="816"/>
      <c r="B1753" s="753"/>
      <c r="C1753" s="753"/>
      <c r="D1753" s="753"/>
      <c r="E1753" s="753"/>
      <c r="F1753" s="753"/>
      <c r="G1753" s="753"/>
      <c r="H1753" s="753"/>
      <c r="I1753" s="753"/>
      <c r="J1753" s="753"/>
      <c r="K1753" s="753"/>
      <c r="L1753" s="753"/>
      <c r="M1753" s="753"/>
    </row>
    <row r="1754" spans="1:13" s="755" customFormat="1">
      <c r="A1754" s="816"/>
      <c r="B1754" s="753"/>
      <c r="C1754" s="753"/>
      <c r="D1754" s="753"/>
      <c r="E1754" s="753"/>
      <c r="F1754" s="753"/>
      <c r="G1754" s="753"/>
      <c r="H1754" s="753"/>
      <c r="I1754" s="753"/>
      <c r="J1754" s="753"/>
      <c r="K1754" s="753"/>
      <c r="L1754" s="753"/>
      <c r="M1754" s="753"/>
    </row>
    <row r="1755" spans="1:13" s="755" customFormat="1">
      <c r="A1755" s="816"/>
      <c r="B1755" s="753"/>
      <c r="C1755" s="753"/>
      <c r="D1755" s="753"/>
      <c r="E1755" s="753"/>
      <c r="F1755" s="753"/>
      <c r="G1755" s="753"/>
      <c r="H1755" s="753"/>
      <c r="I1755" s="753"/>
      <c r="J1755" s="753"/>
      <c r="K1755" s="753"/>
      <c r="L1755" s="753"/>
      <c r="M1755" s="753"/>
    </row>
    <row r="1756" spans="1:13" s="755" customFormat="1">
      <c r="A1756" s="816"/>
      <c r="B1756" s="753"/>
      <c r="C1756" s="753"/>
      <c r="D1756" s="753"/>
      <c r="E1756" s="753"/>
      <c r="F1756" s="753"/>
      <c r="G1756" s="753"/>
      <c r="H1756" s="753"/>
      <c r="I1756" s="753"/>
      <c r="J1756" s="753"/>
      <c r="K1756" s="753"/>
      <c r="L1756" s="753"/>
      <c r="M1756" s="753"/>
    </row>
    <row r="1757" spans="1:13" s="755" customFormat="1">
      <c r="A1757" s="816"/>
      <c r="B1757" s="753"/>
      <c r="C1757" s="753"/>
      <c r="D1757" s="753"/>
      <c r="E1757" s="753"/>
      <c r="F1757" s="753"/>
      <c r="G1757" s="753"/>
      <c r="H1757" s="753"/>
      <c r="I1757" s="753"/>
      <c r="J1757" s="753"/>
      <c r="K1757" s="753"/>
      <c r="L1757" s="753"/>
      <c r="M1757" s="753"/>
    </row>
    <row r="1758" spans="1:13" s="755" customFormat="1">
      <c r="A1758" s="816"/>
      <c r="B1758" s="753"/>
      <c r="C1758" s="753"/>
      <c r="D1758" s="753"/>
      <c r="E1758" s="753"/>
      <c r="F1758" s="753"/>
      <c r="G1758" s="753"/>
      <c r="H1758" s="753"/>
      <c r="I1758" s="753"/>
      <c r="J1758" s="753"/>
      <c r="K1758" s="753"/>
      <c r="L1758" s="753"/>
      <c r="M1758" s="753"/>
    </row>
    <row r="1759" spans="1:13" s="755" customFormat="1">
      <c r="A1759" s="816"/>
      <c r="B1759" s="753"/>
      <c r="C1759" s="753"/>
      <c r="D1759" s="753"/>
      <c r="E1759" s="753"/>
      <c r="F1759" s="753"/>
      <c r="G1759" s="753"/>
      <c r="H1759" s="753"/>
      <c r="I1759" s="753"/>
      <c r="J1759" s="753"/>
      <c r="K1759" s="753"/>
      <c r="L1759" s="753"/>
      <c r="M1759" s="753"/>
    </row>
    <row r="1760" spans="1:13" s="755" customFormat="1">
      <c r="A1760" s="816"/>
      <c r="B1760" s="753"/>
      <c r="C1760" s="753"/>
      <c r="D1760" s="753"/>
      <c r="E1760" s="753"/>
      <c r="F1760" s="753"/>
      <c r="G1760" s="753"/>
      <c r="H1760" s="753"/>
      <c r="I1760" s="753"/>
      <c r="J1760" s="753"/>
      <c r="K1760" s="753"/>
      <c r="L1760" s="753"/>
      <c r="M1760" s="753"/>
    </row>
    <row r="1761" spans="1:13" s="755" customFormat="1">
      <c r="A1761" s="816"/>
      <c r="B1761" s="753"/>
      <c r="C1761" s="753"/>
      <c r="D1761" s="753"/>
      <c r="E1761" s="753"/>
      <c r="F1761" s="753"/>
      <c r="G1761" s="753"/>
      <c r="H1761" s="753"/>
      <c r="I1761" s="753"/>
      <c r="J1761" s="753"/>
      <c r="K1761" s="753"/>
      <c r="L1761" s="753"/>
      <c r="M1761" s="753"/>
    </row>
    <row r="1762" spans="1:13" s="755" customFormat="1">
      <c r="A1762" s="816"/>
      <c r="B1762" s="753"/>
      <c r="C1762" s="753"/>
      <c r="D1762" s="753"/>
      <c r="E1762" s="753"/>
      <c r="F1762" s="753"/>
      <c r="G1762" s="753"/>
      <c r="H1762" s="753"/>
      <c r="I1762" s="753"/>
      <c r="J1762" s="753"/>
      <c r="K1762" s="753"/>
      <c r="L1762" s="753"/>
      <c r="M1762" s="753"/>
    </row>
    <row r="1763" spans="1:13" s="755" customFormat="1">
      <c r="A1763" s="816"/>
      <c r="B1763" s="753"/>
      <c r="C1763" s="753"/>
      <c r="D1763" s="753"/>
      <c r="E1763" s="753"/>
      <c r="F1763" s="753"/>
      <c r="G1763" s="753"/>
      <c r="H1763" s="753"/>
      <c r="I1763" s="753"/>
      <c r="J1763" s="753"/>
      <c r="K1763" s="753"/>
      <c r="L1763" s="753"/>
      <c r="M1763" s="753"/>
    </row>
    <row r="1764" spans="1:13" s="755" customFormat="1">
      <c r="A1764" s="816"/>
      <c r="B1764" s="753"/>
      <c r="C1764" s="753"/>
      <c r="D1764" s="753"/>
      <c r="E1764" s="753"/>
      <c r="F1764" s="753"/>
      <c r="G1764" s="753"/>
      <c r="H1764" s="753"/>
      <c r="I1764" s="753"/>
      <c r="J1764" s="753"/>
      <c r="K1764" s="753"/>
      <c r="L1764" s="753"/>
      <c r="M1764" s="753"/>
    </row>
    <row r="1765" spans="1:13" s="755" customFormat="1">
      <c r="A1765" s="816"/>
      <c r="B1765" s="753"/>
      <c r="C1765" s="753"/>
      <c r="D1765" s="753"/>
      <c r="E1765" s="753"/>
      <c r="F1765" s="753"/>
      <c r="G1765" s="753"/>
      <c r="H1765" s="753"/>
      <c r="I1765" s="753"/>
      <c r="J1765" s="753"/>
      <c r="K1765" s="753"/>
      <c r="L1765" s="753"/>
      <c r="M1765" s="753"/>
    </row>
    <row r="1766" spans="1:13" s="755" customFormat="1">
      <c r="A1766" s="816"/>
      <c r="B1766" s="753"/>
      <c r="C1766" s="753"/>
      <c r="D1766" s="753"/>
      <c r="E1766" s="753"/>
      <c r="F1766" s="753"/>
      <c r="G1766" s="753"/>
      <c r="H1766" s="753"/>
      <c r="I1766" s="753"/>
      <c r="J1766" s="753"/>
      <c r="K1766" s="753"/>
      <c r="L1766" s="753"/>
      <c r="M1766" s="753"/>
    </row>
    <row r="1767" spans="1:13" s="755" customFormat="1">
      <c r="A1767" s="816"/>
      <c r="B1767" s="753"/>
      <c r="C1767" s="753"/>
      <c r="D1767" s="753"/>
      <c r="E1767" s="753"/>
      <c r="F1767" s="753"/>
      <c r="G1767" s="753"/>
      <c r="H1767" s="753"/>
      <c r="I1767" s="753"/>
      <c r="J1767" s="753"/>
      <c r="K1767" s="753"/>
      <c r="L1767" s="753"/>
      <c r="M1767" s="753"/>
    </row>
    <row r="1768" spans="1:13" s="755" customFormat="1">
      <c r="A1768" s="816"/>
      <c r="B1768" s="753"/>
      <c r="C1768" s="753"/>
      <c r="D1768" s="753"/>
      <c r="E1768" s="753"/>
      <c r="F1768" s="753"/>
      <c r="G1768" s="753"/>
      <c r="H1768" s="753"/>
      <c r="I1768" s="753"/>
      <c r="J1768" s="753"/>
      <c r="K1768" s="753"/>
      <c r="L1768" s="753"/>
      <c r="M1768" s="753"/>
    </row>
    <row r="1769" spans="1:13" s="755" customFormat="1">
      <c r="A1769" s="816"/>
      <c r="B1769" s="753"/>
      <c r="C1769" s="753"/>
      <c r="D1769" s="753"/>
      <c r="E1769" s="753"/>
      <c r="F1769" s="753"/>
      <c r="G1769" s="753"/>
      <c r="H1769" s="753"/>
      <c r="I1769" s="753"/>
      <c r="J1769" s="753"/>
      <c r="K1769" s="753"/>
      <c r="L1769" s="753"/>
      <c r="M1769" s="753"/>
    </row>
    <row r="1770" spans="1:13" s="755" customFormat="1">
      <c r="A1770" s="816"/>
      <c r="B1770" s="753"/>
      <c r="C1770" s="753"/>
      <c r="D1770" s="753"/>
      <c r="E1770" s="753"/>
      <c r="F1770" s="753"/>
      <c r="G1770" s="753"/>
      <c r="H1770" s="753"/>
      <c r="I1770" s="753"/>
      <c r="J1770" s="753"/>
      <c r="K1770" s="753"/>
      <c r="L1770" s="753"/>
      <c r="M1770" s="753"/>
    </row>
    <row r="1771" spans="1:13" s="755" customFormat="1">
      <c r="A1771" s="816"/>
      <c r="B1771" s="753"/>
      <c r="C1771" s="753"/>
      <c r="D1771" s="753"/>
      <c r="E1771" s="753"/>
      <c r="F1771" s="753"/>
      <c r="G1771" s="753"/>
      <c r="H1771" s="753"/>
      <c r="I1771" s="753"/>
      <c r="J1771" s="753"/>
      <c r="K1771" s="753"/>
      <c r="L1771" s="753"/>
      <c r="M1771" s="753"/>
    </row>
    <row r="1772" spans="1:13" s="755" customFormat="1">
      <c r="A1772" s="816"/>
      <c r="B1772" s="753"/>
      <c r="C1772" s="753"/>
      <c r="D1772" s="753"/>
      <c r="E1772" s="753"/>
      <c r="F1772" s="753"/>
      <c r="G1772" s="753"/>
      <c r="H1772" s="753"/>
      <c r="I1772" s="753"/>
      <c r="J1772" s="753"/>
      <c r="K1772" s="753"/>
      <c r="L1772" s="753"/>
      <c r="M1772" s="753"/>
    </row>
    <row r="1773" spans="1:13" s="755" customFormat="1">
      <c r="A1773" s="816"/>
      <c r="B1773" s="753"/>
      <c r="C1773" s="753"/>
      <c r="D1773" s="753"/>
      <c r="E1773" s="753"/>
      <c r="F1773" s="753"/>
      <c r="G1773" s="753"/>
      <c r="H1773" s="753"/>
      <c r="I1773" s="753"/>
      <c r="J1773" s="753"/>
      <c r="K1773" s="753"/>
      <c r="L1773" s="753"/>
      <c r="M1773" s="753"/>
    </row>
    <row r="1774" spans="1:13" s="755" customFormat="1">
      <c r="A1774" s="816"/>
      <c r="B1774" s="753"/>
      <c r="C1774" s="753"/>
      <c r="D1774" s="753"/>
      <c r="E1774" s="753"/>
      <c r="F1774" s="753"/>
      <c r="G1774" s="753"/>
      <c r="H1774" s="753"/>
      <c r="I1774" s="753"/>
      <c r="J1774" s="753"/>
      <c r="K1774" s="753"/>
      <c r="L1774" s="753"/>
      <c r="M1774" s="753"/>
    </row>
    <row r="1775" spans="1:13" s="755" customFormat="1">
      <c r="A1775" s="816"/>
      <c r="B1775" s="753"/>
      <c r="C1775" s="753"/>
      <c r="D1775" s="753"/>
      <c r="E1775" s="753"/>
      <c r="F1775" s="753"/>
      <c r="G1775" s="753"/>
      <c r="H1775" s="753"/>
      <c r="I1775" s="753"/>
      <c r="J1775" s="753"/>
      <c r="K1775" s="753"/>
      <c r="L1775" s="753"/>
      <c r="M1775" s="753"/>
    </row>
    <row r="1776" spans="1:13" s="755" customFormat="1">
      <c r="A1776" s="816"/>
      <c r="B1776" s="753"/>
      <c r="C1776" s="753"/>
      <c r="D1776" s="753"/>
      <c r="E1776" s="753"/>
      <c r="F1776" s="753"/>
      <c r="G1776" s="753"/>
      <c r="H1776" s="753"/>
      <c r="I1776" s="753"/>
      <c r="J1776" s="753"/>
      <c r="K1776" s="753"/>
      <c r="L1776" s="753"/>
      <c r="M1776" s="753"/>
    </row>
    <row r="1777" spans="1:13" s="755" customFormat="1">
      <c r="A1777" s="816"/>
      <c r="B1777" s="753"/>
      <c r="C1777" s="753"/>
      <c r="D1777" s="753"/>
      <c r="E1777" s="753"/>
      <c r="F1777" s="753"/>
      <c r="G1777" s="753"/>
      <c r="H1777" s="753"/>
      <c r="I1777" s="753"/>
      <c r="J1777" s="753"/>
      <c r="K1777" s="753"/>
      <c r="L1777" s="753"/>
      <c r="M1777" s="753"/>
    </row>
    <row r="1778" spans="1:13" s="755" customFormat="1">
      <c r="A1778" s="816"/>
      <c r="B1778" s="753"/>
      <c r="C1778" s="753"/>
      <c r="D1778" s="753"/>
      <c r="E1778" s="753"/>
      <c r="F1778" s="753"/>
      <c r="G1778" s="753"/>
      <c r="H1778" s="753"/>
      <c r="I1778" s="753"/>
      <c r="J1778" s="753"/>
      <c r="K1778" s="753"/>
      <c r="L1778" s="753"/>
      <c r="M1778" s="753"/>
    </row>
    <row r="1779" spans="1:13" s="755" customFormat="1">
      <c r="A1779" s="816"/>
      <c r="B1779" s="753"/>
      <c r="C1779" s="753"/>
      <c r="D1779" s="753"/>
      <c r="E1779" s="753"/>
      <c r="F1779" s="753"/>
      <c r="G1779" s="753"/>
      <c r="H1779" s="753"/>
      <c r="I1779" s="753"/>
      <c r="J1779" s="753"/>
      <c r="K1779" s="753"/>
      <c r="L1779" s="753"/>
      <c r="M1779" s="753"/>
    </row>
    <row r="1780" spans="1:13" s="755" customFormat="1">
      <c r="A1780" s="816"/>
      <c r="B1780" s="753"/>
      <c r="C1780" s="753"/>
      <c r="D1780" s="753"/>
      <c r="E1780" s="753"/>
      <c r="F1780" s="753"/>
      <c r="G1780" s="753"/>
      <c r="H1780" s="753"/>
      <c r="I1780" s="753"/>
      <c r="J1780" s="753"/>
      <c r="K1780" s="753"/>
      <c r="L1780" s="753"/>
      <c r="M1780" s="753"/>
    </row>
    <row r="1781" spans="1:13" s="755" customFormat="1">
      <c r="A1781" s="816"/>
      <c r="B1781" s="753"/>
      <c r="C1781" s="753"/>
      <c r="D1781" s="753"/>
      <c r="E1781" s="753"/>
      <c r="F1781" s="753"/>
      <c r="G1781" s="753"/>
      <c r="H1781" s="753"/>
      <c r="I1781" s="753"/>
      <c r="J1781" s="753"/>
      <c r="K1781" s="753"/>
      <c r="L1781" s="753"/>
      <c r="M1781" s="753"/>
    </row>
    <row r="1782" spans="1:13" s="755" customFormat="1">
      <c r="A1782" s="816"/>
      <c r="B1782" s="753"/>
      <c r="C1782" s="753"/>
      <c r="D1782" s="753"/>
      <c r="E1782" s="753"/>
      <c r="F1782" s="753"/>
      <c r="G1782" s="753"/>
      <c r="H1782" s="753"/>
      <c r="I1782" s="753"/>
      <c r="J1782" s="753"/>
      <c r="K1782" s="753"/>
      <c r="L1782" s="753"/>
      <c r="M1782" s="753"/>
    </row>
    <row r="1783" spans="1:13" s="755" customFormat="1">
      <c r="A1783" s="816"/>
      <c r="B1783" s="753"/>
      <c r="C1783" s="753"/>
      <c r="D1783" s="753"/>
      <c r="E1783" s="753"/>
      <c r="F1783" s="753"/>
      <c r="G1783" s="753"/>
      <c r="H1783" s="753"/>
      <c r="I1783" s="753"/>
      <c r="J1783" s="753"/>
      <c r="K1783" s="753"/>
      <c r="L1783" s="753"/>
      <c r="M1783" s="753"/>
    </row>
    <row r="1784" spans="1:13" s="755" customFormat="1">
      <c r="A1784" s="816"/>
      <c r="B1784" s="753"/>
      <c r="C1784" s="753"/>
      <c r="D1784" s="753"/>
      <c r="E1784" s="753"/>
      <c r="F1784" s="753"/>
      <c r="G1784" s="753"/>
      <c r="H1784" s="753"/>
      <c r="I1784" s="753"/>
      <c r="J1784" s="753"/>
      <c r="K1784" s="753"/>
      <c r="L1784" s="753"/>
      <c r="M1784" s="753"/>
    </row>
    <row r="1785" spans="1:13" s="755" customFormat="1">
      <c r="A1785" s="816"/>
      <c r="B1785" s="753"/>
      <c r="C1785" s="753"/>
      <c r="D1785" s="753"/>
      <c r="E1785" s="753"/>
      <c r="F1785" s="753"/>
      <c r="G1785" s="753"/>
      <c r="H1785" s="753"/>
      <c r="I1785" s="753"/>
      <c r="J1785" s="753"/>
      <c r="K1785" s="753"/>
      <c r="L1785" s="753"/>
      <c r="M1785" s="753"/>
    </row>
    <row r="1786" spans="1:13" s="755" customFormat="1">
      <c r="A1786" s="816"/>
      <c r="B1786" s="753"/>
      <c r="C1786" s="753"/>
      <c r="D1786" s="753"/>
      <c r="E1786" s="753"/>
      <c r="F1786" s="753"/>
      <c r="G1786" s="753"/>
      <c r="H1786" s="753"/>
      <c r="I1786" s="753"/>
      <c r="J1786" s="753"/>
      <c r="K1786" s="753"/>
      <c r="L1786" s="753"/>
      <c r="M1786" s="753"/>
    </row>
    <row r="1787" spans="1:13" s="755" customFormat="1">
      <c r="A1787" s="816"/>
      <c r="B1787" s="753"/>
      <c r="C1787" s="753"/>
      <c r="D1787" s="753"/>
      <c r="E1787" s="753"/>
      <c r="F1787" s="753"/>
      <c r="G1787" s="753"/>
      <c r="H1787" s="753"/>
      <c r="I1787" s="753"/>
      <c r="J1787" s="753"/>
      <c r="K1787" s="753"/>
      <c r="L1787" s="753"/>
      <c r="M1787" s="753"/>
    </row>
    <row r="1788" spans="1:13" s="755" customFormat="1">
      <c r="A1788" s="816"/>
      <c r="B1788" s="753"/>
      <c r="C1788" s="753"/>
      <c r="D1788" s="753"/>
      <c r="E1788" s="753"/>
      <c r="F1788" s="753"/>
      <c r="G1788" s="753"/>
      <c r="H1788" s="753"/>
      <c r="I1788" s="753"/>
      <c r="J1788" s="753"/>
      <c r="K1788" s="753"/>
      <c r="L1788" s="753"/>
      <c r="M1788" s="753"/>
    </row>
    <row r="1789" spans="1:13" s="755" customFormat="1">
      <c r="A1789" s="816"/>
      <c r="B1789" s="753"/>
      <c r="C1789" s="753"/>
      <c r="D1789" s="753"/>
      <c r="E1789" s="753"/>
      <c r="F1789" s="753"/>
      <c r="G1789" s="753"/>
      <c r="H1789" s="753"/>
      <c r="I1789" s="753"/>
      <c r="J1789" s="753"/>
      <c r="K1789" s="753"/>
      <c r="L1789" s="753"/>
      <c r="M1789" s="753"/>
    </row>
    <row r="1790" spans="1:13" s="755" customFormat="1">
      <c r="A1790" s="816"/>
      <c r="B1790" s="753"/>
      <c r="C1790" s="753"/>
      <c r="D1790" s="753"/>
      <c r="E1790" s="753"/>
      <c r="F1790" s="753"/>
      <c r="G1790" s="753"/>
      <c r="H1790" s="753"/>
      <c r="I1790" s="753"/>
      <c r="J1790" s="753"/>
      <c r="K1790" s="753"/>
      <c r="L1790" s="753"/>
      <c r="M1790" s="753"/>
    </row>
    <row r="1791" spans="1:13" s="755" customFormat="1">
      <c r="A1791" s="816"/>
      <c r="B1791" s="753"/>
      <c r="C1791" s="753"/>
      <c r="D1791" s="753"/>
      <c r="E1791" s="753"/>
      <c r="F1791" s="753"/>
      <c r="G1791" s="753"/>
      <c r="H1791" s="753"/>
      <c r="I1791" s="753"/>
      <c r="J1791" s="753"/>
      <c r="K1791" s="753"/>
      <c r="L1791" s="753"/>
      <c r="M1791" s="753"/>
    </row>
    <row r="1792" spans="1:13" s="755" customFormat="1">
      <c r="A1792" s="816"/>
      <c r="B1792" s="753"/>
      <c r="C1792" s="753"/>
      <c r="D1792" s="753"/>
      <c r="E1792" s="753"/>
      <c r="F1792" s="753"/>
      <c r="G1792" s="753"/>
      <c r="H1792" s="753"/>
      <c r="I1792" s="753"/>
      <c r="J1792" s="753"/>
      <c r="K1792" s="753"/>
      <c r="L1792" s="753"/>
      <c r="M1792" s="753"/>
    </row>
    <row r="1793" spans="1:13" s="755" customFormat="1">
      <c r="A1793" s="816"/>
      <c r="B1793" s="753"/>
      <c r="C1793" s="753"/>
      <c r="D1793" s="753"/>
      <c r="E1793" s="753"/>
      <c r="F1793" s="753"/>
      <c r="G1793" s="753"/>
      <c r="H1793" s="753"/>
      <c r="I1793" s="753"/>
      <c r="J1793" s="753"/>
      <c r="K1793" s="753"/>
      <c r="L1793" s="753"/>
      <c r="M1793" s="753"/>
    </row>
    <row r="1794" spans="1:13" s="755" customFormat="1">
      <c r="A1794" s="816"/>
      <c r="B1794" s="753"/>
      <c r="C1794" s="753"/>
      <c r="D1794" s="753"/>
      <c r="E1794" s="753"/>
      <c r="F1794" s="753"/>
      <c r="G1794" s="753"/>
      <c r="H1794" s="753"/>
      <c r="I1794" s="753"/>
      <c r="J1794" s="753"/>
      <c r="K1794" s="753"/>
      <c r="L1794" s="753"/>
      <c r="M1794" s="753"/>
    </row>
    <row r="1795" spans="1:13" s="755" customFormat="1">
      <c r="A1795" s="816"/>
      <c r="B1795" s="753"/>
      <c r="C1795" s="753"/>
      <c r="D1795" s="753"/>
      <c r="E1795" s="753"/>
      <c r="F1795" s="753"/>
      <c r="G1795" s="753"/>
      <c r="H1795" s="753"/>
      <c r="I1795" s="753"/>
      <c r="J1795" s="753"/>
      <c r="K1795" s="753"/>
      <c r="L1795" s="753"/>
      <c r="M1795" s="753"/>
    </row>
    <row r="1796" spans="1:13" s="755" customFormat="1">
      <c r="A1796" s="816"/>
      <c r="B1796" s="753"/>
      <c r="C1796" s="753"/>
      <c r="D1796" s="753"/>
      <c r="E1796" s="753"/>
      <c r="F1796" s="753"/>
      <c r="G1796" s="753"/>
      <c r="H1796" s="753"/>
      <c r="I1796" s="753"/>
      <c r="J1796" s="753"/>
      <c r="K1796" s="753"/>
      <c r="L1796" s="753"/>
      <c r="M1796" s="753"/>
    </row>
    <row r="1797" spans="1:13" s="755" customFormat="1">
      <c r="A1797" s="816"/>
      <c r="B1797" s="753"/>
      <c r="C1797" s="753"/>
      <c r="D1797" s="753"/>
      <c r="E1797" s="753"/>
      <c r="F1797" s="753"/>
      <c r="G1797" s="753"/>
      <c r="H1797" s="753"/>
      <c r="I1797" s="753"/>
      <c r="J1797" s="753"/>
      <c r="K1797" s="753"/>
      <c r="L1797" s="753"/>
      <c r="M1797" s="753"/>
    </row>
    <row r="1798" spans="1:13" s="755" customFormat="1">
      <c r="A1798" s="816"/>
      <c r="B1798" s="753"/>
      <c r="C1798" s="753"/>
      <c r="D1798" s="753"/>
      <c r="E1798" s="753"/>
      <c r="F1798" s="753"/>
      <c r="G1798" s="753"/>
      <c r="H1798" s="753"/>
      <c r="I1798" s="753"/>
      <c r="J1798" s="753"/>
      <c r="K1798" s="753"/>
      <c r="L1798" s="753"/>
      <c r="M1798" s="753"/>
    </row>
    <row r="1799" spans="1:13" s="755" customFormat="1">
      <c r="A1799" s="816"/>
      <c r="B1799" s="753"/>
      <c r="C1799" s="753"/>
      <c r="D1799" s="753"/>
      <c r="E1799" s="753"/>
      <c r="F1799" s="753"/>
      <c r="G1799" s="753"/>
      <c r="H1799" s="753"/>
      <c r="I1799" s="753"/>
      <c r="J1799" s="753"/>
      <c r="K1799" s="753"/>
      <c r="L1799" s="753"/>
      <c r="M1799" s="753"/>
    </row>
    <row r="1800" spans="1:13" s="755" customFormat="1">
      <c r="A1800" s="816"/>
      <c r="B1800" s="753"/>
      <c r="C1800" s="753"/>
      <c r="D1800" s="753"/>
      <c r="E1800" s="753"/>
      <c r="F1800" s="753"/>
      <c r="G1800" s="753"/>
      <c r="H1800" s="753"/>
      <c r="I1800" s="753"/>
      <c r="J1800" s="753"/>
      <c r="K1800" s="753"/>
      <c r="L1800" s="753"/>
      <c r="M1800" s="753"/>
    </row>
    <row r="1801" spans="1:13" s="755" customFormat="1">
      <c r="A1801" s="816"/>
      <c r="B1801" s="753"/>
      <c r="C1801" s="753"/>
      <c r="D1801" s="753"/>
      <c r="E1801" s="753"/>
      <c r="F1801" s="753"/>
      <c r="G1801" s="753"/>
      <c r="H1801" s="753"/>
      <c r="I1801" s="753"/>
      <c r="J1801" s="753"/>
      <c r="K1801" s="753"/>
      <c r="L1801" s="753"/>
      <c r="M1801" s="753"/>
    </row>
    <row r="1802" spans="1:13" s="755" customFormat="1">
      <c r="A1802" s="816"/>
      <c r="B1802" s="753"/>
      <c r="C1802" s="753"/>
      <c r="D1802" s="753"/>
      <c r="E1802" s="753"/>
      <c r="F1802" s="753"/>
      <c r="G1802" s="753"/>
      <c r="H1802" s="753"/>
      <c r="I1802" s="753"/>
      <c r="J1802" s="753"/>
      <c r="K1802" s="753"/>
      <c r="L1802" s="753"/>
      <c r="M1802" s="753"/>
    </row>
    <row r="1803" spans="1:13" s="755" customFormat="1">
      <c r="A1803" s="816"/>
      <c r="B1803" s="753"/>
      <c r="C1803" s="753"/>
      <c r="D1803" s="753"/>
      <c r="E1803" s="753"/>
      <c r="F1803" s="753"/>
      <c r="G1803" s="753"/>
      <c r="H1803" s="753"/>
      <c r="I1803" s="753"/>
      <c r="J1803" s="753"/>
      <c r="K1803" s="753"/>
      <c r="L1803" s="753"/>
      <c r="M1803" s="753"/>
    </row>
    <row r="1804" spans="1:13" s="755" customFormat="1">
      <c r="A1804" s="816"/>
      <c r="B1804" s="753"/>
      <c r="C1804" s="753"/>
      <c r="D1804" s="753"/>
      <c r="E1804" s="753"/>
      <c r="F1804" s="753"/>
      <c r="G1804" s="753"/>
      <c r="H1804" s="753"/>
      <c r="I1804" s="753"/>
      <c r="J1804" s="753"/>
      <c r="K1804" s="753"/>
      <c r="L1804" s="753"/>
      <c r="M1804" s="753"/>
    </row>
    <row r="1805" spans="1:13" s="755" customFormat="1">
      <c r="A1805" s="816"/>
      <c r="B1805" s="753"/>
      <c r="C1805" s="753"/>
      <c r="D1805" s="753"/>
      <c r="E1805" s="753"/>
      <c r="F1805" s="753"/>
      <c r="G1805" s="753"/>
      <c r="H1805" s="753"/>
      <c r="I1805" s="753"/>
      <c r="J1805" s="753"/>
      <c r="K1805" s="753"/>
      <c r="L1805" s="753"/>
      <c r="M1805" s="753"/>
    </row>
    <row r="1806" spans="1:13" s="755" customFormat="1">
      <c r="A1806" s="816"/>
      <c r="B1806" s="753"/>
      <c r="C1806" s="753"/>
      <c r="D1806" s="753"/>
      <c r="E1806" s="753"/>
      <c r="F1806" s="753"/>
      <c r="G1806" s="753"/>
      <c r="H1806" s="753"/>
      <c r="I1806" s="753"/>
      <c r="J1806" s="753"/>
      <c r="K1806" s="753"/>
      <c r="L1806" s="753"/>
      <c r="M1806" s="753"/>
    </row>
    <row r="1807" spans="1:13" s="755" customFormat="1">
      <c r="A1807" s="816"/>
      <c r="B1807" s="753"/>
      <c r="C1807" s="753"/>
      <c r="D1807" s="753"/>
      <c r="E1807" s="753"/>
      <c r="F1807" s="753"/>
      <c r="G1807" s="753"/>
      <c r="H1807" s="753"/>
      <c r="I1807" s="753"/>
      <c r="J1807" s="753"/>
      <c r="K1807" s="753"/>
      <c r="L1807" s="753"/>
      <c r="M1807" s="753"/>
    </row>
    <row r="1808" spans="1:13" s="755" customFormat="1">
      <c r="A1808" s="816"/>
      <c r="B1808" s="753"/>
      <c r="C1808" s="753"/>
      <c r="D1808" s="753"/>
      <c r="E1808" s="753"/>
      <c r="F1808" s="753"/>
      <c r="G1808" s="753"/>
      <c r="H1808" s="753"/>
      <c r="I1808" s="753"/>
      <c r="J1808" s="753"/>
      <c r="K1808" s="753"/>
      <c r="L1808" s="753"/>
      <c r="M1808" s="753"/>
    </row>
    <row r="1809" spans="1:13" s="755" customFormat="1">
      <c r="A1809" s="816"/>
      <c r="B1809" s="753"/>
      <c r="C1809" s="753"/>
      <c r="D1809" s="753"/>
      <c r="E1809" s="753"/>
      <c r="F1809" s="753"/>
      <c r="G1809" s="753"/>
      <c r="H1809" s="753"/>
      <c r="I1809" s="753"/>
      <c r="J1809" s="753"/>
      <c r="K1809" s="753"/>
      <c r="L1809" s="753"/>
      <c r="M1809" s="753"/>
    </row>
    <row r="1810" spans="1:13" s="755" customFormat="1">
      <c r="A1810" s="816"/>
      <c r="B1810" s="753"/>
      <c r="C1810" s="753"/>
      <c r="D1810" s="753"/>
      <c r="E1810" s="753"/>
      <c r="F1810" s="753"/>
      <c r="G1810" s="753"/>
      <c r="H1810" s="753"/>
      <c r="I1810" s="753"/>
      <c r="J1810" s="753"/>
      <c r="K1810" s="753"/>
      <c r="L1810" s="753"/>
      <c r="M1810" s="753"/>
    </row>
    <row r="1811" spans="1:13" s="755" customFormat="1">
      <c r="A1811" s="816"/>
      <c r="B1811" s="753"/>
      <c r="C1811" s="753"/>
      <c r="D1811" s="753"/>
      <c r="E1811" s="753"/>
      <c r="F1811" s="753"/>
      <c r="G1811" s="753"/>
      <c r="H1811" s="753"/>
      <c r="I1811" s="753"/>
      <c r="J1811" s="753"/>
      <c r="K1811" s="753"/>
      <c r="L1811" s="753"/>
      <c r="M1811" s="753"/>
    </row>
    <row r="1812" spans="1:13" s="755" customFormat="1">
      <c r="A1812" s="816"/>
      <c r="B1812" s="753"/>
      <c r="C1812" s="753"/>
      <c r="D1812" s="753"/>
      <c r="E1812" s="753"/>
      <c r="F1812" s="753"/>
      <c r="G1812" s="753"/>
      <c r="H1812" s="753"/>
      <c r="I1812" s="753"/>
      <c r="J1812" s="753"/>
      <c r="K1812" s="753"/>
      <c r="L1812" s="753"/>
      <c r="M1812" s="753"/>
    </row>
    <row r="1813" spans="1:13" s="755" customFormat="1">
      <c r="A1813" s="816"/>
      <c r="B1813" s="753"/>
      <c r="C1813" s="753"/>
      <c r="D1813" s="753"/>
      <c r="E1813" s="753"/>
      <c r="F1813" s="753"/>
      <c r="G1813" s="753"/>
      <c r="H1813" s="753"/>
      <c r="I1813" s="753"/>
      <c r="J1813" s="753"/>
      <c r="K1813" s="753"/>
      <c r="L1813" s="753"/>
      <c r="M1813" s="753"/>
    </row>
    <row r="1814" spans="1:13" s="755" customFormat="1">
      <c r="A1814" s="816"/>
      <c r="B1814" s="753"/>
      <c r="C1814" s="753"/>
      <c r="D1814" s="753"/>
      <c r="E1814" s="753"/>
      <c r="F1814" s="753"/>
      <c r="G1814" s="753"/>
      <c r="H1814" s="753"/>
      <c r="I1814" s="753"/>
      <c r="J1814" s="753"/>
      <c r="K1814" s="753"/>
      <c r="L1814" s="753"/>
      <c r="M1814" s="753"/>
    </row>
    <row r="1815" spans="1:13" s="755" customFormat="1">
      <c r="A1815" s="816"/>
      <c r="B1815" s="753"/>
      <c r="C1815" s="753"/>
      <c r="D1815" s="753"/>
      <c r="E1815" s="753"/>
      <c r="F1815" s="753"/>
      <c r="G1815" s="753"/>
      <c r="H1815" s="753"/>
      <c r="I1815" s="753"/>
      <c r="J1815" s="753"/>
      <c r="K1815" s="753"/>
      <c r="L1815" s="753"/>
      <c r="M1815" s="753"/>
    </row>
    <row r="1816" spans="1:13" s="755" customFormat="1">
      <c r="A1816" s="816"/>
      <c r="B1816" s="753"/>
      <c r="C1816" s="753"/>
      <c r="D1816" s="753"/>
      <c r="E1816" s="753"/>
      <c r="F1816" s="753"/>
      <c r="G1816" s="753"/>
      <c r="H1816" s="753"/>
      <c r="I1816" s="753"/>
      <c r="J1816" s="753"/>
      <c r="K1816" s="753"/>
      <c r="L1816" s="753"/>
      <c r="M1816" s="753"/>
    </row>
    <row r="1817" spans="1:13" s="755" customFormat="1">
      <c r="A1817" s="816"/>
      <c r="B1817" s="753"/>
      <c r="C1817" s="753"/>
      <c r="D1817" s="753"/>
      <c r="E1817" s="753"/>
      <c r="F1817" s="753"/>
      <c r="G1817" s="753"/>
      <c r="H1817" s="753"/>
      <c r="I1817" s="753"/>
      <c r="J1817" s="753"/>
      <c r="K1817" s="753"/>
      <c r="L1817" s="753"/>
      <c r="M1817" s="753"/>
    </row>
    <row r="1818" spans="1:13" s="755" customFormat="1">
      <c r="A1818" s="816"/>
      <c r="B1818" s="753"/>
      <c r="C1818" s="753"/>
      <c r="D1818" s="753"/>
      <c r="E1818" s="753"/>
      <c r="F1818" s="753"/>
      <c r="G1818" s="753"/>
      <c r="H1818" s="753"/>
      <c r="I1818" s="753"/>
      <c r="J1818" s="753"/>
      <c r="K1818" s="753"/>
      <c r="L1818" s="753"/>
      <c r="M1818" s="753"/>
    </row>
    <row r="1819" spans="1:13" s="755" customFormat="1">
      <c r="A1819" s="816"/>
      <c r="B1819" s="753"/>
      <c r="C1819" s="753"/>
      <c r="D1819" s="753"/>
      <c r="E1819" s="753"/>
      <c r="F1819" s="753"/>
      <c r="G1819" s="753"/>
      <c r="H1819" s="753"/>
      <c r="I1819" s="753"/>
      <c r="J1819" s="753"/>
      <c r="K1819" s="753"/>
      <c r="L1819" s="753"/>
      <c r="M1819" s="753"/>
    </row>
    <row r="1820" spans="1:13" s="755" customFormat="1">
      <c r="A1820" s="816"/>
      <c r="B1820" s="753"/>
      <c r="C1820" s="753"/>
      <c r="D1820" s="753"/>
      <c r="E1820" s="753"/>
      <c r="F1820" s="753"/>
      <c r="G1820" s="753"/>
      <c r="H1820" s="753"/>
      <c r="I1820" s="753"/>
      <c r="J1820" s="753"/>
      <c r="K1820" s="753"/>
      <c r="L1820" s="753"/>
      <c r="M1820" s="753"/>
    </row>
    <row r="1821" spans="1:13" s="755" customFormat="1">
      <c r="A1821" s="816"/>
      <c r="B1821" s="753"/>
      <c r="C1821" s="753"/>
      <c r="D1821" s="753"/>
      <c r="E1821" s="753"/>
      <c r="F1821" s="753"/>
      <c r="G1821" s="753"/>
      <c r="H1821" s="753"/>
      <c r="I1821" s="753"/>
      <c r="J1821" s="753"/>
      <c r="K1821" s="753"/>
      <c r="L1821" s="753"/>
      <c r="M1821" s="753"/>
    </row>
    <row r="1822" spans="1:13" s="755" customFormat="1">
      <c r="A1822" s="816"/>
      <c r="B1822" s="753"/>
      <c r="C1822" s="753"/>
      <c r="D1822" s="753"/>
      <c r="E1822" s="753"/>
      <c r="F1822" s="753"/>
      <c r="G1822" s="753"/>
      <c r="H1822" s="753"/>
      <c r="I1822" s="753"/>
      <c r="J1822" s="753"/>
      <c r="K1822" s="753"/>
      <c r="L1822" s="753"/>
      <c r="M1822" s="753"/>
    </row>
    <row r="1823" spans="1:13" s="755" customFormat="1">
      <c r="A1823" s="816"/>
      <c r="B1823" s="753"/>
      <c r="C1823" s="753"/>
      <c r="D1823" s="753"/>
      <c r="E1823" s="753"/>
      <c r="F1823" s="753"/>
      <c r="G1823" s="753"/>
      <c r="H1823" s="753"/>
      <c r="I1823" s="753"/>
      <c r="J1823" s="753"/>
      <c r="K1823" s="753"/>
      <c r="L1823" s="753"/>
      <c r="M1823" s="753"/>
    </row>
    <row r="1824" spans="1:13" s="755" customFormat="1">
      <c r="A1824" s="816"/>
      <c r="B1824" s="753"/>
      <c r="C1824" s="753"/>
      <c r="D1824" s="753"/>
      <c r="E1824" s="753"/>
      <c r="F1824" s="753"/>
      <c r="G1824" s="753"/>
      <c r="H1824" s="753"/>
      <c r="I1824" s="753"/>
      <c r="J1824" s="753"/>
      <c r="K1824" s="753"/>
      <c r="L1824" s="753"/>
      <c r="M1824" s="753"/>
    </row>
    <row r="1825" spans="1:13" s="755" customFormat="1">
      <c r="A1825" s="816"/>
      <c r="B1825" s="753"/>
      <c r="C1825" s="753"/>
      <c r="D1825" s="753"/>
      <c r="E1825" s="753"/>
      <c r="F1825" s="753"/>
      <c r="G1825" s="753"/>
      <c r="H1825" s="753"/>
      <c r="I1825" s="753"/>
      <c r="J1825" s="753"/>
      <c r="K1825" s="753"/>
      <c r="L1825" s="753"/>
      <c r="M1825" s="753"/>
    </row>
    <row r="1826" spans="1:13" s="755" customFormat="1">
      <c r="A1826" s="816"/>
      <c r="B1826" s="753"/>
      <c r="C1826" s="753"/>
      <c r="D1826" s="753"/>
      <c r="E1826" s="753"/>
      <c r="F1826" s="753"/>
      <c r="G1826" s="753"/>
      <c r="H1826" s="753"/>
      <c r="I1826" s="753"/>
      <c r="J1826" s="753"/>
      <c r="K1826" s="753"/>
      <c r="L1826" s="753"/>
      <c r="M1826" s="753"/>
    </row>
    <row r="1827" spans="1:13" s="755" customFormat="1">
      <c r="A1827" s="816"/>
      <c r="B1827" s="753"/>
      <c r="C1827" s="753"/>
      <c r="D1827" s="753"/>
      <c r="E1827" s="753"/>
      <c r="F1827" s="753"/>
      <c r="G1827" s="753"/>
      <c r="H1827" s="753"/>
      <c r="I1827" s="753"/>
      <c r="J1827" s="753"/>
      <c r="K1827" s="753"/>
      <c r="L1827" s="753"/>
      <c r="M1827" s="753"/>
    </row>
    <row r="1828" spans="1:13" s="755" customFormat="1">
      <c r="A1828" s="816"/>
      <c r="B1828" s="753"/>
      <c r="C1828" s="753"/>
      <c r="D1828" s="753"/>
      <c r="E1828" s="753"/>
      <c r="F1828" s="753"/>
      <c r="G1828" s="753"/>
      <c r="H1828" s="753"/>
      <c r="I1828" s="753"/>
      <c r="J1828" s="753"/>
      <c r="K1828" s="753"/>
      <c r="L1828" s="753"/>
      <c r="M1828" s="753"/>
    </row>
    <row r="1829" spans="1:13" s="755" customFormat="1">
      <c r="A1829" s="816"/>
      <c r="B1829" s="753"/>
      <c r="C1829" s="753"/>
      <c r="D1829" s="753"/>
      <c r="E1829" s="753"/>
      <c r="F1829" s="753"/>
      <c r="G1829" s="753"/>
      <c r="H1829" s="753"/>
      <c r="I1829" s="753"/>
      <c r="J1829" s="753"/>
      <c r="K1829" s="753"/>
      <c r="L1829" s="753"/>
      <c r="M1829" s="753"/>
    </row>
    <row r="1830" spans="1:13" s="755" customFormat="1">
      <c r="A1830" s="816"/>
      <c r="B1830" s="753"/>
      <c r="C1830" s="753"/>
      <c r="D1830" s="753"/>
      <c r="E1830" s="753"/>
      <c r="F1830" s="753"/>
      <c r="G1830" s="753"/>
      <c r="H1830" s="753"/>
      <c r="I1830" s="753"/>
      <c r="J1830" s="753"/>
      <c r="K1830" s="753"/>
      <c r="L1830" s="753"/>
      <c r="M1830" s="753"/>
    </row>
    <row r="1831" spans="1:13" s="755" customFormat="1">
      <c r="A1831" s="816"/>
      <c r="B1831" s="753"/>
      <c r="C1831" s="753"/>
      <c r="D1831" s="753"/>
      <c r="E1831" s="753"/>
      <c r="F1831" s="753"/>
      <c r="G1831" s="753"/>
      <c r="H1831" s="753"/>
      <c r="I1831" s="753"/>
      <c r="J1831" s="753"/>
      <c r="K1831" s="753"/>
      <c r="L1831" s="753"/>
      <c r="M1831" s="753"/>
    </row>
    <row r="1832" spans="1:13" s="755" customFormat="1">
      <c r="A1832" s="816"/>
      <c r="B1832" s="753"/>
      <c r="C1832" s="753"/>
      <c r="D1832" s="753"/>
      <c r="E1832" s="753"/>
      <c r="F1832" s="753"/>
      <c r="G1832" s="753"/>
      <c r="H1832" s="753"/>
      <c r="I1832" s="753"/>
      <c r="J1832" s="753"/>
      <c r="K1832" s="753"/>
      <c r="L1832" s="753"/>
      <c r="M1832" s="753"/>
    </row>
    <row r="1833" spans="1:13" s="755" customFormat="1">
      <c r="A1833" s="816"/>
      <c r="B1833" s="753"/>
      <c r="C1833" s="753"/>
      <c r="D1833" s="753"/>
      <c r="E1833" s="753"/>
      <c r="F1833" s="753"/>
      <c r="G1833" s="753"/>
      <c r="H1833" s="753"/>
      <c r="I1833" s="753"/>
      <c r="J1833" s="753"/>
      <c r="K1833" s="753"/>
      <c r="L1833" s="753"/>
      <c r="M1833" s="753"/>
    </row>
    <row r="1834" spans="1:13" s="755" customFormat="1">
      <c r="A1834" s="816"/>
      <c r="B1834" s="753"/>
      <c r="C1834" s="753"/>
      <c r="D1834" s="753"/>
      <c r="E1834" s="753"/>
      <c r="F1834" s="753"/>
      <c r="G1834" s="753"/>
      <c r="H1834" s="753"/>
      <c r="I1834" s="753"/>
      <c r="J1834" s="753"/>
      <c r="K1834" s="753"/>
      <c r="L1834" s="753"/>
      <c r="M1834" s="753"/>
    </row>
    <row r="1835" spans="1:13" s="755" customFormat="1">
      <c r="A1835" s="816"/>
      <c r="B1835" s="753"/>
      <c r="C1835" s="753"/>
      <c r="D1835" s="753"/>
      <c r="E1835" s="753"/>
      <c r="F1835" s="753"/>
      <c r="G1835" s="753"/>
      <c r="H1835" s="753"/>
      <c r="I1835" s="753"/>
      <c r="J1835" s="753"/>
      <c r="K1835" s="753"/>
      <c r="L1835" s="753"/>
      <c r="M1835" s="753"/>
    </row>
    <row r="1836" spans="1:13" s="755" customFormat="1">
      <c r="A1836" s="816"/>
      <c r="B1836" s="753"/>
      <c r="C1836" s="753"/>
      <c r="D1836" s="753"/>
      <c r="E1836" s="753"/>
      <c r="F1836" s="753"/>
      <c r="G1836" s="753"/>
      <c r="H1836" s="753"/>
      <c r="I1836" s="753"/>
      <c r="J1836" s="753"/>
      <c r="K1836" s="753"/>
      <c r="L1836" s="753"/>
      <c r="M1836" s="753"/>
    </row>
    <row r="1837" spans="1:13" s="755" customFormat="1">
      <c r="A1837" s="816"/>
      <c r="B1837" s="753"/>
      <c r="C1837" s="753"/>
      <c r="D1837" s="753"/>
      <c r="E1837" s="753"/>
      <c r="F1837" s="753"/>
      <c r="G1837" s="753"/>
      <c r="H1837" s="753"/>
      <c r="I1837" s="753"/>
      <c r="J1837" s="753"/>
      <c r="K1837" s="753"/>
      <c r="L1837" s="753"/>
      <c r="M1837" s="753"/>
    </row>
    <row r="1838" spans="1:13" s="755" customFormat="1">
      <c r="A1838" s="816"/>
      <c r="B1838" s="753"/>
      <c r="C1838" s="753"/>
      <c r="D1838" s="753"/>
      <c r="E1838" s="753"/>
      <c r="F1838" s="753"/>
      <c r="G1838" s="753"/>
      <c r="H1838" s="753"/>
      <c r="I1838" s="753"/>
      <c r="J1838" s="753"/>
      <c r="K1838" s="753"/>
      <c r="L1838" s="753"/>
      <c r="M1838" s="753"/>
    </row>
    <row r="1839" spans="1:13" s="755" customFormat="1">
      <c r="A1839" s="816"/>
      <c r="B1839" s="753"/>
      <c r="C1839" s="753"/>
      <c r="D1839" s="753"/>
      <c r="E1839" s="753"/>
      <c r="F1839" s="753"/>
      <c r="G1839" s="753"/>
      <c r="H1839" s="753"/>
      <c r="I1839" s="753"/>
      <c r="J1839" s="753"/>
      <c r="K1839" s="753"/>
      <c r="L1839" s="753"/>
      <c r="M1839" s="753"/>
    </row>
    <row r="1840" spans="1:13" s="755" customFormat="1">
      <c r="A1840" s="816"/>
      <c r="B1840" s="753"/>
      <c r="C1840" s="753"/>
      <c r="D1840" s="753"/>
      <c r="E1840" s="753"/>
      <c r="F1840" s="753"/>
      <c r="G1840" s="753"/>
      <c r="H1840" s="753"/>
      <c r="I1840" s="753"/>
      <c r="J1840" s="753"/>
      <c r="K1840" s="753"/>
      <c r="L1840" s="753"/>
      <c r="M1840" s="753"/>
    </row>
    <row r="1841" spans="1:13" s="755" customFormat="1">
      <c r="A1841" s="816"/>
      <c r="B1841" s="753"/>
      <c r="C1841" s="753"/>
      <c r="D1841" s="753"/>
      <c r="E1841" s="753"/>
      <c r="F1841" s="753"/>
      <c r="G1841" s="753"/>
      <c r="H1841" s="753"/>
      <c r="I1841" s="753"/>
      <c r="J1841" s="753"/>
      <c r="K1841" s="753"/>
      <c r="L1841" s="753"/>
      <c r="M1841" s="753"/>
    </row>
    <row r="1842" spans="1:13" s="755" customFormat="1">
      <c r="A1842" s="816"/>
      <c r="B1842" s="753"/>
      <c r="C1842" s="753"/>
      <c r="D1842" s="753"/>
      <c r="E1842" s="753"/>
      <c r="F1842" s="753"/>
      <c r="G1842" s="753"/>
      <c r="H1842" s="753"/>
      <c r="I1842" s="753"/>
      <c r="J1842" s="753"/>
      <c r="K1842" s="753"/>
      <c r="L1842" s="753"/>
      <c r="M1842" s="753"/>
    </row>
    <row r="1843" spans="1:13" s="755" customFormat="1">
      <c r="A1843" s="816"/>
      <c r="B1843" s="753"/>
      <c r="C1843" s="753"/>
      <c r="D1843" s="753"/>
      <c r="E1843" s="753"/>
      <c r="F1843" s="753"/>
      <c r="G1843" s="753"/>
      <c r="H1843" s="753"/>
      <c r="I1843" s="753"/>
      <c r="J1843" s="753"/>
      <c r="K1843" s="753"/>
      <c r="L1843" s="753"/>
      <c r="M1843" s="753"/>
    </row>
    <row r="1844" spans="1:13" s="755" customFormat="1">
      <c r="A1844" s="816"/>
      <c r="B1844" s="753"/>
      <c r="C1844" s="753"/>
      <c r="D1844" s="753"/>
      <c r="E1844" s="753"/>
      <c r="F1844" s="753"/>
      <c r="G1844" s="753"/>
      <c r="H1844" s="753"/>
      <c r="I1844" s="753"/>
      <c r="J1844" s="753"/>
      <c r="K1844" s="753"/>
      <c r="L1844" s="753"/>
      <c r="M1844" s="753"/>
    </row>
    <row r="1845" spans="1:13" s="755" customFormat="1">
      <c r="A1845" s="816"/>
      <c r="B1845" s="753"/>
      <c r="C1845" s="753"/>
      <c r="D1845" s="753"/>
      <c r="E1845" s="753"/>
      <c r="F1845" s="753"/>
      <c r="G1845" s="753"/>
      <c r="H1845" s="753"/>
      <c r="I1845" s="753"/>
      <c r="J1845" s="753"/>
      <c r="K1845" s="753"/>
      <c r="L1845" s="753"/>
      <c r="M1845" s="753"/>
    </row>
    <row r="1846" spans="1:13" s="755" customFormat="1">
      <c r="A1846" s="816"/>
      <c r="B1846" s="753"/>
      <c r="C1846" s="753"/>
      <c r="D1846" s="753"/>
      <c r="E1846" s="753"/>
      <c r="F1846" s="753"/>
      <c r="G1846" s="753"/>
      <c r="H1846" s="753"/>
      <c r="I1846" s="753"/>
      <c r="J1846" s="753"/>
      <c r="K1846" s="753"/>
      <c r="L1846" s="753"/>
      <c r="M1846" s="753"/>
    </row>
    <row r="1847" spans="1:13" s="755" customFormat="1">
      <c r="A1847" s="816"/>
      <c r="B1847" s="753"/>
      <c r="C1847" s="753"/>
      <c r="D1847" s="753"/>
      <c r="E1847" s="753"/>
      <c r="F1847" s="753"/>
      <c r="G1847" s="753"/>
      <c r="H1847" s="753"/>
      <c r="I1847" s="753"/>
      <c r="J1847" s="753"/>
      <c r="K1847" s="753"/>
      <c r="L1847" s="753"/>
      <c r="M1847" s="753"/>
    </row>
    <row r="1848" spans="1:13" s="755" customFormat="1">
      <c r="A1848" s="816"/>
      <c r="B1848" s="753"/>
      <c r="C1848" s="753"/>
      <c r="D1848" s="753"/>
      <c r="E1848" s="753"/>
      <c r="F1848" s="753"/>
      <c r="G1848" s="753"/>
      <c r="H1848" s="753"/>
      <c r="I1848" s="753"/>
      <c r="J1848" s="753"/>
      <c r="K1848" s="753"/>
      <c r="L1848" s="753"/>
      <c r="M1848" s="753"/>
    </row>
    <row r="1849" spans="1:13" s="755" customFormat="1">
      <c r="A1849" s="816"/>
      <c r="B1849" s="753"/>
      <c r="C1849" s="753"/>
      <c r="D1849" s="753"/>
      <c r="E1849" s="753"/>
      <c r="F1849" s="753"/>
      <c r="G1849" s="753"/>
      <c r="H1849" s="753"/>
      <c r="I1849" s="753"/>
      <c r="J1849" s="753"/>
      <c r="K1849" s="753"/>
      <c r="L1849" s="753"/>
      <c r="M1849" s="753"/>
    </row>
    <row r="1850" spans="1:13" s="755" customFormat="1">
      <c r="A1850" s="816"/>
      <c r="B1850" s="753"/>
      <c r="C1850" s="753"/>
      <c r="D1850" s="753"/>
      <c r="E1850" s="753"/>
      <c r="F1850" s="753"/>
      <c r="G1850" s="753"/>
      <c r="H1850" s="753"/>
      <c r="I1850" s="753"/>
      <c r="J1850" s="753"/>
      <c r="K1850" s="753"/>
      <c r="L1850" s="753"/>
      <c r="M1850" s="753"/>
    </row>
    <row r="1851" spans="1:13" s="755" customFormat="1">
      <c r="A1851" s="816"/>
      <c r="B1851" s="753"/>
      <c r="C1851" s="753"/>
      <c r="D1851" s="753"/>
      <c r="E1851" s="753"/>
      <c r="F1851" s="753"/>
      <c r="G1851" s="753"/>
      <c r="H1851" s="753"/>
      <c r="I1851" s="753"/>
      <c r="J1851" s="753"/>
      <c r="K1851" s="753"/>
      <c r="L1851" s="753"/>
      <c r="M1851" s="753"/>
    </row>
    <row r="1852" spans="1:13" s="755" customFormat="1">
      <c r="A1852" s="816"/>
      <c r="B1852" s="753"/>
      <c r="C1852" s="753"/>
      <c r="D1852" s="753"/>
      <c r="E1852" s="753"/>
      <c r="F1852" s="753"/>
      <c r="G1852" s="753"/>
      <c r="H1852" s="753"/>
      <c r="I1852" s="753"/>
      <c r="J1852" s="753"/>
      <c r="K1852" s="753"/>
      <c r="L1852" s="753"/>
      <c r="M1852" s="753"/>
    </row>
    <row r="1853" spans="1:13" s="755" customFormat="1">
      <c r="A1853" s="816"/>
      <c r="B1853" s="753"/>
      <c r="C1853" s="753"/>
      <c r="D1853" s="753"/>
      <c r="E1853" s="753"/>
      <c r="F1853" s="753"/>
      <c r="G1853" s="753"/>
      <c r="H1853" s="753"/>
      <c r="I1853" s="753"/>
      <c r="J1853" s="753"/>
      <c r="K1853" s="753"/>
      <c r="L1853" s="753"/>
      <c r="M1853" s="753"/>
    </row>
    <row r="1854" spans="1:13" s="755" customFormat="1">
      <c r="A1854" s="816"/>
      <c r="B1854" s="753"/>
      <c r="C1854" s="753"/>
      <c r="D1854" s="753"/>
      <c r="E1854" s="753"/>
      <c r="F1854" s="753"/>
      <c r="G1854" s="753"/>
      <c r="H1854" s="753"/>
      <c r="I1854" s="753"/>
      <c r="J1854" s="753"/>
      <c r="K1854" s="753"/>
      <c r="L1854" s="753"/>
      <c r="M1854" s="753"/>
    </row>
    <row r="1855" spans="1:13" s="755" customFormat="1">
      <c r="A1855" s="816"/>
      <c r="B1855" s="753"/>
      <c r="C1855" s="753"/>
      <c r="D1855" s="753"/>
      <c r="E1855" s="753"/>
      <c r="F1855" s="753"/>
      <c r="G1855" s="753"/>
      <c r="H1855" s="753"/>
      <c r="I1855" s="753"/>
      <c r="J1855" s="753"/>
      <c r="K1855" s="753"/>
      <c r="L1855" s="753"/>
      <c r="M1855" s="753"/>
    </row>
    <row r="1856" spans="1:13" s="755" customFormat="1">
      <c r="A1856" s="816"/>
      <c r="B1856" s="753"/>
      <c r="C1856" s="753"/>
      <c r="D1856" s="753"/>
      <c r="E1856" s="753"/>
      <c r="F1856" s="753"/>
      <c r="G1856" s="753"/>
      <c r="H1856" s="753"/>
      <c r="I1856" s="753"/>
      <c r="J1856" s="753"/>
      <c r="K1856" s="753"/>
      <c r="L1856" s="753"/>
      <c r="M1856" s="753"/>
    </row>
    <row r="1857" spans="1:13" s="755" customFormat="1">
      <c r="A1857" s="816"/>
      <c r="B1857" s="753"/>
      <c r="C1857" s="753"/>
      <c r="D1857" s="753"/>
      <c r="E1857" s="753"/>
      <c r="F1857" s="753"/>
      <c r="G1857" s="753"/>
      <c r="H1857" s="753"/>
      <c r="I1857" s="753"/>
      <c r="J1857" s="753"/>
      <c r="K1857" s="753"/>
      <c r="L1857" s="753"/>
      <c r="M1857" s="753"/>
    </row>
    <row r="1858" spans="1:13" s="755" customFormat="1">
      <c r="A1858" s="816"/>
      <c r="B1858" s="753"/>
      <c r="C1858" s="753"/>
      <c r="D1858" s="753"/>
      <c r="E1858" s="753"/>
      <c r="F1858" s="753"/>
      <c r="G1858" s="753"/>
      <c r="H1858" s="753"/>
      <c r="I1858" s="753"/>
      <c r="J1858" s="753"/>
      <c r="K1858" s="753"/>
      <c r="L1858" s="753"/>
      <c r="M1858" s="753"/>
    </row>
    <row r="1859" spans="1:13" s="755" customFormat="1">
      <c r="A1859" s="816"/>
      <c r="B1859" s="753"/>
      <c r="C1859" s="753"/>
      <c r="D1859" s="753"/>
      <c r="E1859" s="753"/>
      <c r="F1859" s="753"/>
      <c r="G1859" s="753"/>
      <c r="H1859" s="753"/>
      <c r="I1859" s="753"/>
      <c r="J1859" s="753"/>
      <c r="K1859" s="753"/>
      <c r="L1859" s="753"/>
      <c r="M1859" s="753"/>
    </row>
    <row r="1860" spans="1:13" s="755" customFormat="1">
      <c r="A1860" s="816"/>
      <c r="B1860" s="753"/>
      <c r="C1860" s="753"/>
      <c r="D1860" s="753"/>
      <c r="E1860" s="753"/>
      <c r="F1860" s="753"/>
      <c r="G1860" s="753"/>
      <c r="H1860" s="753"/>
      <c r="I1860" s="753"/>
      <c r="J1860" s="753"/>
      <c r="K1860" s="753"/>
      <c r="L1860" s="753"/>
      <c r="M1860" s="753"/>
    </row>
    <row r="1861" spans="1:13" s="755" customFormat="1">
      <c r="A1861" s="816"/>
      <c r="B1861" s="753"/>
      <c r="C1861" s="753"/>
      <c r="D1861" s="753"/>
      <c r="E1861" s="753"/>
      <c r="F1861" s="753"/>
      <c r="G1861" s="753"/>
      <c r="H1861" s="753"/>
      <c r="I1861" s="753"/>
      <c r="J1861" s="753"/>
      <c r="K1861" s="753"/>
      <c r="L1861" s="753"/>
      <c r="M1861" s="753"/>
    </row>
    <row r="1862" spans="1:13" s="755" customFormat="1">
      <c r="A1862" s="816"/>
      <c r="B1862" s="753"/>
      <c r="C1862" s="753"/>
      <c r="D1862" s="753"/>
      <c r="E1862" s="753"/>
      <c r="F1862" s="753"/>
      <c r="G1862" s="753"/>
      <c r="H1862" s="753"/>
      <c r="I1862" s="753"/>
      <c r="J1862" s="753"/>
      <c r="K1862" s="753"/>
      <c r="L1862" s="753"/>
      <c r="M1862" s="753"/>
    </row>
    <row r="1863" spans="1:13" s="755" customFormat="1">
      <c r="A1863" s="816"/>
      <c r="B1863" s="753"/>
      <c r="C1863" s="753"/>
      <c r="D1863" s="753"/>
      <c r="E1863" s="753"/>
      <c r="F1863" s="753"/>
      <c r="G1863" s="753"/>
      <c r="H1863" s="753"/>
      <c r="I1863" s="753"/>
      <c r="J1863" s="753"/>
      <c r="K1863" s="753"/>
      <c r="L1863" s="753"/>
      <c r="M1863" s="753"/>
    </row>
    <row r="1864" spans="1:13" s="755" customFormat="1">
      <c r="A1864" s="816"/>
      <c r="B1864" s="753"/>
      <c r="C1864" s="753"/>
      <c r="D1864" s="753"/>
      <c r="E1864" s="753"/>
      <c r="F1864" s="753"/>
      <c r="G1864" s="753"/>
      <c r="H1864" s="753"/>
      <c r="I1864" s="753"/>
      <c r="J1864" s="753"/>
      <c r="K1864" s="753"/>
      <c r="L1864" s="753"/>
      <c r="M1864" s="753"/>
    </row>
    <row r="1865" spans="1:13" s="755" customFormat="1">
      <c r="A1865" s="816"/>
      <c r="B1865" s="753"/>
      <c r="C1865" s="753"/>
      <c r="D1865" s="753"/>
      <c r="E1865" s="753"/>
      <c r="F1865" s="753"/>
      <c r="G1865" s="753"/>
      <c r="H1865" s="753"/>
      <c r="I1865" s="753"/>
      <c r="J1865" s="753"/>
      <c r="K1865" s="753"/>
      <c r="L1865" s="753"/>
      <c r="M1865" s="753"/>
    </row>
    <row r="1866" spans="1:13" s="755" customFormat="1">
      <c r="A1866" s="816"/>
      <c r="B1866" s="753"/>
      <c r="C1866" s="753"/>
      <c r="D1866" s="753"/>
      <c r="E1866" s="753"/>
      <c r="F1866" s="753"/>
      <c r="G1866" s="753"/>
      <c r="H1866" s="753"/>
      <c r="I1866" s="753"/>
      <c r="J1866" s="753"/>
      <c r="K1866" s="753"/>
      <c r="L1866" s="753"/>
      <c r="M1866" s="753"/>
    </row>
    <row r="1867" spans="1:13" s="755" customFormat="1">
      <c r="A1867" s="816"/>
      <c r="B1867" s="753"/>
      <c r="C1867" s="753"/>
      <c r="D1867" s="753"/>
      <c r="E1867" s="753"/>
      <c r="F1867" s="753"/>
      <c r="G1867" s="753"/>
      <c r="H1867" s="753"/>
      <c r="I1867" s="753"/>
      <c r="J1867" s="753"/>
      <c r="K1867" s="753"/>
      <c r="L1867" s="753"/>
      <c r="M1867" s="753"/>
    </row>
    <row r="1868" spans="1:13" s="755" customFormat="1">
      <c r="A1868" s="816"/>
      <c r="B1868" s="753"/>
      <c r="C1868" s="753"/>
      <c r="D1868" s="753"/>
      <c r="E1868" s="753"/>
      <c r="F1868" s="753"/>
      <c r="G1868" s="753"/>
      <c r="H1868" s="753"/>
      <c r="I1868" s="753"/>
      <c r="J1868" s="753"/>
      <c r="K1868" s="753"/>
      <c r="L1868" s="753"/>
      <c r="M1868" s="753"/>
    </row>
    <row r="1869" spans="1:13" s="755" customFormat="1">
      <c r="A1869" s="816"/>
      <c r="B1869" s="753"/>
      <c r="C1869" s="753"/>
      <c r="D1869" s="753"/>
      <c r="E1869" s="753"/>
      <c r="F1869" s="753"/>
      <c r="G1869" s="753"/>
      <c r="H1869" s="753"/>
      <c r="I1869" s="753"/>
      <c r="J1869" s="753"/>
      <c r="K1869" s="753"/>
      <c r="L1869" s="753"/>
      <c r="M1869" s="753"/>
    </row>
    <row r="1870" spans="1:13" s="755" customFormat="1">
      <c r="A1870" s="816"/>
      <c r="B1870" s="753"/>
      <c r="C1870" s="753"/>
      <c r="D1870" s="753"/>
      <c r="E1870" s="753"/>
      <c r="F1870" s="753"/>
      <c r="G1870" s="753"/>
      <c r="H1870" s="753"/>
      <c r="I1870" s="753"/>
      <c r="J1870" s="753"/>
      <c r="K1870" s="753"/>
      <c r="L1870" s="753"/>
      <c r="M1870" s="753"/>
    </row>
    <row r="1871" spans="1:13" s="755" customFormat="1">
      <c r="A1871" s="816"/>
      <c r="B1871" s="753"/>
      <c r="C1871" s="753"/>
      <c r="D1871" s="753"/>
      <c r="E1871" s="753"/>
      <c r="F1871" s="753"/>
      <c r="G1871" s="753"/>
      <c r="H1871" s="753"/>
      <c r="I1871" s="753"/>
      <c r="J1871" s="753"/>
      <c r="K1871" s="753"/>
      <c r="L1871" s="753"/>
      <c r="M1871" s="753"/>
    </row>
    <row r="1872" spans="1:13" s="755" customFormat="1">
      <c r="A1872" s="816"/>
      <c r="B1872" s="753"/>
      <c r="C1872" s="753"/>
      <c r="D1872" s="753"/>
      <c r="E1872" s="753"/>
      <c r="F1872" s="753"/>
      <c r="G1872" s="753"/>
      <c r="H1872" s="753"/>
      <c r="I1872" s="753"/>
      <c r="J1872" s="753"/>
      <c r="K1872" s="753"/>
      <c r="L1872" s="753"/>
      <c r="M1872" s="753"/>
    </row>
    <row r="1873" spans="1:13" s="755" customFormat="1">
      <c r="A1873" s="816"/>
      <c r="B1873" s="753"/>
      <c r="C1873" s="753"/>
      <c r="D1873" s="753"/>
      <c r="E1873" s="753"/>
      <c r="F1873" s="753"/>
      <c r="G1873" s="753"/>
      <c r="H1873" s="753"/>
      <c r="I1873" s="753"/>
      <c r="J1873" s="753"/>
      <c r="K1873" s="753"/>
      <c r="L1873" s="753"/>
      <c r="M1873" s="753"/>
    </row>
    <row r="1874" spans="1:13" s="755" customFormat="1">
      <c r="A1874" s="816"/>
      <c r="B1874" s="753"/>
      <c r="C1874" s="753"/>
      <c r="D1874" s="753"/>
      <c r="E1874" s="753"/>
      <c r="F1874" s="753"/>
      <c r="G1874" s="753"/>
      <c r="H1874" s="753"/>
      <c r="I1874" s="753"/>
      <c r="J1874" s="753"/>
      <c r="K1874" s="753"/>
      <c r="L1874" s="753"/>
      <c r="M1874" s="753"/>
    </row>
    <row r="1875" spans="1:13" s="755" customFormat="1">
      <c r="A1875" s="816"/>
      <c r="B1875" s="753"/>
      <c r="C1875" s="753"/>
      <c r="D1875" s="753"/>
      <c r="E1875" s="753"/>
      <c r="F1875" s="753"/>
      <c r="G1875" s="753"/>
      <c r="H1875" s="753"/>
      <c r="I1875" s="753"/>
      <c r="J1875" s="753"/>
      <c r="K1875" s="753"/>
      <c r="L1875" s="753"/>
      <c r="M1875" s="753"/>
    </row>
    <row r="1876" spans="1:13" s="755" customFormat="1">
      <c r="A1876" s="816"/>
      <c r="B1876" s="753"/>
      <c r="C1876" s="753"/>
      <c r="D1876" s="753"/>
      <c r="E1876" s="753"/>
      <c r="F1876" s="753"/>
      <c r="G1876" s="753"/>
      <c r="H1876" s="753"/>
      <c r="I1876" s="753"/>
      <c r="J1876" s="753"/>
      <c r="K1876" s="753"/>
      <c r="L1876" s="753"/>
      <c r="M1876" s="753"/>
    </row>
    <row r="1877" spans="1:13" s="755" customFormat="1">
      <c r="A1877" s="816"/>
      <c r="B1877" s="753"/>
      <c r="C1877" s="753"/>
      <c r="D1877" s="753"/>
      <c r="E1877" s="753"/>
      <c r="F1877" s="753"/>
      <c r="G1877" s="753"/>
      <c r="H1877" s="753"/>
      <c r="I1877" s="753"/>
      <c r="J1877" s="753"/>
      <c r="K1877" s="753"/>
      <c r="L1877" s="753"/>
      <c r="M1877" s="753"/>
    </row>
    <row r="1878" spans="1:13" s="755" customFormat="1">
      <c r="A1878" s="816"/>
      <c r="B1878" s="753"/>
      <c r="C1878" s="753"/>
      <c r="D1878" s="753"/>
      <c r="E1878" s="753"/>
      <c r="F1878" s="753"/>
      <c r="G1878" s="753"/>
      <c r="H1878" s="753"/>
      <c r="I1878" s="753"/>
      <c r="J1878" s="753"/>
      <c r="K1878" s="753"/>
      <c r="L1878" s="753"/>
      <c r="M1878" s="753"/>
    </row>
    <row r="1879" spans="1:13" s="755" customFormat="1">
      <c r="A1879" s="816"/>
      <c r="B1879" s="753"/>
      <c r="C1879" s="753"/>
      <c r="D1879" s="753"/>
      <c r="E1879" s="753"/>
      <c r="F1879" s="753"/>
      <c r="G1879" s="753"/>
      <c r="H1879" s="753"/>
      <c r="I1879" s="753"/>
      <c r="J1879" s="753"/>
      <c r="K1879" s="753"/>
      <c r="L1879" s="753"/>
      <c r="M1879" s="753"/>
    </row>
    <row r="1880" spans="1:13" s="755" customFormat="1">
      <c r="A1880" s="816"/>
      <c r="B1880" s="753"/>
      <c r="C1880" s="753"/>
      <c r="D1880" s="753"/>
      <c r="E1880" s="753"/>
      <c r="F1880" s="753"/>
      <c r="G1880" s="753"/>
      <c r="H1880" s="753"/>
      <c r="I1880" s="753"/>
      <c r="J1880" s="753"/>
      <c r="K1880" s="753"/>
      <c r="L1880" s="753"/>
      <c r="M1880" s="753"/>
    </row>
    <row r="1881" spans="1:13" s="755" customFormat="1">
      <c r="A1881" s="816"/>
      <c r="B1881" s="753"/>
      <c r="C1881" s="753"/>
      <c r="D1881" s="753"/>
      <c r="E1881" s="753"/>
      <c r="F1881" s="753"/>
      <c r="G1881" s="753"/>
      <c r="H1881" s="753"/>
      <c r="I1881" s="753"/>
      <c r="J1881" s="753"/>
      <c r="K1881" s="753"/>
      <c r="L1881" s="753"/>
      <c r="M1881" s="753"/>
    </row>
    <row r="1882" spans="1:13" s="755" customFormat="1">
      <c r="A1882" s="816"/>
      <c r="B1882" s="753"/>
      <c r="C1882" s="753"/>
      <c r="D1882" s="753"/>
      <c r="E1882" s="753"/>
      <c r="F1882" s="753"/>
      <c r="G1882" s="753"/>
      <c r="H1882" s="753"/>
      <c r="I1882" s="753"/>
      <c r="J1882" s="753"/>
      <c r="K1882" s="753"/>
      <c r="L1882" s="753"/>
      <c r="M1882" s="753"/>
    </row>
    <row r="1883" spans="1:13" s="755" customFormat="1">
      <c r="A1883" s="816"/>
      <c r="B1883" s="753"/>
      <c r="C1883" s="753"/>
      <c r="D1883" s="753"/>
      <c r="E1883" s="753"/>
      <c r="F1883" s="753"/>
      <c r="G1883" s="753"/>
      <c r="H1883" s="753"/>
      <c r="I1883" s="753"/>
      <c r="J1883" s="753"/>
      <c r="K1883" s="753"/>
      <c r="L1883" s="753"/>
      <c r="M1883" s="753"/>
    </row>
    <row r="1884" spans="1:13" s="755" customFormat="1">
      <c r="A1884" s="816"/>
      <c r="B1884" s="753"/>
      <c r="C1884" s="753"/>
      <c r="D1884" s="753"/>
      <c r="E1884" s="753"/>
      <c r="F1884" s="753"/>
      <c r="G1884" s="753"/>
      <c r="H1884" s="753"/>
      <c r="I1884" s="753"/>
      <c r="J1884" s="753"/>
      <c r="K1884" s="753"/>
      <c r="L1884" s="753"/>
      <c r="M1884" s="753"/>
    </row>
    <row r="1885" spans="1:13" s="755" customFormat="1">
      <c r="A1885" s="816"/>
      <c r="B1885" s="753"/>
      <c r="C1885" s="753"/>
      <c r="D1885" s="753"/>
      <c r="E1885" s="753"/>
      <c r="F1885" s="753"/>
      <c r="G1885" s="753"/>
      <c r="H1885" s="753"/>
      <c r="I1885" s="753"/>
      <c r="J1885" s="753"/>
      <c r="K1885" s="753"/>
      <c r="L1885" s="753"/>
      <c r="M1885" s="753"/>
    </row>
    <row r="1886" spans="1:13" s="755" customFormat="1">
      <c r="A1886" s="816"/>
      <c r="B1886" s="753"/>
      <c r="C1886" s="753"/>
      <c r="D1886" s="753"/>
      <c r="E1886" s="753"/>
      <c r="F1886" s="753"/>
      <c r="G1886" s="753"/>
      <c r="H1886" s="753"/>
      <c r="I1886" s="753"/>
      <c r="J1886" s="753"/>
      <c r="K1886" s="753"/>
      <c r="L1886" s="753"/>
      <c r="M1886" s="753"/>
    </row>
    <row r="1887" spans="1:13" s="755" customFormat="1">
      <c r="A1887" s="816"/>
      <c r="B1887" s="753"/>
      <c r="C1887" s="753"/>
      <c r="D1887" s="753"/>
      <c r="E1887" s="753"/>
      <c r="F1887" s="753"/>
      <c r="G1887" s="753"/>
      <c r="H1887" s="753"/>
      <c r="I1887" s="753"/>
      <c r="J1887" s="753"/>
      <c r="K1887" s="753"/>
      <c r="L1887" s="753"/>
      <c r="M1887" s="753"/>
    </row>
    <row r="1888" spans="1:13" s="755" customFormat="1">
      <c r="A1888" s="816"/>
      <c r="B1888" s="753"/>
      <c r="C1888" s="753"/>
      <c r="D1888" s="753"/>
      <c r="E1888" s="753"/>
      <c r="F1888" s="753"/>
      <c r="G1888" s="753"/>
      <c r="H1888" s="753"/>
      <c r="I1888" s="753"/>
      <c r="J1888" s="753"/>
      <c r="K1888" s="753"/>
      <c r="L1888" s="753"/>
      <c r="M1888" s="753"/>
    </row>
    <row r="1889" spans="1:13" s="755" customFormat="1">
      <c r="A1889" s="816"/>
      <c r="B1889" s="753"/>
      <c r="C1889" s="753"/>
      <c r="D1889" s="753"/>
      <c r="E1889" s="753"/>
      <c r="F1889" s="753"/>
      <c r="G1889" s="753"/>
      <c r="H1889" s="753"/>
      <c r="I1889" s="753"/>
      <c r="J1889" s="753"/>
      <c r="K1889" s="753"/>
      <c r="L1889" s="753"/>
      <c r="M1889" s="753"/>
    </row>
    <row r="1890" spans="1:13" s="755" customFormat="1">
      <c r="A1890" s="816"/>
      <c r="B1890" s="753"/>
      <c r="C1890" s="753"/>
      <c r="D1890" s="753"/>
      <c r="E1890" s="753"/>
      <c r="F1890" s="753"/>
      <c r="G1890" s="753"/>
      <c r="H1890" s="753"/>
      <c r="I1890" s="753"/>
      <c r="J1890" s="753"/>
      <c r="K1890" s="753"/>
      <c r="L1890" s="753"/>
      <c r="M1890" s="753"/>
    </row>
    <row r="1891" spans="1:13" s="755" customFormat="1">
      <c r="A1891" s="816"/>
      <c r="B1891" s="753"/>
      <c r="C1891" s="753"/>
      <c r="D1891" s="753"/>
      <c r="E1891" s="753"/>
      <c r="F1891" s="753"/>
      <c r="G1891" s="753"/>
      <c r="H1891" s="753"/>
      <c r="I1891" s="753"/>
      <c r="J1891" s="753"/>
      <c r="K1891" s="753"/>
      <c r="L1891" s="753"/>
      <c r="M1891" s="753"/>
    </row>
    <row r="1892" spans="1:13" s="755" customFormat="1">
      <c r="A1892" s="816"/>
      <c r="B1892" s="753"/>
      <c r="C1892" s="753"/>
      <c r="D1892" s="753"/>
      <c r="E1892" s="753"/>
      <c r="F1892" s="753"/>
      <c r="G1892" s="753"/>
      <c r="H1892" s="753"/>
      <c r="I1892" s="753"/>
      <c r="J1892" s="753"/>
      <c r="K1892" s="753"/>
      <c r="L1892" s="753"/>
      <c r="M1892" s="753"/>
    </row>
    <row r="1893" spans="1:13" s="755" customFormat="1">
      <c r="A1893" s="816"/>
      <c r="B1893" s="753"/>
      <c r="C1893" s="753"/>
      <c r="D1893" s="753"/>
      <c r="E1893" s="753"/>
      <c r="F1893" s="753"/>
      <c r="G1893" s="753"/>
      <c r="H1893" s="753"/>
      <c r="I1893" s="753"/>
      <c r="J1893" s="753"/>
      <c r="K1893" s="753"/>
      <c r="L1893" s="753"/>
      <c r="M1893" s="753"/>
    </row>
    <row r="1894" spans="1:13" s="755" customFormat="1">
      <c r="A1894" s="816"/>
      <c r="B1894" s="753"/>
      <c r="C1894" s="753"/>
      <c r="D1894" s="753"/>
      <c r="E1894" s="753"/>
      <c r="F1894" s="753"/>
      <c r="G1894" s="753"/>
      <c r="H1894" s="753"/>
      <c r="I1894" s="753"/>
      <c r="J1894" s="753"/>
      <c r="K1894" s="753"/>
      <c r="L1894" s="753"/>
      <c r="M1894" s="753"/>
    </row>
    <row r="1895" spans="1:13" s="755" customFormat="1">
      <c r="A1895" s="816"/>
      <c r="B1895" s="753"/>
      <c r="C1895" s="753"/>
      <c r="D1895" s="753"/>
      <c r="E1895" s="753"/>
      <c r="F1895" s="753"/>
      <c r="G1895" s="753"/>
      <c r="H1895" s="753"/>
      <c r="I1895" s="753"/>
      <c r="J1895" s="753"/>
      <c r="K1895" s="753"/>
      <c r="L1895" s="753"/>
      <c r="M1895" s="753"/>
    </row>
    <row r="1896" spans="1:13" s="755" customFormat="1">
      <c r="A1896" s="816"/>
      <c r="B1896" s="753"/>
      <c r="C1896" s="753"/>
      <c r="D1896" s="753"/>
      <c r="E1896" s="753"/>
      <c r="F1896" s="753"/>
      <c r="G1896" s="753"/>
      <c r="H1896" s="753"/>
      <c r="I1896" s="753"/>
      <c r="J1896" s="753"/>
      <c r="K1896" s="753"/>
      <c r="L1896" s="753"/>
      <c r="M1896" s="753"/>
    </row>
    <row r="1897" spans="1:13" s="755" customFormat="1">
      <c r="A1897" s="816"/>
      <c r="B1897" s="753"/>
      <c r="C1897" s="753"/>
      <c r="D1897" s="753"/>
      <c r="E1897" s="753"/>
      <c r="F1897" s="753"/>
      <c r="G1897" s="753"/>
      <c r="H1897" s="753"/>
      <c r="I1897" s="753"/>
      <c r="J1897" s="753"/>
      <c r="K1897" s="753"/>
      <c r="L1897" s="753"/>
      <c r="M1897" s="753"/>
    </row>
    <row r="1898" spans="1:13" s="755" customFormat="1">
      <c r="A1898" s="816"/>
      <c r="B1898" s="753"/>
      <c r="C1898" s="753"/>
      <c r="D1898" s="753"/>
      <c r="E1898" s="753"/>
      <c r="F1898" s="753"/>
      <c r="G1898" s="753"/>
      <c r="H1898" s="753"/>
      <c r="I1898" s="753"/>
      <c r="J1898" s="753"/>
      <c r="K1898" s="753"/>
      <c r="L1898" s="753"/>
      <c r="M1898" s="753"/>
    </row>
    <row r="1899" spans="1:13" s="755" customFormat="1">
      <c r="A1899" s="816"/>
      <c r="B1899" s="753"/>
      <c r="C1899" s="753"/>
      <c r="D1899" s="753"/>
      <c r="E1899" s="753"/>
      <c r="F1899" s="753"/>
      <c r="G1899" s="753"/>
      <c r="H1899" s="753"/>
      <c r="I1899" s="753"/>
      <c r="J1899" s="753"/>
      <c r="K1899" s="753"/>
      <c r="L1899" s="753"/>
      <c r="M1899" s="753"/>
    </row>
    <row r="1900" spans="1:13" s="755" customFormat="1">
      <c r="A1900" s="816"/>
      <c r="B1900" s="753"/>
      <c r="C1900" s="753"/>
      <c r="D1900" s="753"/>
      <c r="E1900" s="753"/>
      <c r="F1900" s="753"/>
      <c r="G1900" s="753"/>
      <c r="H1900" s="753"/>
      <c r="I1900" s="753"/>
      <c r="J1900" s="753"/>
      <c r="K1900" s="753"/>
      <c r="L1900" s="753"/>
      <c r="M1900" s="753"/>
    </row>
    <row r="1901" spans="1:13" s="755" customFormat="1">
      <c r="A1901" s="816"/>
      <c r="B1901" s="753"/>
      <c r="C1901" s="753"/>
      <c r="D1901" s="753"/>
      <c r="E1901" s="753"/>
      <c r="F1901" s="753"/>
      <c r="G1901" s="753"/>
      <c r="H1901" s="753"/>
      <c r="I1901" s="753"/>
      <c r="J1901" s="753"/>
      <c r="K1901" s="753"/>
      <c r="L1901" s="753"/>
      <c r="M1901" s="753"/>
    </row>
    <row r="1902" spans="1:13" s="755" customFormat="1">
      <c r="A1902" s="816"/>
      <c r="B1902" s="753"/>
      <c r="C1902" s="753"/>
      <c r="D1902" s="753"/>
      <c r="E1902" s="753"/>
      <c r="F1902" s="753"/>
      <c r="G1902" s="753"/>
      <c r="H1902" s="753"/>
      <c r="I1902" s="753"/>
      <c r="J1902" s="753"/>
      <c r="K1902" s="753"/>
      <c r="L1902" s="753"/>
      <c r="M1902" s="753"/>
    </row>
    <row r="1903" spans="1:13" s="755" customFormat="1">
      <c r="A1903" s="816"/>
      <c r="B1903" s="753"/>
      <c r="C1903" s="753"/>
      <c r="D1903" s="753"/>
      <c r="E1903" s="753"/>
      <c r="F1903" s="753"/>
      <c r="G1903" s="753"/>
      <c r="H1903" s="753"/>
      <c r="I1903" s="753"/>
      <c r="J1903" s="753"/>
      <c r="K1903" s="753"/>
      <c r="L1903" s="753"/>
      <c r="M1903" s="753"/>
    </row>
    <row r="1904" spans="1:13" s="755" customFormat="1">
      <c r="A1904" s="816"/>
      <c r="B1904" s="753"/>
      <c r="C1904" s="753"/>
      <c r="D1904" s="753"/>
      <c r="E1904" s="753"/>
      <c r="F1904" s="753"/>
      <c r="G1904" s="753"/>
      <c r="H1904" s="753"/>
      <c r="I1904" s="753"/>
      <c r="J1904" s="753"/>
      <c r="K1904" s="753"/>
      <c r="L1904" s="753"/>
      <c r="M1904" s="753"/>
    </row>
    <row r="1905" spans="1:13" s="755" customFormat="1">
      <c r="A1905" s="816"/>
      <c r="B1905" s="753"/>
      <c r="C1905" s="753"/>
      <c r="D1905" s="753"/>
      <c r="E1905" s="753"/>
      <c r="F1905" s="753"/>
      <c r="G1905" s="753"/>
      <c r="H1905" s="753"/>
      <c r="I1905" s="753"/>
      <c r="J1905" s="753"/>
      <c r="K1905" s="753"/>
      <c r="L1905" s="753"/>
      <c r="M1905" s="753"/>
    </row>
    <row r="1906" spans="1:13" s="755" customFormat="1">
      <c r="A1906" s="816"/>
      <c r="B1906" s="753"/>
      <c r="C1906" s="753"/>
      <c r="D1906" s="753"/>
      <c r="E1906" s="753"/>
      <c r="F1906" s="753"/>
      <c r="G1906" s="753"/>
      <c r="H1906" s="753"/>
      <c r="I1906" s="753"/>
      <c r="J1906" s="753"/>
      <c r="K1906" s="753"/>
      <c r="L1906" s="753"/>
      <c r="M1906" s="753"/>
    </row>
  </sheetData>
  <mergeCells count="5">
    <mergeCell ref="K29:L29"/>
    <mergeCell ref="A1:I1"/>
    <mergeCell ref="A2:I2"/>
    <mergeCell ref="A3:I3"/>
    <mergeCell ref="I29:J29"/>
  </mergeCells>
  <printOptions horizontalCentered="1"/>
  <pageMargins left="0.75" right="0.75" top="1" bottom="1" header="0.5" footer="0.5"/>
  <pageSetup scale="73" firstPageNumber="3" orientation="landscape" horizontalDpi="4294967292" verticalDpi="4294967292" r:id="rId1"/>
  <headerFooter alignWithMargins="0">
    <oddFooter>&amp;LScot Chambers
&amp;D&amp;CPage _____&amp;R&amp;F
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35"/>
  <sheetViews>
    <sheetView showGridLines="0" topLeftCell="A54" workbookViewId="0">
      <selection sqref="A1:W1"/>
    </sheetView>
  </sheetViews>
  <sheetFormatPr defaultRowHeight="12.75"/>
  <cols>
    <col min="1" max="16384" width="9.140625" style="750"/>
  </cols>
  <sheetData>
    <row r="1" spans="1:44" s="736" customFormat="1" ht="15.75">
      <c r="A1" s="735" t="str">
        <f>Scope!A1</f>
        <v>Plano, Illinois 6 x LM6000 Power Project, Rev 0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</row>
    <row r="2" spans="1:44" s="736" customFormat="1" ht="15.75">
      <c r="A2" s="735" t="s">
        <v>1565</v>
      </c>
      <c r="B2" s="735"/>
      <c r="C2" s="735"/>
      <c r="D2" s="735"/>
      <c r="E2" s="735"/>
      <c r="F2" s="735"/>
      <c r="G2" s="735"/>
      <c r="H2" s="735"/>
      <c r="I2" s="735"/>
      <c r="J2" s="735"/>
      <c r="K2" s="735"/>
    </row>
    <row r="3" spans="1:44" s="736" customFormat="1" ht="15.75">
      <c r="A3" s="735"/>
      <c r="B3" s="735"/>
      <c r="C3" s="735"/>
      <c r="D3" s="735"/>
      <c r="E3" s="735"/>
      <c r="F3" s="735"/>
      <c r="G3" s="735"/>
      <c r="H3" s="735"/>
      <c r="I3" s="737"/>
      <c r="J3" s="737"/>
      <c r="K3" s="737"/>
    </row>
    <row r="4" spans="1:44" s="743" customFormat="1">
      <c r="A4" s="738" t="s">
        <v>1566</v>
      </c>
      <c r="B4" s="739"/>
      <c r="C4" s="740"/>
      <c r="D4" s="741"/>
      <c r="E4" s="741"/>
      <c r="F4" s="741"/>
      <c r="G4" s="741"/>
      <c r="H4" s="741"/>
      <c r="I4" s="741"/>
      <c r="J4" s="741"/>
      <c r="K4" s="741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  <c r="X4" s="742"/>
      <c r="Y4" s="742"/>
      <c r="Z4" s="742"/>
      <c r="AA4" s="742"/>
      <c r="AB4" s="742"/>
      <c r="AC4" s="742"/>
      <c r="AD4" s="742"/>
      <c r="AE4" s="742"/>
      <c r="AF4" s="742"/>
      <c r="AG4" s="742"/>
      <c r="AH4" s="742"/>
      <c r="AI4" s="742"/>
      <c r="AJ4" s="742"/>
      <c r="AK4" s="742"/>
      <c r="AL4" s="742"/>
      <c r="AM4" s="742"/>
      <c r="AN4" s="742"/>
      <c r="AO4" s="742"/>
      <c r="AP4" s="742"/>
      <c r="AQ4" s="742"/>
      <c r="AR4" s="742"/>
    </row>
    <row r="5" spans="1:44" s="743" customFormat="1">
      <c r="A5" s="1169" t="s">
        <v>1567</v>
      </c>
      <c r="B5" s="1170"/>
      <c r="C5" s="1170"/>
      <c r="D5" s="1170"/>
      <c r="E5" s="1170"/>
      <c r="F5" s="1170"/>
      <c r="G5" s="1170"/>
      <c r="H5" s="1170"/>
      <c r="I5" s="1170"/>
      <c r="J5" s="1170"/>
      <c r="K5" s="741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  <c r="X5" s="742"/>
      <c r="Y5" s="742"/>
      <c r="Z5" s="742"/>
      <c r="AA5" s="742"/>
      <c r="AB5" s="742"/>
      <c r="AC5" s="742"/>
      <c r="AD5" s="742"/>
      <c r="AE5" s="742"/>
      <c r="AF5" s="742"/>
      <c r="AG5" s="742"/>
      <c r="AH5" s="742"/>
      <c r="AI5" s="742"/>
      <c r="AJ5" s="742"/>
      <c r="AK5" s="742"/>
      <c r="AL5" s="742"/>
      <c r="AM5" s="742"/>
      <c r="AN5" s="742"/>
      <c r="AO5" s="742"/>
      <c r="AP5" s="742"/>
      <c r="AQ5" s="742"/>
      <c r="AR5" s="742"/>
    </row>
    <row r="6" spans="1:44" s="743" customFormat="1">
      <c r="A6" s="1170"/>
      <c r="B6" s="1170"/>
      <c r="C6" s="1170"/>
      <c r="D6" s="1170"/>
      <c r="E6" s="1170"/>
      <c r="F6" s="1170"/>
      <c r="G6" s="1170"/>
      <c r="H6" s="1170"/>
      <c r="I6" s="1170"/>
      <c r="J6" s="1170"/>
      <c r="K6" s="741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  <c r="X6" s="742"/>
      <c r="Y6" s="742"/>
      <c r="Z6" s="742"/>
      <c r="AA6" s="742"/>
      <c r="AB6" s="742"/>
      <c r="AC6" s="742"/>
      <c r="AD6" s="742"/>
      <c r="AE6" s="742"/>
      <c r="AF6" s="742"/>
      <c r="AG6" s="742"/>
      <c r="AH6" s="742"/>
      <c r="AI6" s="742"/>
      <c r="AJ6" s="742"/>
      <c r="AK6" s="742"/>
      <c r="AL6" s="742"/>
      <c r="AM6" s="742"/>
      <c r="AN6" s="742"/>
      <c r="AO6" s="742"/>
      <c r="AP6" s="742"/>
      <c r="AQ6" s="742"/>
      <c r="AR6" s="742"/>
    </row>
    <row r="7" spans="1:44" s="743" customFormat="1">
      <c r="A7" s="744" t="s">
        <v>1568</v>
      </c>
      <c r="B7" s="745"/>
      <c r="C7" s="740"/>
      <c r="D7" s="741"/>
      <c r="E7" s="741"/>
      <c r="F7" s="741"/>
      <c r="G7" s="741"/>
      <c r="H7" s="741"/>
      <c r="I7" s="741"/>
      <c r="J7" s="741"/>
      <c r="K7" s="741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  <c r="X7" s="742"/>
      <c r="Y7" s="742"/>
      <c r="Z7" s="742"/>
      <c r="AA7" s="742"/>
      <c r="AB7" s="742"/>
      <c r="AC7" s="742"/>
      <c r="AD7" s="742"/>
      <c r="AE7" s="742"/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2"/>
      <c r="AR7" s="742"/>
    </row>
    <row r="8" spans="1:44" s="743" customFormat="1">
      <c r="A8" s="744" t="s">
        <v>1569</v>
      </c>
      <c r="B8" s="745"/>
      <c r="C8" s="740"/>
      <c r="D8" s="741"/>
      <c r="E8" s="741"/>
      <c r="F8" s="741"/>
      <c r="G8" s="741"/>
      <c r="H8" s="741"/>
      <c r="I8" s="741"/>
      <c r="J8" s="741"/>
      <c r="K8" s="741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  <c r="X8" s="742"/>
      <c r="Y8" s="742"/>
      <c r="Z8" s="742"/>
      <c r="AA8" s="742"/>
      <c r="AB8" s="742"/>
      <c r="AC8" s="742"/>
      <c r="AD8" s="742"/>
      <c r="AE8" s="742"/>
      <c r="AF8" s="742"/>
      <c r="AG8" s="742"/>
      <c r="AH8" s="742"/>
      <c r="AI8" s="742"/>
      <c r="AJ8" s="742"/>
      <c r="AK8" s="742"/>
      <c r="AL8" s="742"/>
      <c r="AM8" s="742"/>
      <c r="AN8" s="742"/>
      <c r="AO8" s="742"/>
      <c r="AP8" s="742"/>
      <c r="AQ8" s="742"/>
      <c r="AR8" s="742"/>
    </row>
    <row r="9" spans="1:44" s="743" customFormat="1">
      <c r="A9" s="744" t="s">
        <v>1570</v>
      </c>
      <c r="B9" s="745"/>
      <c r="C9" s="740"/>
      <c r="D9" s="741"/>
      <c r="E9" s="741"/>
      <c r="F9" s="741"/>
      <c r="G9" s="741"/>
      <c r="H9" s="741"/>
      <c r="I9" s="741"/>
      <c r="J9" s="741"/>
      <c r="K9" s="741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  <c r="X9" s="742"/>
      <c r="Y9" s="742"/>
      <c r="Z9" s="742"/>
      <c r="AA9" s="742"/>
      <c r="AB9" s="742"/>
      <c r="AC9" s="742"/>
      <c r="AD9" s="742"/>
      <c r="AE9" s="742"/>
      <c r="AF9" s="742"/>
      <c r="AG9" s="742"/>
      <c r="AH9" s="742"/>
      <c r="AI9" s="742"/>
      <c r="AJ9" s="742"/>
      <c r="AK9" s="742"/>
      <c r="AL9" s="742"/>
      <c r="AM9" s="742"/>
      <c r="AN9" s="742"/>
      <c r="AO9" s="742"/>
      <c r="AP9" s="742"/>
      <c r="AQ9" s="742"/>
      <c r="AR9" s="742"/>
    </row>
    <row r="10" spans="1:44" s="743" customFormat="1">
      <c r="A10" s="744" t="s">
        <v>1571</v>
      </c>
      <c r="B10" s="745"/>
      <c r="C10" s="740"/>
      <c r="D10" s="741"/>
      <c r="E10" s="741"/>
      <c r="F10" s="741"/>
      <c r="G10" s="741"/>
      <c r="H10" s="741"/>
      <c r="I10" s="741"/>
      <c r="J10" s="741"/>
      <c r="K10" s="741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  <c r="X10" s="742"/>
      <c r="Y10" s="742"/>
      <c r="Z10" s="742"/>
      <c r="AA10" s="742"/>
      <c r="AB10" s="742"/>
      <c r="AC10" s="742"/>
      <c r="AD10" s="742"/>
      <c r="AE10" s="742"/>
      <c r="AF10" s="742"/>
      <c r="AG10" s="742"/>
      <c r="AH10" s="742"/>
      <c r="AI10" s="742"/>
      <c r="AJ10" s="742"/>
      <c r="AK10" s="742"/>
      <c r="AL10" s="742"/>
      <c r="AM10" s="742"/>
      <c r="AN10" s="742"/>
      <c r="AO10" s="742"/>
      <c r="AP10" s="742"/>
      <c r="AQ10" s="742"/>
      <c r="AR10" s="742"/>
    </row>
    <row r="11" spans="1:44" s="743" customFormat="1">
      <c r="A11" s="744" t="s">
        <v>1572</v>
      </c>
      <c r="B11" s="745"/>
      <c r="C11" s="740"/>
      <c r="D11" s="741"/>
      <c r="E11" s="741"/>
      <c r="F11" s="741"/>
      <c r="G11" s="741"/>
      <c r="H11" s="741"/>
      <c r="I11" s="741"/>
      <c r="J11" s="741"/>
      <c r="K11" s="741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  <c r="X11" s="742"/>
      <c r="Y11" s="742"/>
      <c r="Z11" s="742"/>
      <c r="AA11" s="742"/>
      <c r="AB11" s="742"/>
      <c r="AC11" s="742"/>
      <c r="AD11" s="742"/>
      <c r="AE11" s="742"/>
      <c r="AF11" s="742"/>
      <c r="AG11" s="742"/>
      <c r="AH11" s="742"/>
      <c r="AI11" s="742"/>
      <c r="AJ11" s="742"/>
      <c r="AK11" s="742"/>
      <c r="AL11" s="742"/>
      <c r="AM11" s="742"/>
      <c r="AN11" s="742"/>
      <c r="AO11" s="742"/>
      <c r="AP11" s="742"/>
      <c r="AQ11" s="742"/>
      <c r="AR11" s="742"/>
    </row>
    <row r="12" spans="1:44" s="743" customFormat="1">
      <c r="A12" s="744" t="s">
        <v>1573</v>
      </c>
      <c r="B12" s="745"/>
      <c r="C12" s="740"/>
      <c r="D12" s="741"/>
      <c r="E12" s="741"/>
      <c r="F12" s="741"/>
      <c r="G12" s="741"/>
      <c r="H12" s="741"/>
      <c r="I12" s="741"/>
      <c r="J12" s="741"/>
      <c r="K12" s="741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  <c r="X12" s="742"/>
      <c r="Y12" s="742"/>
      <c r="Z12" s="742"/>
      <c r="AA12" s="742"/>
      <c r="AB12" s="742"/>
      <c r="AC12" s="742"/>
      <c r="AD12" s="742"/>
      <c r="AE12" s="742"/>
      <c r="AF12" s="742"/>
      <c r="AG12" s="742"/>
      <c r="AH12" s="742"/>
      <c r="AI12" s="742"/>
      <c r="AJ12" s="742"/>
      <c r="AK12" s="742"/>
      <c r="AL12" s="742"/>
      <c r="AM12" s="742"/>
      <c r="AN12" s="742"/>
      <c r="AO12" s="742"/>
      <c r="AP12" s="742"/>
      <c r="AQ12" s="742"/>
      <c r="AR12" s="742"/>
    </row>
    <row r="13" spans="1:44" s="743" customFormat="1">
      <c r="A13" s="744" t="s">
        <v>1574</v>
      </c>
      <c r="B13" s="733"/>
      <c r="C13" s="740"/>
      <c r="D13" s="741"/>
      <c r="E13" s="741"/>
      <c r="F13" s="741"/>
      <c r="G13" s="741"/>
      <c r="H13" s="741"/>
      <c r="I13" s="741"/>
      <c r="J13" s="741"/>
      <c r="K13" s="741"/>
      <c r="L13" s="746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  <c r="X13" s="742"/>
      <c r="Y13" s="742"/>
      <c r="Z13" s="742"/>
      <c r="AA13" s="742"/>
      <c r="AB13" s="742"/>
      <c r="AC13" s="742"/>
      <c r="AD13" s="742"/>
      <c r="AE13" s="742"/>
      <c r="AF13" s="742"/>
      <c r="AG13" s="742"/>
      <c r="AH13" s="742"/>
      <c r="AI13" s="742"/>
      <c r="AJ13" s="742"/>
      <c r="AK13" s="742"/>
      <c r="AL13" s="742"/>
      <c r="AM13" s="742"/>
      <c r="AN13" s="742"/>
      <c r="AO13" s="742"/>
      <c r="AP13" s="742"/>
      <c r="AQ13" s="742"/>
      <c r="AR13" s="742"/>
    </row>
    <row r="14" spans="1:44" s="743" customFormat="1">
      <c r="A14" s="744" t="s">
        <v>1575</v>
      </c>
      <c r="B14" s="733"/>
      <c r="C14" s="740"/>
      <c r="D14" s="741"/>
      <c r="E14" s="741"/>
      <c r="F14" s="741"/>
      <c r="G14" s="741"/>
      <c r="H14" s="741"/>
      <c r="I14" s="741"/>
      <c r="J14" s="741"/>
      <c r="K14" s="741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  <c r="X14" s="742"/>
      <c r="Y14" s="742"/>
      <c r="Z14" s="742"/>
      <c r="AA14" s="742"/>
      <c r="AB14" s="742"/>
      <c r="AC14" s="742"/>
      <c r="AD14" s="742"/>
      <c r="AE14" s="742"/>
      <c r="AF14" s="742"/>
      <c r="AG14" s="742"/>
      <c r="AH14" s="742"/>
      <c r="AI14" s="742"/>
      <c r="AJ14" s="742"/>
      <c r="AK14" s="742"/>
      <c r="AL14" s="742"/>
      <c r="AM14" s="742"/>
      <c r="AN14" s="742"/>
      <c r="AO14" s="742"/>
      <c r="AP14" s="742"/>
      <c r="AQ14" s="742"/>
      <c r="AR14" s="742"/>
    </row>
    <row r="15" spans="1:44" s="743" customFormat="1">
      <c r="A15" s="744" t="s">
        <v>1576</v>
      </c>
      <c r="B15" s="733"/>
      <c r="C15" s="740"/>
      <c r="D15" s="741"/>
      <c r="E15" s="741"/>
      <c r="F15" s="741"/>
      <c r="G15" s="741"/>
      <c r="H15" s="741"/>
      <c r="I15" s="741"/>
      <c r="J15" s="741"/>
      <c r="K15" s="741"/>
      <c r="L15" s="747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  <c r="X15" s="742"/>
      <c r="Y15" s="742"/>
      <c r="Z15" s="742"/>
      <c r="AA15" s="742"/>
      <c r="AB15" s="742"/>
      <c r="AC15" s="742"/>
      <c r="AD15" s="742"/>
      <c r="AE15" s="742"/>
      <c r="AF15" s="742"/>
      <c r="AG15" s="742"/>
      <c r="AH15" s="742"/>
      <c r="AI15" s="742"/>
      <c r="AJ15" s="742"/>
      <c r="AK15" s="742"/>
      <c r="AL15" s="742"/>
      <c r="AM15" s="742"/>
      <c r="AN15" s="742"/>
      <c r="AO15" s="742"/>
      <c r="AP15" s="742"/>
      <c r="AQ15" s="742"/>
      <c r="AR15" s="742"/>
    </row>
    <row r="16" spans="1:44" s="743" customFormat="1">
      <c r="A16" s="1169" t="s">
        <v>1577</v>
      </c>
      <c r="B16" s="1170"/>
      <c r="C16" s="1170"/>
      <c r="D16" s="1170"/>
      <c r="E16" s="1170"/>
      <c r="F16" s="1170"/>
      <c r="G16" s="1170"/>
      <c r="H16" s="1170"/>
      <c r="I16" s="1170"/>
      <c r="J16" s="1170"/>
      <c r="K16" s="741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  <c r="X16" s="742"/>
      <c r="Y16" s="742"/>
      <c r="Z16" s="742"/>
      <c r="AA16" s="742"/>
      <c r="AB16" s="742"/>
      <c r="AC16" s="742"/>
      <c r="AD16" s="742"/>
      <c r="AE16" s="742"/>
      <c r="AF16" s="742"/>
      <c r="AG16" s="742"/>
      <c r="AH16" s="742"/>
      <c r="AI16" s="742"/>
      <c r="AJ16" s="742"/>
      <c r="AK16" s="742"/>
      <c r="AL16" s="742"/>
      <c r="AM16" s="742"/>
      <c r="AN16" s="742"/>
      <c r="AO16" s="742"/>
      <c r="AP16" s="742"/>
      <c r="AQ16" s="742"/>
      <c r="AR16" s="742"/>
    </row>
    <row r="17" spans="1:44" s="743" customFormat="1">
      <c r="A17" s="1170"/>
      <c r="B17" s="1170"/>
      <c r="C17" s="1170"/>
      <c r="D17" s="1170"/>
      <c r="E17" s="1170"/>
      <c r="F17" s="1170"/>
      <c r="G17" s="1170"/>
      <c r="H17" s="1170"/>
      <c r="I17" s="1170"/>
      <c r="J17" s="1170"/>
      <c r="K17" s="741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  <c r="X17" s="742"/>
      <c r="Y17" s="742"/>
      <c r="Z17" s="742"/>
      <c r="AA17" s="742"/>
      <c r="AB17" s="742"/>
      <c r="AC17" s="742"/>
      <c r="AD17" s="742"/>
      <c r="AE17" s="742"/>
      <c r="AF17" s="742"/>
      <c r="AG17" s="742"/>
      <c r="AH17" s="742"/>
      <c r="AI17" s="742"/>
      <c r="AJ17" s="742"/>
      <c r="AK17" s="742"/>
      <c r="AL17" s="742"/>
      <c r="AM17" s="742"/>
      <c r="AN17" s="742"/>
      <c r="AO17" s="742"/>
      <c r="AP17" s="742"/>
      <c r="AQ17" s="742"/>
      <c r="AR17" s="742"/>
    </row>
    <row r="18" spans="1:44" s="743" customFormat="1">
      <c r="A18" s="1169" t="s">
        <v>1578</v>
      </c>
      <c r="B18" s="1170"/>
      <c r="C18" s="1170"/>
      <c r="D18" s="1170"/>
      <c r="E18" s="1170"/>
      <c r="F18" s="1170"/>
      <c r="G18" s="1170"/>
      <c r="H18" s="1170"/>
      <c r="I18" s="1170"/>
      <c r="J18" s="1170"/>
      <c r="K18" s="741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  <c r="X18" s="742"/>
      <c r="Y18" s="742"/>
      <c r="Z18" s="742"/>
      <c r="AA18" s="742"/>
      <c r="AB18" s="742"/>
      <c r="AC18" s="742"/>
      <c r="AD18" s="742"/>
      <c r="AE18" s="742"/>
      <c r="AF18" s="742"/>
      <c r="AG18" s="742"/>
      <c r="AH18" s="742"/>
      <c r="AI18" s="742"/>
      <c r="AJ18" s="742"/>
      <c r="AK18" s="742"/>
      <c r="AL18" s="742"/>
      <c r="AM18" s="742"/>
      <c r="AN18" s="742"/>
      <c r="AO18" s="742"/>
      <c r="AP18" s="742"/>
      <c r="AQ18" s="742"/>
      <c r="AR18" s="742"/>
    </row>
    <row r="19" spans="1:44" s="743" customFormat="1">
      <c r="A19" s="1170"/>
      <c r="B19" s="1170"/>
      <c r="C19" s="1170"/>
      <c r="D19" s="1170"/>
      <c r="E19" s="1170"/>
      <c r="F19" s="1170"/>
      <c r="G19" s="1170"/>
      <c r="H19" s="1170"/>
      <c r="I19" s="1170"/>
      <c r="J19" s="1170"/>
      <c r="K19" s="741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  <c r="X19" s="742"/>
      <c r="Y19" s="742"/>
      <c r="Z19" s="742"/>
      <c r="AA19" s="742"/>
      <c r="AB19" s="742"/>
      <c r="AC19" s="742"/>
      <c r="AD19" s="742"/>
      <c r="AE19" s="742"/>
      <c r="AF19" s="742"/>
      <c r="AG19" s="742"/>
      <c r="AH19" s="742"/>
      <c r="AI19" s="742"/>
      <c r="AJ19" s="742"/>
      <c r="AK19" s="742"/>
      <c r="AL19" s="742"/>
      <c r="AM19" s="742"/>
      <c r="AN19" s="742"/>
      <c r="AO19" s="742"/>
      <c r="AP19" s="742"/>
      <c r="AQ19" s="742"/>
      <c r="AR19" s="742"/>
    </row>
    <row r="20" spans="1:44" s="743" customFormat="1">
      <c r="A20" s="733" t="s">
        <v>1579</v>
      </c>
      <c r="B20" s="745"/>
      <c r="C20" s="741"/>
      <c r="D20" s="741"/>
      <c r="E20" s="741"/>
      <c r="F20" s="741"/>
      <c r="G20" s="741"/>
      <c r="H20" s="741"/>
      <c r="I20" s="741"/>
      <c r="J20" s="741"/>
      <c r="K20" s="741"/>
      <c r="L20" s="742"/>
      <c r="M20" s="748"/>
      <c r="N20" s="742"/>
      <c r="O20" s="742"/>
      <c r="P20" s="742"/>
      <c r="Q20" s="742"/>
      <c r="R20" s="742"/>
      <c r="S20" s="742"/>
      <c r="T20" s="742"/>
      <c r="U20" s="742"/>
      <c r="V20" s="742"/>
      <c r="W20" s="742"/>
      <c r="X20" s="742"/>
      <c r="Y20" s="742"/>
      <c r="Z20" s="742"/>
      <c r="AA20" s="742"/>
      <c r="AB20" s="742"/>
      <c r="AC20" s="742"/>
      <c r="AD20" s="742"/>
      <c r="AE20" s="742"/>
      <c r="AF20" s="742"/>
      <c r="AG20" s="742"/>
      <c r="AH20" s="742"/>
      <c r="AI20" s="742"/>
      <c r="AJ20" s="742"/>
      <c r="AK20" s="742"/>
      <c r="AL20" s="742"/>
      <c r="AM20" s="742"/>
      <c r="AN20" s="742"/>
      <c r="AO20" s="742"/>
      <c r="AP20" s="742"/>
      <c r="AQ20" s="742"/>
      <c r="AR20" s="742"/>
    </row>
    <row r="21" spans="1:44" s="743" customFormat="1">
      <c r="A21" s="749" t="s">
        <v>1580</v>
      </c>
      <c r="B21" s="745"/>
      <c r="C21" s="741"/>
      <c r="D21" s="741"/>
      <c r="E21" s="741"/>
      <c r="F21" s="741"/>
      <c r="G21" s="741"/>
      <c r="H21" s="741"/>
      <c r="I21" s="741"/>
      <c r="J21" s="741"/>
      <c r="K21" s="741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  <c r="X21" s="742"/>
      <c r="Y21" s="742"/>
      <c r="Z21" s="742"/>
      <c r="AA21" s="742"/>
      <c r="AB21" s="742"/>
      <c r="AC21" s="742"/>
      <c r="AD21" s="742"/>
      <c r="AE21" s="742"/>
      <c r="AF21" s="742"/>
      <c r="AG21" s="742"/>
      <c r="AH21" s="742"/>
      <c r="AI21" s="742"/>
      <c r="AJ21" s="742"/>
      <c r="AK21" s="742"/>
      <c r="AL21" s="742"/>
      <c r="AM21" s="742"/>
      <c r="AN21" s="742"/>
      <c r="AO21" s="742"/>
      <c r="AP21" s="742"/>
      <c r="AQ21" s="742"/>
      <c r="AR21" s="742"/>
    </row>
    <row r="22" spans="1:44" s="743" customFormat="1">
      <c r="A22" s="733" t="s">
        <v>1581</v>
      </c>
      <c r="B22" s="733"/>
      <c r="C22" s="740"/>
      <c r="D22" s="741"/>
      <c r="E22" s="741"/>
      <c r="F22" s="741"/>
      <c r="G22" s="741"/>
      <c r="H22" s="741"/>
      <c r="I22" s="741"/>
      <c r="J22" s="741"/>
      <c r="K22" s="741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  <c r="X22" s="742"/>
      <c r="Y22" s="742"/>
      <c r="Z22" s="742"/>
      <c r="AA22" s="742"/>
      <c r="AB22" s="742"/>
      <c r="AC22" s="742"/>
      <c r="AD22" s="742"/>
      <c r="AE22" s="742"/>
      <c r="AF22" s="742"/>
      <c r="AG22" s="742"/>
      <c r="AH22" s="742"/>
      <c r="AI22" s="742"/>
      <c r="AJ22" s="742"/>
      <c r="AK22" s="742"/>
      <c r="AL22" s="742"/>
      <c r="AM22" s="742"/>
      <c r="AN22" s="742"/>
      <c r="AO22" s="742"/>
      <c r="AP22" s="742"/>
      <c r="AQ22" s="742"/>
      <c r="AR22" s="742"/>
    </row>
    <row r="23" spans="1:44" s="743" customFormat="1">
      <c r="A23" s="1169" t="s">
        <v>1582</v>
      </c>
      <c r="B23" s="1170"/>
      <c r="C23" s="1170"/>
      <c r="D23" s="1170"/>
      <c r="E23" s="1170"/>
      <c r="F23" s="1170"/>
      <c r="G23" s="1170"/>
      <c r="H23" s="1170"/>
      <c r="I23" s="1170"/>
      <c r="J23" s="1170"/>
      <c r="K23" s="741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  <c r="X23" s="742"/>
      <c r="Y23" s="742"/>
      <c r="Z23" s="742"/>
      <c r="AA23" s="742"/>
      <c r="AB23" s="742"/>
      <c r="AC23" s="742"/>
      <c r="AD23" s="742"/>
      <c r="AE23" s="742"/>
      <c r="AF23" s="742"/>
      <c r="AG23" s="742"/>
      <c r="AH23" s="742"/>
      <c r="AI23" s="742"/>
      <c r="AJ23" s="742"/>
      <c r="AK23" s="742"/>
      <c r="AL23" s="742"/>
      <c r="AM23" s="742"/>
      <c r="AN23" s="742"/>
      <c r="AO23" s="742"/>
      <c r="AP23" s="742"/>
      <c r="AQ23" s="742"/>
      <c r="AR23" s="742"/>
    </row>
    <row r="24" spans="1:44" s="743" customFormat="1">
      <c r="A24" s="1170"/>
      <c r="B24" s="1170"/>
      <c r="C24" s="1170"/>
      <c r="D24" s="1170"/>
      <c r="E24" s="1170"/>
      <c r="F24" s="1170"/>
      <c r="G24" s="1170"/>
      <c r="H24" s="1170"/>
      <c r="I24" s="1170"/>
      <c r="J24" s="1170"/>
      <c r="K24" s="741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  <c r="X24" s="742"/>
      <c r="Y24" s="742"/>
      <c r="Z24" s="742"/>
      <c r="AA24" s="742"/>
      <c r="AB24" s="742"/>
      <c r="AC24" s="742"/>
      <c r="AD24" s="742"/>
      <c r="AE24" s="742"/>
      <c r="AF24" s="742"/>
      <c r="AG24" s="742"/>
      <c r="AH24" s="742"/>
      <c r="AI24" s="742"/>
      <c r="AJ24" s="742"/>
      <c r="AK24" s="742"/>
      <c r="AL24" s="742"/>
      <c r="AM24" s="742"/>
      <c r="AN24" s="742"/>
      <c r="AO24" s="742"/>
      <c r="AP24" s="742"/>
      <c r="AQ24" s="742"/>
      <c r="AR24" s="742"/>
    </row>
    <row r="25" spans="1:44" s="743" customFormat="1">
      <c r="A25" s="1169" t="s">
        <v>1583</v>
      </c>
      <c r="B25" s="1170"/>
      <c r="C25" s="1170"/>
      <c r="D25" s="1170"/>
      <c r="E25" s="1170"/>
      <c r="F25" s="1170"/>
      <c r="G25" s="1170"/>
      <c r="H25" s="1170"/>
      <c r="I25" s="1170"/>
      <c r="J25" s="1170"/>
      <c r="K25" s="741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  <c r="X25" s="742"/>
      <c r="Y25" s="742"/>
      <c r="Z25" s="742"/>
      <c r="AA25" s="742"/>
      <c r="AB25" s="742"/>
      <c r="AC25" s="742"/>
      <c r="AD25" s="742"/>
      <c r="AE25" s="742"/>
      <c r="AF25" s="742"/>
      <c r="AG25" s="742"/>
      <c r="AH25" s="742"/>
      <c r="AI25" s="742"/>
      <c r="AJ25" s="742"/>
      <c r="AK25" s="742"/>
      <c r="AL25" s="742"/>
      <c r="AM25" s="742"/>
      <c r="AN25" s="742"/>
      <c r="AO25" s="742"/>
      <c r="AP25" s="742"/>
      <c r="AQ25" s="742"/>
      <c r="AR25" s="742"/>
    </row>
    <row r="26" spans="1:44" s="743" customFormat="1">
      <c r="A26" s="1170"/>
      <c r="B26" s="1170"/>
      <c r="C26" s="1170"/>
      <c r="D26" s="1170"/>
      <c r="E26" s="1170"/>
      <c r="F26" s="1170"/>
      <c r="G26" s="1170"/>
      <c r="H26" s="1170"/>
      <c r="I26" s="1170"/>
      <c r="J26" s="1170"/>
      <c r="K26" s="741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  <c r="X26" s="742"/>
      <c r="Y26" s="742"/>
      <c r="Z26" s="742"/>
      <c r="AA26" s="742"/>
      <c r="AB26" s="742"/>
      <c r="AC26" s="742"/>
      <c r="AD26" s="742"/>
      <c r="AE26" s="742"/>
      <c r="AF26" s="742"/>
      <c r="AG26" s="742"/>
      <c r="AH26" s="742"/>
      <c r="AI26" s="742"/>
      <c r="AJ26" s="742"/>
      <c r="AK26" s="742"/>
      <c r="AL26" s="742"/>
      <c r="AM26" s="742"/>
      <c r="AN26" s="742"/>
      <c r="AO26" s="742"/>
      <c r="AP26" s="742"/>
      <c r="AQ26" s="742"/>
      <c r="AR26" s="742"/>
    </row>
    <row r="27" spans="1:44" s="743" customFormat="1">
      <c r="A27" s="744" t="s">
        <v>1584</v>
      </c>
      <c r="B27" s="741"/>
      <c r="C27" s="740"/>
      <c r="D27" s="741"/>
      <c r="E27" s="741"/>
      <c r="F27" s="741"/>
      <c r="G27" s="741"/>
      <c r="H27" s="741"/>
      <c r="I27" s="741"/>
      <c r="J27" s="741"/>
      <c r="K27" s="741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  <c r="X27" s="742"/>
      <c r="Y27" s="742"/>
      <c r="Z27" s="742"/>
      <c r="AA27" s="742"/>
      <c r="AB27" s="742"/>
      <c r="AC27" s="742"/>
      <c r="AD27" s="742"/>
      <c r="AE27" s="742"/>
      <c r="AF27" s="742"/>
      <c r="AG27" s="742"/>
      <c r="AH27" s="742"/>
      <c r="AI27" s="742"/>
      <c r="AJ27" s="742"/>
      <c r="AK27" s="742"/>
      <c r="AL27" s="742"/>
      <c r="AM27" s="742"/>
      <c r="AN27" s="742"/>
      <c r="AO27" s="742"/>
      <c r="AP27" s="742"/>
      <c r="AQ27" s="742"/>
      <c r="AR27" s="742"/>
    </row>
    <row r="28" spans="1:44" s="743" customFormat="1">
      <c r="A28" s="741" t="s">
        <v>1585</v>
      </c>
      <c r="B28" s="740"/>
      <c r="C28" s="740"/>
      <c r="D28" s="741"/>
      <c r="E28" s="741"/>
      <c r="F28" s="741"/>
      <c r="G28" s="741"/>
      <c r="H28" s="741"/>
      <c r="I28" s="741"/>
      <c r="J28" s="741"/>
      <c r="K28" s="741"/>
      <c r="L28" s="742"/>
      <c r="M28" s="746"/>
      <c r="N28" s="742"/>
      <c r="O28" s="742"/>
      <c r="P28" s="742"/>
      <c r="Q28" s="742"/>
      <c r="R28" s="742"/>
      <c r="S28" s="742"/>
      <c r="T28" s="742"/>
      <c r="U28" s="742"/>
      <c r="V28" s="742"/>
      <c r="W28" s="742"/>
      <c r="X28" s="742"/>
      <c r="Y28" s="742"/>
      <c r="Z28" s="742"/>
      <c r="AA28" s="742"/>
      <c r="AB28" s="742"/>
      <c r="AC28" s="742"/>
      <c r="AD28" s="742"/>
      <c r="AE28" s="742"/>
      <c r="AF28" s="742"/>
      <c r="AG28" s="742"/>
      <c r="AH28" s="742"/>
      <c r="AI28" s="742"/>
      <c r="AJ28" s="742"/>
      <c r="AK28" s="742"/>
      <c r="AL28" s="742"/>
      <c r="AM28" s="742"/>
      <c r="AN28" s="742"/>
      <c r="AO28" s="742"/>
      <c r="AP28" s="742"/>
      <c r="AQ28" s="742"/>
      <c r="AR28" s="742"/>
    </row>
    <row r="29" spans="1:44">
      <c r="A29" s="750" t="s">
        <v>1586</v>
      </c>
      <c r="B29" s="740"/>
      <c r="C29" s="741"/>
      <c r="D29" s="741"/>
      <c r="E29" s="741"/>
      <c r="F29" s="741"/>
      <c r="G29" s="741"/>
      <c r="H29" s="741"/>
      <c r="I29" s="741"/>
      <c r="J29" s="741"/>
      <c r="K29" s="741"/>
      <c r="L29" s="741"/>
      <c r="M29" s="741"/>
      <c r="N29" s="741"/>
      <c r="O29" s="741"/>
      <c r="P29" s="741"/>
      <c r="Q29" s="741"/>
      <c r="R29" s="741"/>
      <c r="S29" s="741"/>
      <c r="T29" s="741"/>
      <c r="U29" s="741"/>
      <c r="V29" s="741"/>
      <c r="W29" s="741"/>
      <c r="X29" s="741"/>
      <c r="Y29" s="741"/>
      <c r="Z29" s="741"/>
      <c r="AA29" s="741"/>
      <c r="AB29" s="741"/>
      <c r="AC29" s="741"/>
      <c r="AD29" s="741"/>
      <c r="AE29" s="741"/>
      <c r="AF29" s="741"/>
      <c r="AG29" s="741"/>
      <c r="AH29" s="741"/>
      <c r="AI29" s="741"/>
      <c r="AJ29" s="741"/>
      <c r="AK29" s="741"/>
      <c r="AL29" s="741"/>
      <c r="AM29" s="741"/>
      <c r="AN29" s="741"/>
      <c r="AO29" s="741"/>
      <c r="AP29" s="741"/>
      <c r="AQ29" s="741"/>
      <c r="AR29" s="741"/>
    </row>
    <row r="30" spans="1:44">
      <c r="A30" s="1169" t="s">
        <v>1587</v>
      </c>
      <c r="B30" s="1170"/>
      <c r="C30" s="1170"/>
      <c r="D30" s="1170"/>
      <c r="E30" s="1170"/>
      <c r="F30" s="1170"/>
      <c r="G30" s="1170"/>
      <c r="H30" s="1170"/>
      <c r="I30" s="1170"/>
      <c r="J30" s="1170"/>
      <c r="K30" s="741"/>
      <c r="L30" s="741"/>
      <c r="M30" s="741"/>
      <c r="N30" s="741"/>
      <c r="O30" s="741"/>
      <c r="P30" s="741"/>
      <c r="Q30" s="741"/>
      <c r="R30" s="741"/>
      <c r="S30" s="741"/>
      <c r="T30" s="741"/>
      <c r="U30" s="741"/>
      <c r="V30" s="741"/>
      <c r="W30" s="741"/>
      <c r="X30" s="741"/>
      <c r="Y30" s="741"/>
      <c r="Z30" s="741"/>
      <c r="AA30" s="741"/>
      <c r="AB30" s="741"/>
      <c r="AC30" s="741"/>
      <c r="AD30" s="741"/>
      <c r="AE30" s="741"/>
      <c r="AF30" s="741"/>
      <c r="AG30" s="741"/>
      <c r="AH30" s="741"/>
      <c r="AI30" s="741"/>
      <c r="AJ30" s="741"/>
      <c r="AK30" s="741"/>
      <c r="AL30" s="741"/>
      <c r="AM30" s="741"/>
      <c r="AN30" s="741"/>
      <c r="AO30" s="741"/>
      <c r="AP30" s="741"/>
      <c r="AQ30" s="741"/>
      <c r="AR30" s="741"/>
    </row>
    <row r="31" spans="1:44">
      <c r="A31" s="1170"/>
      <c r="B31" s="1170"/>
      <c r="C31" s="1170"/>
      <c r="D31" s="1170"/>
      <c r="E31" s="1170"/>
      <c r="F31" s="1170"/>
      <c r="G31" s="1170"/>
      <c r="H31" s="1170"/>
      <c r="I31" s="1170"/>
      <c r="J31" s="1170"/>
      <c r="K31" s="741"/>
      <c r="L31" s="741"/>
      <c r="M31" s="741"/>
      <c r="N31" s="741"/>
      <c r="O31" s="741"/>
      <c r="P31" s="741"/>
      <c r="Q31" s="741"/>
      <c r="R31" s="741"/>
      <c r="S31" s="741"/>
      <c r="T31" s="741"/>
      <c r="U31" s="741"/>
      <c r="V31" s="741"/>
      <c r="W31" s="741"/>
      <c r="X31" s="741"/>
      <c r="Y31" s="741"/>
      <c r="Z31" s="741"/>
      <c r="AA31" s="741"/>
      <c r="AB31" s="741"/>
      <c r="AC31" s="741"/>
      <c r="AD31" s="741"/>
      <c r="AE31" s="741"/>
      <c r="AF31" s="741"/>
      <c r="AG31" s="741"/>
      <c r="AH31" s="741"/>
      <c r="AI31" s="741"/>
      <c r="AJ31" s="741"/>
      <c r="AK31" s="741"/>
      <c r="AL31" s="741"/>
      <c r="AM31" s="741"/>
      <c r="AN31" s="741"/>
      <c r="AO31" s="741"/>
      <c r="AP31" s="741"/>
      <c r="AQ31" s="741"/>
      <c r="AR31" s="741"/>
    </row>
    <row r="32" spans="1:44">
      <c r="A32" s="744" t="s">
        <v>1588</v>
      </c>
      <c r="B32" s="740"/>
      <c r="C32" s="741"/>
      <c r="D32" s="741"/>
      <c r="E32" s="741"/>
      <c r="F32" s="741"/>
      <c r="G32" s="741"/>
      <c r="H32" s="741"/>
      <c r="I32" s="741"/>
      <c r="J32" s="741"/>
      <c r="K32" s="741"/>
      <c r="L32" s="741"/>
      <c r="M32" s="741"/>
      <c r="N32" s="741"/>
      <c r="O32" s="741"/>
      <c r="P32" s="741"/>
      <c r="Q32" s="741"/>
      <c r="R32" s="741"/>
      <c r="S32" s="741"/>
      <c r="T32" s="741"/>
      <c r="U32" s="741"/>
      <c r="V32" s="741"/>
      <c r="W32" s="741"/>
      <c r="X32" s="741"/>
      <c r="Y32" s="741"/>
      <c r="Z32" s="741"/>
      <c r="AA32" s="741"/>
      <c r="AB32" s="741"/>
      <c r="AC32" s="741"/>
      <c r="AD32" s="741"/>
      <c r="AE32" s="741"/>
      <c r="AF32" s="741"/>
      <c r="AG32" s="741"/>
      <c r="AH32" s="741"/>
      <c r="AI32" s="741"/>
      <c r="AJ32" s="741"/>
      <c r="AK32" s="741"/>
      <c r="AL32" s="741"/>
      <c r="AM32" s="741"/>
      <c r="AN32" s="741"/>
      <c r="AO32" s="741"/>
      <c r="AP32" s="741"/>
      <c r="AQ32" s="741"/>
      <c r="AR32" s="741"/>
    </row>
    <row r="33" spans="1:44">
      <c r="A33" s="744" t="s">
        <v>1589</v>
      </c>
      <c r="B33" s="740"/>
      <c r="C33" s="741"/>
      <c r="D33" s="741"/>
      <c r="E33" s="741"/>
      <c r="F33" s="741"/>
      <c r="G33" s="741"/>
      <c r="H33" s="741"/>
      <c r="I33" s="741"/>
      <c r="J33" s="741"/>
      <c r="K33" s="741"/>
      <c r="L33" s="741"/>
      <c r="M33" s="741"/>
      <c r="N33" s="741"/>
      <c r="O33" s="741"/>
      <c r="P33" s="741"/>
      <c r="Q33" s="741"/>
      <c r="R33" s="741"/>
      <c r="S33" s="741"/>
      <c r="T33" s="741"/>
      <c r="U33" s="741"/>
      <c r="V33" s="741"/>
      <c r="W33" s="741"/>
      <c r="X33" s="741"/>
      <c r="Y33" s="741"/>
      <c r="Z33" s="741"/>
      <c r="AA33" s="741"/>
      <c r="AB33" s="741"/>
      <c r="AC33" s="741"/>
      <c r="AD33" s="741"/>
      <c r="AE33" s="741"/>
      <c r="AF33" s="741"/>
      <c r="AG33" s="741"/>
      <c r="AH33" s="741"/>
      <c r="AI33" s="741"/>
      <c r="AJ33" s="741"/>
      <c r="AK33" s="741"/>
      <c r="AL33" s="741"/>
      <c r="AM33" s="741"/>
      <c r="AN33" s="741"/>
      <c r="AO33" s="741"/>
      <c r="AP33" s="741"/>
      <c r="AQ33" s="741"/>
      <c r="AR33" s="741"/>
    </row>
    <row r="34" spans="1:44">
      <c r="A34" s="744" t="s">
        <v>1590</v>
      </c>
      <c r="B34" s="740" t="s">
        <v>1591</v>
      </c>
      <c r="C34" s="741"/>
      <c r="D34" s="741"/>
      <c r="E34" s="741"/>
      <c r="F34" s="741"/>
      <c r="G34" s="741"/>
      <c r="H34" s="741"/>
      <c r="I34" s="741"/>
      <c r="J34" s="741"/>
      <c r="K34" s="741"/>
      <c r="L34" s="741"/>
      <c r="M34" s="741"/>
      <c r="N34" s="741"/>
      <c r="O34" s="741"/>
      <c r="P34" s="741"/>
      <c r="Q34" s="741"/>
      <c r="R34" s="741"/>
      <c r="S34" s="741"/>
      <c r="T34" s="741"/>
      <c r="U34" s="741"/>
      <c r="V34" s="741"/>
      <c r="W34" s="741"/>
      <c r="X34" s="741"/>
      <c r="Y34" s="741"/>
      <c r="Z34" s="741"/>
      <c r="AA34" s="741"/>
      <c r="AB34" s="741"/>
      <c r="AC34" s="741"/>
      <c r="AD34" s="741"/>
      <c r="AE34" s="741"/>
      <c r="AF34" s="741"/>
      <c r="AG34" s="741"/>
      <c r="AH34" s="741"/>
      <c r="AI34" s="741"/>
      <c r="AJ34" s="741"/>
      <c r="AK34" s="741"/>
      <c r="AL34" s="741"/>
      <c r="AM34" s="741"/>
      <c r="AN34" s="741"/>
      <c r="AO34" s="741"/>
      <c r="AP34" s="741"/>
      <c r="AQ34" s="741"/>
      <c r="AR34" s="741"/>
    </row>
    <row r="35" spans="1:44">
      <c r="A35" s="744"/>
      <c r="B35" s="740" t="s">
        <v>1592</v>
      </c>
      <c r="C35" s="741"/>
      <c r="D35" s="741"/>
      <c r="E35" s="741"/>
      <c r="F35" s="741"/>
      <c r="G35" s="741"/>
      <c r="H35" s="741"/>
      <c r="I35" s="741"/>
      <c r="J35" s="741"/>
      <c r="K35" s="741"/>
      <c r="L35" s="741"/>
      <c r="M35" s="741"/>
      <c r="N35" s="741"/>
      <c r="O35" s="741"/>
      <c r="P35" s="741"/>
      <c r="Q35" s="741"/>
      <c r="R35" s="741"/>
      <c r="S35" s="741"/>
      <c r="T35" s="741"/>
      <c r="U35" s="741"/>
      <c r="V35" s="741"/>
      <c r="W35" s="741"/>
      <c r="X35" s="741"/>
      <c r="Y35" s="741"/>
      <c r="Z35" s="741"/>
      <c r="AA35" s="741"/>
      <c r="AB35" s="741"/>
      <c r="AC35" s="741"/>
      <c r="AD35" s="741"/>
      <c r="AE35" s="741"/>
      <c r="AF35" s="741"/>
      <c r="AG35" s="741"/>
      <c r="AH35" s="741"/>
      <c r="AI35" s="741"/>
      <c r="AJ35" s="741"/>
      <c r="AK35" s="741"/>
      <c r="AL35" s="741"/>
      <c r="AM35" s="741"/>
      <c r="AN35" s="741"/>
      <c r="AO35" s="741"/>
      <c r="AP35" s="741"/>
      <c r="AQ35" s="741"/>
      <c r="AR35" s="741"/>
    </row>
    <row r="36" spans="1:44">
      <c r="A36" s="744"/>
      <c r="B36" s="740" t="s">
        <v>1593</v>
      </c>
      <c r="C36" s="741"/>
      <c r="D36" s="741"/>
      <c r="E36" s="741"/>
      <c r="F36" s="741"/>
      <c r="G36" s="741"/>
      <c r="H36" s="741"/>
      <c r="I36" s="741"/>
      <c r="J36" s="741"/>
      <c r="K36" s="741"/>
      <c r="L36" s="741"/>
      <c r="M36" s="741"/>
      <c r="N36" s="741"/>
      <c r="O36" s="741"/>
      <c r="P36" s="741"/>
      <c r="Q36" s="741"/>
      <c r="R36" s="741"/>
      <c r="S36" s="741"/>
      <c r="T36" s="741"/>
      <c r="U36" s="741"/>
      <c r="V36" s="741"/>
      <c r="W36" s="741"/>
      <c r="X36" s="741"/>
      <c r="Y36" s="741"/>
      <c r="Z36" s="741"/>
      <c r="AA36" s="741"/>
      <c r="AB36" s="741"/>
      <c r="AC36" s="741"/>
      <c r="AD36" s="741"/>
      <c r="AE36" s="741"/>
      <c r="AF36" s="741"/>
      <c r="AG36" s="741"/>
      <c r="AH36" s="741"/>
      <c r="AI36" s="741"/>
      <c r="AJ36" s="741"/>
      <c r="AK36" s="741"/>
      <c r="AL36" s="741"/>
      <c r="AM36" s="741"/>
      <c r="AN36" s="741"/>
      <c r="AO36" s="741"/>
      <c r="AP36" s="741"/>
      <c r="AQ36" s="741"/>
      <c r="AR36" s="741"/>
    </row>
    <row r="37" spans="1:44">
      <c r="A37" s="744"/>
      <c r="B37" s="740" t="s">
        <v>1594</v>
      </c>
      <c r="C37" s="741"/>
      <c r="D37" s="741"/>
      <c r="E37" s="741"/>
      <c r="F37" s="741"/>
      <c r="G37" s="741"/>
      <c r="H37" s="741"/>
      <c r="I37" s="741"/>
      <c r="J37" s="741"/>
      <c r="K37" s="741"/>
      <c r="L37" s="741"/>
      <c r="M37" s="741"/>
      <c r="N37" s="741"/>
      <c r="O37" s="741"/>
      <c r="P37" s="741"/>
      <c r="Q37" s="741"/>
      <c r="R37" s="741"/>
      <c r="S37" s="741"/>
      <c r="T37" s="741"/>
      <c r="U37" s="741"/>
      <c r="V37" s="741"/>
      <c r="W37" s="741"/>
      <c r="X37" s="741"/>
      <c r="Y37" s="741"/>
      <c r="Z37" s="741"/>
      <c r="AA37" s="741"/>
      <c r="AB37" s="741"/>
      <c r="AC37" s="741"/>
      <c r="AD37" s="741"/>
      <c r="AE37" s="741"/>
      <c r="AF37" s="741"/>
      <c r="AG37" s="741"/>
      <c r="AH37" s="741"/>
      <c r="AI37" s="741"/>
      <c r="AJ37" s="741"/>
      <c r="AK37" s="741"/>
      <c r="AL37" s="741"/>
      <c r="AM37" s="741"/>
      <c r="AN37" s="741"/>
      <c r="AO37" s="741"/>
      <c r="AP37" s="741"/>
      <c r="AQ37" s="741"/>
      <c r="AR37" s="741"/>
    </row>
    <row r="38" spans="1:44">
      <c r="A38" s="744"/>
      <c r="B38" s="740" t="s">
        <v>1595</v>
      </c>
      <c r="C38" s="741"/>
      <c r="D38" s="741"/>
      <c r="E38" s="741"/>
      <c r="F38" s="741"/>
      <c r="G38" s="741"/>
      <c r="H38" s="741"/>
      <c r="I38" s="741"/>
      <c r="J38" s="741"/>
      <c r="K38" s="741"/>
      <c r="L38" s="741"/>
      <c r="M38" s="741"/>
      <c r="N38" s="741"/>
      <c r="O38" s="741"/>
      <c r="P38" s="741"/>
      <c r="Q38" s="741"/>
      <c r="R38" s="741"/>
      <c r="S38" s="741"/>
      <c r="T38" s="741"/>
      <c r="U38" s="741"/>
      <c r="V38" s="741"/>
      <c r="W38" s="741"/>
      <c r="X38" s="741"/>
      <c r="Y38" s="741"/>
      <c r="Z38" s="741"/>
      <c r="AA38" s="741"/>
      <c r="AB38" s="741"/>
      <c r="AC38" s="741"/>
      <c r="AD38" s="741"/>
      <c r="AE38" s="741"/>
      <c r="AF38" s="741"/>
      <c r="AG38" s="741"/>
      <c r="AH38" s="741"/>
      <c r="AI38" s="741"/>
      <c r="AJ38" s="741"/>
      <c r="AK38" s="741"/>
      <c r="AL38" s="741"/>
      <c r="AM38" s="741"/>
      <c r="AN38" s="741"/>
      <c r="AO38" s="741"/>
      <c r="AP38" s="741"/>
      <c r="AQ38" s="741"/>
      <c r="AR38" s="741"/>
    </row>
    <row r="39" spans="1:44">
      <c r="A39" s="744"/>
      <c r="B39" s="740" t="s">
        <v>1596</v>
      </c>
      <c r="C39" s="741"/>
      <c r="D39" s="741"/>
      <c r="E39" s="741"/>
      <c r="F39" s="741"/>
      <c r="G39" s="741"/>
      <c r="H39" s="741"/>
      <c r="I39" s="741"/>
      <c r="J39" s="741"/>
      <c r="K39" s="741"/>
      <c r="L39" s="741"/>
      <c r="M39" s="741"/>
      <c r="N39" s="741"/>
      <c r="O39" s="741"/>
      <c r="P39" s="741"/>
      <c r="Q39" s="741"/>
      <c r="R39" s="741"/>
      <c r="S39" s="741"/>
      <c r="T39" s="741"/>
      <c r="U39" s="741"/>
      <c r="V39" s="741"/>
      <c r="W39" s="741"/>
      <c r="X39" s="741"/>
      <c r="Y39" s="741"/>
      <c r="Z39" s="741"/>
      <c r="AA39" s="741"/>
      <c r="AB39" s="741"/>
      <c r="AC39" s="741"/>
      <c r="AD39" s="741"/>
      <c r="AE39" s="741"/>
      <c r="AF39" s="741"/>
      <c r="AG39" s="741"/>
      <c r="AH39" s="741"/>
      <c r="AI39" s="741"/>
      <c r="AJ39" s="741"/>
      <c r="AK39" s="741"/>
      <c r="AL39" s="741"/>
      <c r="AM39" s="741"/>
      <c r="AN39" s="741"/>
      <c r="AO39" s="741"/>
      <c r="AP39" s="741"/>
      <c r="AQ39" s="741"/>
      <c r="AR39" s="741"/>
    </row>
    <row r="40" spans="1:44">
      <c r="A40" s="744"/>
      <c r="B40" s="740" t="s">
        <v>1597</v>
      </c>
      <c r="C40" s="741"/>
      <c r="D40" s="741"/>
      <c r="E40" s="741"/>
      <c r="F40" s="741"/>
      <c r="G40" s="741"/>
      <c r="H40" s="741"/>
      <c r="I40" s="741"/>
      <c r="J40" s="741"/>
      <c r="K40" s="741"/>
      <c r="L40" s="741"/>
      <c r="M40" s="741"/>
      <c r="N40" s="741"/>
      <c r="O40" s="741"/>
      <c r="P40" s="741"/>
      <c r="Q40" s="741"/>
      <c r="R40" s="741"/>
      <c r="S40" s="741"/>
      <c r="T40" s="741"/>
      <c r="U40" s="741"/>
      <c r="V40" s="741"/>
      <c r="W40" s="741"/>
      <c r="X40" s="741"/>
      <c r="Y40" s="741"/>
      <c r="Z40" s="741"/>
      <c r="AA40" s="741"/>
      <c r="AB40" s="741"/>
      <c r="AC40" s="741"/>
      <c r="AD40" s="741"/>
      <c r="AE40" s="741"/>
      <c r="AF40" s="741"/>
      <c r="AG40" s="741"/>
      <c r="AH40" s="741"/>
      <c r="AI40" s="741"/>
      <c r="AJ40" s="741"/>
      <c r="AK40" s="741"/>
      <c r="AL40" s="741"/>
      <c r="AM40" s="741"/>
      <c r="AN40" s="741"/>
      <c r="AO40" s="741"/>
      <c r="AP40" s="741"/>
      <c r="AQ40" s="741"/>
      <c r="AR40" s="741"/>
    </row>
    <row r="41" spans="1:44">
      <c r="A41" s="744"/>
      <c r="B41" s="740" t="s">
        <v>1598</v>
      </c>
      <c r="C41" s="741"/>
      <c r="D41" s="741"/>
      <c r="E41" s="741"/>
      <c r="F41" s="741"/>
      <c r="G41" s="741"/>
      <c r="H41" s="741"/>
      <c r="I41" s="741"/>
      <c r="J41" s="741"/>
      <c r="K41" s="741"/>
      <c r="L41" s="741"/>
      <c r="M41" s="741"/>
      <c r="N41" s="741"/>
      <c r="O41" s="741"/>
      <c r="P41" s="741"/>
      <c r="Q41" s="741"/>
      <c r="R41" s="741"/>
      <c r="S41" s="741"/>
      <c r="T41" s="741"/>
      <c r="U41" s="741"/>
      <c r="V41" s="741"/>
      <c r="W41" s="741"/>
      <c r="X41" s="741"/>
      <c r="Y41" s="741"/>
      <c r="Z41" s="741"/>
      <c r="AA41" s="741"/>
      <c r="AB41" s="741"/>
      <c r="AC41" s="741"/>
      <c r="AD41" s="741"/>
      <c r="AE41" s="741"/>
      <c r="AF41" s="741"/>
      <c r="AG41" s="741"/>
      <c r="AH41" s="741"/>
      <c r="AI41" s="741"/>
      <c r="AJ41" s="741"/>
      <c r="AK41" s="741"/>
      <c r="AL41" s="741"/>
      <c r="AM41" s="741"/>
      <c r="AN41" s="741"/>
      <c r="AO41" s="741"/>
      <c r="AP41" s="741"/>
      <c r="AQ41" s="741"/>
      <c r="AR41" s="741"/>
    </row>
    <row r="42" spans="1:44">
      <c r="A42" s="744"/>
      <c r="B42" s="740" t="s">
        <v>1599</v>
      </c>
      <c r="C42" s="741"/>
      <c r="D42" s="741"/>
      <c r="E42" s="741"/>
      <c r="F42" s="741"/>
      <c r="G42" s="741"/>
      <c r="H42" s="741"/>
      <c r="I42" s="741"/>
      <c r="J42" s="741"/>
      <c r="K42" s="741"/>
      <c r="L42" s="741"/>
      <c r="M42" s="741"/>
      <c r="N42" s="741"/>
      <c r="O42" s="741"/>
      <c r="P42" s="741"/>
      <c r="Q42" s="741"/>
      <c r="R42" s="741"/>
      <c r="S42" s="741"/>
      <c r="T42" s="741"/>
      <c r="U42" s="741"/>
      <c r="V42" s="741"/>
      <c r="W42" s="741"/>
      <c r="X42" s="741"/>
      <c r="Y42" s="741"/>
      <c r="Z42" s="741"/>
      <c r="AA42" s="741"/>
      <c r="AB42" s="741"/>
      <c r="AC42" s="741"/>
      <c r="AD42" s="741"/>
      <c r="AE42" s="741"/>
      <c r="AF42" s="741"/>
      <c r="AG42" s="741"/>
      <c r="AH42" s="741"/>
      <c r="AI42" s="741"/>
      <c r="AJ42" s="741"/>
      <c r="AK42" s="741"/>
      <c r="AL42" s="741"/>
      <c r="AM42" s="741"/>
      <c r="AN42" s="741"/>
      <c r="AO42" s="741"/>
      <c r="AP42" s="741"/>
      <c r="AQ42" s="741"/>
      <c r="AR42" s="741"/>
    </row>
    <row r="43" spans="1:44">
      <c r="A43" s="744"/>
      <c r="B43" s="740" t="s">
        <v>1600</v>
      </c>
      <c r="C43" s="741"/>
      <c r="D43" s="741"/>
      <c r="E43" s="741"/>
      <c r="F43" s="741"/>
      <c r="G43" s="741"/>
      <c r="H43" s="741"/>
      <c r="I43" s="741"/>
      <c r="J43" s="741"/>
      <c r="K43" s="741"/>
      <c r="L43" s="741"/>
      <c r="M43" s="741"/>
      <c r="N43" s="741"/>
      <c r="O43" s="741"/>
      <c r="P43" s="741"/>
      <c r="Q43" s="741"/>
      <c r="R43" s="741"/>
      <c r="S43" s="741"/>
      <c r="T43" s="741"/>
      <c r="U43" s="741"/>
      <c r="V43" s="741"/>
      <c r="W43" s="741"/>
      <c r="X43" s="741"/>
      <c r="Y43" s="741"/>
      <c r="Z43" s="741"/>
      <c r="AA43" s="741"/>
      <c r="AB43" s="741"/>
      <c r="AC43" s="741"/>
      <c r="AD43" s="741"/>
      <c r="AE43" s="741"/>
      <c r="AF43" s="741"/>
      <c r="AG43" s="741"/>
      <c r="AH43" s="741"/>
      <c r="AI43" s="741"/>
      <c r="AJ43" s="741"/>
      <c r="AK43" s="741"/>
      <c r="AL43" s="741"/>
      <c r="AM43" s="741"/>
      <c r="AN43" s="741"/>
      <c r="AO43" s="741"/>
      <c r="AP43" s="741"/>
      <c r="AQ43" s="741"/>
      <c r="AR43" s="741"/>
    </row>
    <row r="44" spans="1:44">
      <c r="A44" s="744"/>
      <c r="B44" s="740" t="s">
        <v>1601</v>
      </c>
      <c r="C44" s="741"/>
      <c r="D44" s="741"/>
      <c r="E44" s="741"/>
      <c r="F44" s="741"/>
      <c r="G44" s="741"/>
      <c r="H44" s="741"/>
      <c r="I44" s="741"/>
      <c r="J44" s="741"/>
      <c r="K44" s="741"/>
      <c r="L44" s="741"/>
      <c r="M44" s="741"/>
      <c r="N44" s="741"/>
      <c r="O44" s="741"/>
      <c r="P44" s="741"/>
      <c r="Q44" s="741"/>
      <c r="R44" s="741"/>
      <c r="S44" s="741"/>
      <c r="T44" s="741"/>
      <c r="U44" s="741"/>
      <c r="V44" s="741"/>
      <c r="W44" s="741"/>
      <c r="X44" s="741"/>
      <c r="Y44" s="741"/>
      <c r="Z44" s="741"/>
      <c r="AA44" s="741"/>
      <c r="AB44" s="741"/>
      <c r="AC44" s="741"/>
      <c r="AD44" s="741"/>
      <c r="AE44" s="741"/>
      <c r="AF44" s="741"/>
      <c r="AG44" s="741"/>
      <c r="AH44" s="741"/>
      <c r="AI44" s="741"/>
      <c r="AJ44" s="741"/>
      <c r="AK44" s="741"/>
      <c r="AL44" s="741"/>
      <c r="AM44" s="741"/>
      <c r="AN44" s="741"/>
      <c r="AO44" s="741"/>
      <c r="AP44" s="741"/>
      <c r="AQ44" s="741"/>
      <c r="AR44" s="741"/>
    </row>
    <row r="45" spans="1:44">
      <c r="A45" s="738" t="s">
        <v>1602</v>
      </c>
      <c r="B45" s="745"/>
      <c r="C45" s="741"/>
      <c r="D45" s="741"/>
      <c r="E45" s="741"/>
      <c r="F45" s="741"/>
      <c r="G45" s="741"/>
      <c r="H45" s="741"/>
      <c r="I45" s="741"/>
      <c r="J45" s="741"/>
      <c r="K45" s="741"/>
      <c r="L45" s="741"/>
      <c r="M45" s="741"/>
      <c r="N45" s="741"/>
      <c r="O45" s="741"/>
      <c r="P45" s="741"/>
      <c r="Q45" s="741"/>
      <c r="R45" s="741"/>
      <c r="S45" s="741"/>
      <c r="T45" s="741"/>
      <c r="U45" s="741"/>
      <c r="V45" s="741"/>
      <c r="W45" s="741"/>
      <c r="X45" s="741"/>
      <c r="Y45" s="741"/>
      <c r="Z45" s="741"/>
      <c r="AA45" s="741"/>
      <c r="AB45" s="741"/>
      <c r="AC45" s="741"/>
      <c r="AD45" s="741"/>
      <c r="AE45" s="741"/>
      <c r="AF45" s="741"/>
      <c r="AG45" s="741"/>
      <c r="AH45" s="741"/>
      <c r="AI45" s="741"/>
      <c r="AJ45" s="741"/>
      <c r="AK45" s="741"/>
      <c r="AL45" s="741"/>
      <c r="AM45" s="741"/>
      <c r="AN45" s="741"/>
      <c r="AO45" s="741"/>
      <c r="AP45" s="741"/>
      <c r="AQ45" s="741"/>
      <c r="AR45" s="741"/>
    </row>
    <row r="46" spans="1:44">
      <c r="A46" s="744"/>
      <c r="B46" s="751" t="s">
        <v>1603</v>
      </c>
      <c r="C46" s="740"/>
      <c r="D46" s="741"/>
      <c r="E46" s="741"/>
      <c r="F46" s="741"/>
      <c r="G46" s="741"/>
      <c r="H46" s="741"/>
      <c r="I46" s="741"/>
      <c r="J46" s="741"/>
      <c r="K46" s="741"/>
      <c r="L46" s="741"/>
      <c r="M46" s="741"/>
      <c r="N46" s="741"/>
      <c r="O46" s="741"/>
      <c r="P46" s="741"/>
      <c r="Q46" s="741"/>
      <c r="R46" s="741"/>
      <c r="S46" s="741"/>
      <c r="T46" s="741"/>
      <c r="U46" s="741"/>
      <c r="V46" s="741"/>
      <c r="W46" s="741"/>
      <c r="X46" s="741"/>
      <c r="Y46" s="741"/>
      <c r="Z46" s="741"/>
      <c r="AA46" s="741"/>
      <c r="AB46" s="741"/>
      <c r="AC46" s="741"/>
      <c r="AD46" s="741"/>
      <c r="AE46" s="741"/>
      <c r="AF46" s="741"/>
      <c r="AG46" s="741"/>
      <c r="AH46" s="741"/>
      <c r="AI46" s="741"/>
      <c r="AJ46" s="741"/>
      <c r="AK46" s="741"/>
      <c r="AL46" s="741"/>
      <c r="AM46" s="741"/>
      <c r="AN46" s="741"/>
      <c r="AO46" s="741"/>
      <c r="AP46" s="741"/>
      <c r="AQ46" s="741"/>
      <c r="AR46" s="741"/>
    </row>
    <row r="47" spans="1:44">
      <c r="A47" s="744"/>
      <c r="B47" s="751" t="s">
        <v>1604</v>
      </c>
      <c r="C47" s="740"/>
      <c r="D47" s="741"/>
      <c r="E47" s="741"/>
      <c r="F47" s="741"/>
      <c r="G47" s="741"/>
      <c r="H47" s="741"/>
      <c r="I47" s="741"/>
      <c r="J47" s="741"/>
      <c r="K47" s="741"/>
      <c r="L47" s="741"/>
      <c r="M47" s="741"/>
      <c r="N47" s="741"/>
      <c r="O47" s="741"/>
      <c r="P47" s="741"/>
      <c r="Q47" s="741"/>
      <c r="R47" s="741"/>
      <c r="S47" s="741"/>
      <c r="T47" s="741"/>
      <c r="U47" s="741"/>
      <c r="V47" s="741"/>
      <c r="W47" s="741"/>
      <c r="X47" s="741"/>
      <c r="Y47" s="741"/>
      <c r="Z47" s="741"/>
      <c r="AA47" s="741"/>
      <c r="AB47" s="741"/>
      <c r="AC47" s="741"/>
      <c r="AD47" s="741"/>
      <c r="AE47" s="741"/>
      <c r="AF47" s="741"/>
      <c r="AG47" s="741"/>
      <c r="AH47" s="741"/>
      <c r="AI47" s="741"/>
      <c r="AJ47" s="741"/>
      <c r="AK47" s="741"/>
      <c r="AL47" s="741"/>
      <c r="AM47" s="741"/>
      <c r="AN47" s="741"/>
      <c r="AO47" s="741"/>
      <c r="AP47" s="741"/>
      <c r="AQ47" s="741"/>
      <c r="AR47" s="741"/>
    </row>
    <row r="48" spans="1:44">
      <c r="A48" s="744"/>
      <c r="B48" s="751" t="s">
        <v>1605</v>
      </c>
      <c r="C48" s="740"/>
      <c r="D48" s="741"/>
      <c r="E48" s="741"/>
      <c r="F48" s="741"/>
      <c r="G48" s="741"/>
      <c r="H48" s="741"/>
      <c r="I48" s="741"/>
      <c r="J48" s="741"/>
      <c r="K48" s="741"/>
      <c r="L48" s="741"/>
      <c r="M48" s="741"/>
      <c r="N48" s="741"/>
      <c r="O48" s="741"/>
      <c r="P48" s="741"/>
      <c r="Q48" s="741"/>
      <c r="R48" s="741"/>
      <c r="S48" s="741"/>
      <c r="T48" s="741"/>
      <c r="U48" s="741"/>
      <c r="V48" s="741"/>
      <c r="W48" s="741"/>
      <c r="X48" s="741"/>
      <c r="Y48" s="741"/>
      <c r="Z48" s="741"/>
      <c r="AA48" s="741"/>
      <c r="AB48" s="741"/>
      <c r="AC48" s="741"/>
      <c r="AD48" s="741"/>
      <c r="AE48" s="741"/>
      <c r="AF48" s="741"/>
      <c r="AG48" s="741"/>
      <c r="AH48" s="741"/>
      <c r="AI48" s="741"/>
      <c r="AJ48" s="741"/>
      <c r="AK48" s="741"/>
      <c r="AL48" s="741"/>
      <c r="AM48" s="741"/>
      <c r="AN48" s="741"/>
      <c r="AO48" s="741"/>
      <c r="AP48" s="741"/>
      <c r="AQ48" s="741"/>
      <c r="AR48" s="741"/>
    </row>
    <row r="49" spans="1:44">
      <c r="A49" s="744"/>
      <c r="B49" s="751" t="s">
        <v>1606</v>
      </c>
      <c r="C49" s="740"/>
      <c r="D49" s="741"/>
      <c r="E49" s="741"/>
      <c r="F49" s="741"/>
      <c r="G49" s="741"/>
      <c r="H49" s="741"/>
      <c r="I49" s="741"/>
      <c r="J49" s="741"/>
      <c r="K49" s="741"/>
      <c r="L49" s="741"/>
      <c r="M49" s="741"/>
      <c r="N49" s="741"/>
      <c r="O49" s="741"/>
      <c r="P49" s="741"/>
      <c r="Q49" s="741"/>
      <c r="R49" s="741"/>
      <c r="S49" s="741"/>
      <c r="T49" s="741"/>
      <c r="U49" s="741"/>
      <c r="V49" s="741"/>
      <c r="W49" s="741"/>
      <c r="X49" s="741"/>
      <c r="Y49" s="741"/>
      <c r="Z49" s="741"/>
      <c r="AA49" s="741"/>
      <c r="AB49" s="741"/>
      <c r="AC49" s="741"/>
      <c r="AD49" s="741"/>
      <c r="AE49" s="741"/>
      <c r="AF49" s="741"/>
      <c r="AG49" s="741"/>
      <c r="AH49" s="741"/>
      <c r="AI49" s="741"/>
      <c r="AJ49" s="741"/>
      <c r="AK49" s="741"/>
      <c r="AL49" s="741"/>
      <c r="AM49" s="741"/>
      <c r="AN49" s="741"/>
      <c r="AO49" s="741"/>
      <c r="AP49" s="741"/>
      <c r="AQ49" s="741"/>
      <c r="AR49" s="741"/>
    </row>
    <row r="50" spans="1:44">
      <c r="A50" s="744"/>
      <c r="B50" s="751" t="s">
        <v>1607</v>
      </c>
      <c r="C50" s="740"/>
      <c r="D50" s="741"/>
      <c r="E50" s="741"/>
      <c r="F50" s="741"/>
      <c r="G50" s="741"/>
      <c r="H50" s="741"/>
      <c r="I50" s="741"/>
      <c r="J50" s="741"/>
      <c r="K50" s="741"/>
      <c r="L50" s="741"/>
      <c r="M50" s="741"/>
      <c r="N50" s="741"/>
      <c r="O50" s="741"/>
      <c r="P50" s="741"/>
      <c r="Q50" s="741"/>
      <c r="R50" s="741"/>
      <c r="S50" s="741"/>
      <c r="T50" s="741"/>
      <c r="U50" s="741"/>
      <c r="V50" s="741"/>
      <c r="W50" s="741"/>
      <c r="X50" s="741"/>
      <c r="Y50" s="741"/>
      <c r="Z50" s="741"/>
      <c r="AA50" s="741"/>
      <c r="AB50" s="741"/>
      <c r="AC50" s="741"/>
      <c r="AD50" s="741"/>
      <c r="AE50" s="741"/>
      <c r="AF50" s="741"/>
      <c r="AG50" s="741"/>
      <c r="AH50" s="741"/>
      <c r="AI50" s="741"/>
      <c r="AJ50" s="741"/>
      <c r="AK50" s="741"/>
      <c r="AL50" s="741"/>
      <c r="AM50" s="741"/>
      <c r="AN50" s="741"/>
      <c r="AO50" s="741"/>
      <c r="AP50" s="741"/>
      <c r="AQ50" s="741"/>
      <c r="AR50" s="741"/>
    </row>
    <row r="51" spans="1:44">
      <c r="A51" s="744"/>
      <c r="B51" s="751" t="s">
        <v>1608</v>
      </c>
      <c r="C51" s="740"/>
      <c r="D51" s="741"/>
      <c r="E51" s="741"/>
      <c r="F51" s="741"/>
      <c r="G51" s="741"/>
      <c r="H51" s="741"/>
      <c r="I51" s="741"/>
      <c r="J51" s="741"/>
      <c r="K51" s="741"/>
      <c r="L51" s="741"/>
      <c r="M51" s="741"/>
      <c r="N51" s="741"/>
      <c r="O51" s="741"/>
      <c r="P51" s="741"/>
      <c r="Q51" s="741"/>
      <c r="R51" s="741"/>
      <c r="S51" s="741"/>
      <c r="T51" s="741"/>
      <c r="U51" s="741"/>
      <c r="V51" s="741"/>
      <c r="W51" s="741"/>
      <c r="X51" s="741"/>
      <c r="Y51" s="741"/>
      <c r="Z51" s="741"/>
      <c r="AA51" s="741"/>
      <c r="AB51" s="741"/>
      <c r="AC51" s="741"/>
      <c r="AD51" s="741"/>
      <c r="AE51" s="741"/>
      <c r="AF51" s="741"/>
      <c r="AG51" s="741"/>
      <c r="AH51" s="741"/>
      <c r="AI51" s="741"/>
      <c r="AJ51" s="741"/>
      <c r="AK51" s="741"/>
      <c r="AL51" s="741"/>
      <c r="AM51" s="741"/>
      <c r="AN51" s="741"/>
      <c r="AO51" s="741"/>
      <c r="AP51" s="741"/>
      <c r="AQ51" s="741"/>
      <c r="AR51" s="741"/>
    </row>
    <row r="52" spans="1:44">
      <c r="A52" s="733"/>
      <c r="B52" s="622" t="s">
        <v>1609</v>
      </c>
      <c r="C52" s="740"/>
      <c r="D52" s="741"/>
      <c r="E52" s="741"/>
      <c r="F52" s="741"/>
      <c r="G52" s="741"/>
      <c r="H52" s="741"/>
      <c r="I52" s="741"/>
      <c r="J52" s="741"/>
      <c r="K52" s="741"/>
      <c r="L52" s="741"/>
      <c r="M52" s="741"/>
      <c r="N52" s="741"/>
      <c r="O52" s="741"/>
      <c r="P52" s="741"/>
      <c r="Q52" s="741"/>
      <c r="R52" s="741"/>
      <c r="S52" s="741"/>
      <c r="T52" s="741"/>
      <c r="U52" s="741"/>
      <c r="V52" s="741"/>
      <c r="W52" s="741"/>
      <c r="X52" s="741"/>
      <c r="Y52" s="741"/>
      <c r="Z52" s="741"/>
      <c r="AA52" s="741"/>
      <c r="AB52" s="741"/>
      <c r="AC52" s="741"/>
      <c r="AD52" s="741"/>
      <c r="AE52" s="741"/>
      <c r="AF52" s="741"/>
      <c r="AG52" s="741"/>
      <c r="AH52" s="741"/>
      <c r="AI52" s="741"/>
      <c r="AJ52" s="741"/>
      <c r="AK52" s="741"/>
      <c r="AL52" s="741"/>
      <c r="AM52" s="741"/>
      <c r="AN52" s="741"/>
      <c r="AO52" s="741"/>
      <c r="AP52" s="741"/>
      <c r="AQ52" s="741"/>
      <c r="AR52" s="741"/>
    </row>
    <row r="53" spans="1:44" s="733" customFormat="1">
      <c r="B53" s="622" t="s">
        <v>1610</v>
      </c>
      <c r="C53" s="740"/>
      <c r="D53" s="749"/>
      <c r="E53" s="749"/>
      <c r="F53" s="749"/>
      <c r="G53" s="749"/>
      <c r="H53" s="749"/>
      <c r="I53" s="749"/>
      <c r="J53" s="749"/>
      <c r="K53" s="749"/>
      <c r="L53" s="749"/>
      <c r="M53" s="749"/>
      <c r="N53" s="749"/>
      <c r="O53" s="749"/>
      <c r="P53" s="749"/>
      <c r="Q53" s="749"/>
      <c r="R53" s="749"/>
      <c r="S53" s="749"/>
      <c r="T53" s="749"/>
      <c r="U53" s="749"/>
      <c r="V53" s="749"/>
      <c r="W53" s="749"/>
      <c r="X53" s="749"/>
      <c r="Y53" s="749"/>
      <c r="Z53" s="749"/>
      <c r="AA53" s="749"/>
      <c r="AB53" s="749"/>
      <c r="AC53" s="749"/>
      <c r="AD53" s="749"/>
      <c r="AE53" s="749"/>
      <c r="AF53" s="749"/>
      <c r="AG53" s="749"/>
      <c r="AH53" s="749"/>
      <c r="AI53" s="749"/>
      <c r="AJ53" s="749"/>
      <c r="AK53" s="749"/>
      <c r="AL53" s="749"/>
      <c r="AM53" s="749"/>
      <c r="AN53" s="749"/>
      <c r="AO53" s="749"/>
      <c r="AP53" s="749"/>
      <c r="AQ53" s="749"/>
      <c r="AR53" s="749"/>
    </row>
    <row r="54" spans="1:44">
      <c r="A54" s="733"/>
      <c r="B54" s="622" t="s">
        <v>1479</v>
      </c>
      <c r="C54" s="740"/>
      <c r="D54" s="741"/>
      <c r="E54" s="741"/>
      <c r="F54" s="741"/>
      <c r="G54" s="741"/>
      <c r="H54" s="741"/>
      <c r="I54" s="741"/>
      <c r="J54" s="741"/>
      <c r="K54" s="741"/>
      <c r="L54" s="741"/>
      <c r="M54" s="741"/>
      <c r="N54" s="741"/>
      <c r="O54" s="741"/>
      <c r="P54" s="741"/>
      <c r="Q54" s="741"/>
      <c r="R54" s="741"/>
      <c r="S54" s="741"/>
      <c r="T54" s="741"/>
      <c r="U54" s="741"/>
      <c r="V54" s="741"/>
      <c r="W54" s="741"/>
      <c r="X54" s="741"/>
      <c r="Y54" s="741"/>
      <c r="Z54" s="741"/>
      <c r="AA54" s="741"/>
      <c r="AB54" s="741"/>
      <c r="AC54" s="741"/>
      <c r="AD54" s="741"/>
      <c r="AE54" s="741"/>
      <c r="AF54" s="741"/>
      <c r="AG54" s="741"/>
      <c r="AH54" s="741"/>
      <c r="AI54" s="741"/>
      <c r="AJ54" s="741"/>
      <c r="AK54" s="741"/>
      <c r="AL54" s="741"/>
      <c r="AM54" s="741"/>
      <c r="AN54" s="741"/>
      <c r="AO54" s="741"/>
      <c r="AP54" s="741"/>
      <c r="AQ54" s="741"/>
      <c r="AR54" s="741"/>
    </row>
    <row r="55" spans="1:44">
      <c r="A55" s="741"/>
      <c r="B55" s="752" t="s">
        <v>1611</v>
      </c>
      <c r="C55" s="741"/>
      <c r="D55" s="741"/>
      <c r="E55" s="741"/>
      <c r="F55" s="741"/>
      <c r="G55" s="741"/>
      <c r="H55" s="741"/>
      <c r="I55" s="741"/>
      <c r="J55" s="741"/>
      <c r="K55" s="741"/>
      <c r="L55" s="741"/>
      <c r="M55" s="741"/>
      <c r="N55" s="741"/>
      <c r="O55" s="741"/>
      <c r="P55" s="741"/>
      <c r="Q55" s="741"/>
      <c r="R55" s="741"/>
      <c r="S55" s="741"/>
      <c r="T55" s="741"/>
      <c r="U55" s="741"/>
      <c r="V55" s="741"/>
      <c r="W55" s="741"/>
      <c r="X55" s="741"/>
      <c r="Y55" s="741"/>
      <c r="Z55" s="741"/>
      <c r="AA55" s="741"/>
      <c r="AB55" s="741"/>
      <c r="AC55" s="741"/>
      <c r="AD55" s="741"/>
      <c r="AE55" s="741"/>
      <c r="AF55" s="741"/>
      <c r="AG55" s="741"/>
      <c r="AH55" s="741"/>
      <c r="AI55" s="741"/>
      <c r="AJ55" s="741"/>
      <c r="AK55" s="741"/>
      <c r="AL55" s="741"/>
      <c r="AM55" s="741"/>
      <c r="AN55" s="741"/>
      <c r="AO55" s="741"/>
      <c r="AP55" s="741"/>
      <c r="AQ55" s="741"/>
      <c r="AR55" s="741"/>
    </row>
    <row r="56" spans="1:44">
      <c r="A56" s="741"/>
      <c r="B56" s="752" t="s">
        <v>1612</v>
      </c>
      <c r="C56" s="741"/>
      <c r="D56" s="741"/>
      <c r="E56" s="741"/>
      <c r="F56" s="741"/>
      <c r="G56" s="741"/>
      <c r="H56" s="741"/>
      <c r="I56" s="741"/>
      <c r="J56" s="741"/>
      <c r="K56" s="741"/>
      <c r="L56" s="741"/>
      <c r="M56" s="741"/>
      <c r="N56" s="741"/>
      <c r="O56" s="741"/>
      <c r="P56" s="741"/>
      <c r="Q56" s="741"/>
      <c r="R56" s="741"/>
      <c r="S56" s="741"/>
      <c r="T56" s="741"/>
      <c r="U56" s="741"/>
      <c r="V56" s="741"/>
      <c r="W56" s="741"/>
      <c r="X56" s="741"/>
      <c r="Y56" s="741"/>
      <c r="Z56" s="741"/>
      <c r="AA56" s="741"/>
      <c r="AB56" s="741"/>
      <c r="AC56" s="741"/>
      <c r="AD56" s="741"/>
      <c r="AE56" s="741"/>
      <c r="AF56" s="741"/>
      <c r="AG56" s="741"/>
      <c r="AH56" s="741"/>
      <c r="AI56" s="741"/>
      <c r="AJ56" s="741"/>
      <c r="AK56" s="741"/>
      <c r="AL56" s="741"/>
      <c r="AM56" s="741"/>
      <c r="AN56" s="741"/>
      <c r="AO56" s="741"/>
      <c r="AP56" s="741"/>
      <c r="AQ56" s="741"/>
      <c r="AR56" s="741"/>
    </row>
    <row r="57" spans="1:44">
      <c r="A57" s="741"/>
      <c r="B57" s="752" t="s">
        <v>1613</v>
      </c>
      <c r="C57" s="741"/>
      <c r="D57" s="741"/>
      <c r="E57" s="741"/>
      <c r="F57" s="741"/>
      <c r="G57" s="741"/>
      <c r="H57" s="741"/>
      <c r="I57" s="741"/>
      <c r="J57" s="741"/>
      <c r="K57" s="741"/>
      <c r="L57" s="741"/>
      <c r="M57" s="741"/>
      <c r="N57" s="741"/>
      <c r="O57" s="741"/>
      <c r="P57" s="741"/>
      <c r="Q57" s="741"/>
      <c r="R57" s="741"/>
      <c r="S57" s="741"/>
      <c r="T57" s="741"/>
      <c r="U57" s="741"/>
      <c r="V57" s="741"/>
      <c r="W57" s="741"/>
      <c r="X57" s="741"/>
      <c r="Y57" s="741"/>
      <c r="Z57" s="741"/>
      <c r="AA57" s="741"/>
      <c r="AB57" s="741"/>
      <c r="AC57" s="741"/>
      <c r="AD57" s="741"/>
      <c r="AE57" s="741"/>
      <c r="AF57" s="741"/>
      <c r="AG57" s="741"/>
      <c r="AH57" s="741"/>
      <c r="AI57" s="741"/>
      <c r="AJ57" s="741"/>
      <c r="AK57" s="741"/>
      <c r="AL57" s="741"/>
      <c r="AM57" s="741"/>
      <c r="AN57" s="741"/>
      <c r="AO57" s="741"/>
      <c r="AP57" s="741"/>
      <c r="AQ57" s="741"/>
      <c r="AR57" s="741"/>
    </row>
    <row r="58" spans="1:44">
      <c r="A58" s="753" t="s">
        <v>1614</v>
      </c>
      <c r="B58" s="741"/>
      <c r="C58" s="741"/>
      <c r="D58" s="741"/>
      <c r="E58" s="741"/>
      <c r="F58" s="741"/>
      <c r="G58" s="741"/>
      <c r="H58" s="741"/>
      <c r="I58" s="741"/>
      <c r="J58" s="741"/>
      <c r="K58" s="741"/>
      <c r="L58" s="741"/>
      <c r="M58" s="741"/>
      <c r="N58" s="741"/>
      <c r="O58" s="741"/>
      <c r="P58" s="741"/>
      <c r="Q58" s="741"/>
      <c r="R58" s="741"/>
      <c r="S58" s="741"/>
      <c r="T58" s="741"/>
      <c r="U58" s="741"/>
      <c r="V58" s="741"/>
      <c r="W58" s="741"/>
      <c r="X58" s="741"/>
      <c r="Y58" s="741"/>
      <c r="Z58" s="741"/>
      <c r="AA58" s="741"/>
      <c r="AB58" s="741"/>
      <c r="AC58" s="741"/>
      <c r="AD58" s="741"/>
      <c r="AE58" s="741"/>
      <c r="AF58" s="741"/>
      <c r="AG58" s="741"/>
      <c r="AH58" s="741"/>
      <c r="AI58" s="741"/>
      <c r="AJ58" s="741"/>
      <c r="AK58" s="741"/>
      <c r="AL58" s="741"/>
      <c r="AM58" s="741"/>
      <c r="AN58" s="741"/>
      <c r="AO58" s="741"/>
      <c r="AP58" s="741"/>
      <c r="AQ58" s="741"/>
      <c r="AR58" s="741"/>
    </row>
    <row r="59" spans="1:44">
      <c r="A59" s="1168" t="s">
        <v>1615</v>
      </c>
      <c r="B59" s="1168"/>
      <c r="C59" s="1168"/>
      <c r="D59" s="1168"/>
      <c r="E59" s="1168"/>
      <c r="F59" s="1168"/>
      <c r="G59" s="1168"/>
      <c r="H59" s="1168"/>
      <c r="I59" s="1168"/>
      <c r="J59" s="1168"/>
      <c r="K59" s="1168"/>
      <c r="L59" s="741"/>
      <c r="M59" s="741"/>
      <c r="N59" s="741"/>
      <c r="O59" s="741"/>
      <c r="P59" s="741"/>
      <c r="Q59" s="741"/>
      <c r="R59" s="741"/>
      <c r="S59" s="741"/>
      <c r="T59" s="741"/>
      <c r="U59" s="741"/>
      <c r="V59" s="741"/>
      <c r="W59" s="741"/>
      <c r="X59" s="741"/>
      <c r="Y59" s="741"/>
      <c r="Z59" s="741"/>
      <c r="AA59" s="741"/>
      <c r="AB59" s="741"/>
      <c r="AC59" s="741"/>
      <c r="AD59" s="741"/>
      <c r="AE59" s="741"/>
      <c r="AF59" s="741"/>
      <c r="AG59" s="741"/>
      <c r="AH59" s="741"/>
      <c r="AI59" s="741"/>
      <c r="AJ59" s="741"/>
      <c r="AK59" s="741"/>
      <c r="AL59" s="741"/>
      <c r="AM59" s="741"/>
      <c r="AN59" s="741"/>
      <c r="AO59" s="741"/>
      <c r="AP59" s="741"/>
      <c r="AQ59" s="741"/>
      <c r="AR59" s="741"/>
    </row>
    <row r="60" spans="1:44">
      <c r="A60" s="1168"/>
      <c r="B60" s="1168"/>
      <c r="C60" s="1168"/>
      <c r="D60" s="1168"/>
      <c r="E60" s="1168"/>
      <c r="F60" s="1168"/>
      <c r="G60" s="1168"/>
      <c r="H60" s="1168"/>
      <c r="I60" s="1168"/>
      <c r="J60" s="1168"/>
      <c r="K60" s="1168"/>
      <c r="L60" s="741"/>
      <c r="M60" s="741"/>
      <c r="N60" s="741"/>
      <c r="O60" s="741"/>
      <c r="P60" s="741"/>
      <c r="Q60" s="741"/>
      <c r="R60" s="741"/>
      <c r="S60" s="741"/>
      <c r="T60" s="741"/>
      <c r="U60" s="741"/>
      <c r="V60" s="741"/>
      <c r="W60" s="741"/>
      <c r="X60" s="741"/>
      <c r="Y60" s="741"/>
      <c r="Z60" s="741"/>
      <c r="AA60" s="741"/>
      <c r="AB60" s="741"/>
      <c r="AC60" s="741"/>
      <c r="AD60" s="741"/>
      <c r="AE60" s="741"/>
      <c r="AF60" s="741"/>
      <c r="AG60" s="741"/>
      <c r="AH60" s="741"/>
      <c r="AI60" s="741"/>
      <c r="AJ60" s="741"/>
      <c r="AK60" s="741"/>
      <c r="AL60" s="741"/>
      <c r="AM60" s="741"/>
      <c r="AN60" s="741"/>
      <c r="AO60" s="741"/>
      <c r="AP60" s="741"/>
      <c r="AQ60" s="741"/>
      <c r="AR60" s="741"/>
    </row>
    <row r="61" spans="1:44">
      <c r="A61" s="1168" t="s">
        <v>1616</v>
      </c>
      <c r="B61" s="1168"/>
      <c r="C61" s="1168"/>
      <c r="D61" s="1168"/>
      <c r="E61" s="1168"/>
      <c r="F61" s="1168"/>
      <c r="G61" s="1168"/>
      <c r="H61" s="1168"/>
      <c r="I61" s="1168"/>
      <c r="J61" s="1168"/>
      <c r="K61" s="1168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  <c r="X61" s="741"/>
      <c r="Y61" s="741"/>
      <c r="Z61" s="741"/>
      <c r="AA61" s="741"/>
      <c r="AB61" s="741"/>
      <c r="AC61" s="741"/>
      <c r="AD61" s="741"/>
      <c r="AE61" s="741"/>
      <c r="AF61" s="741"/>
      <c r="AG61" s="741"/>
      <c r="AH61" s="741"/>
      <c r="AI61" s="741"/>
      <c r="AJ61" s="741"/>
      <c r="AK61" s="741"/>
      <c r="AL61" s="741"/>
      <c r="AM61" s="741"/>
      <c r="AN61" s="741"/>
      <c r="AO61" s="741"/>
      <c r="AP61" s="741"/>
      <c r="AQ61" s="741"/>
      <c r="AR61" s="741"/>
    </row>
    <row r="62" spans="1:44">
      <c r="A62" s="1168"/>
      <c r="B62" s="1168"/>
      <c r="C62" s="1168"/>
      <c r="D62" s="1168"/>
      <c r="E62" s="1168"/>
      <c r="F62" s="1168"/>
      <c r="G62" s="1168"/>
      <c r="H62" s="1168"/>
      <c r="I62" s="1168"/>
      <c r="J62" s="1168"/>
      <c r="K62" s="1168"/>
      <c r="L62" s="741"/>
      <c r="M62" s="741"/>
      <c r="N62" s="741"/>
      <c r="O62" s="741"/>
      <c r="P62" s="741"/>
      <c r="Q62" s="741"/>
      <c r="R62" s="741"/>
      <c r="S62" s="741"/>
      <c r="T62" s="741"/>
      <c r="U62" s="741"/>
      <c r="V62" s="741"/>
      <c r="W62" s="741"/>
      <c r="X62" s="741"/>
      <c r="Y62" s="741"/>
      <c r="Z62" s="741"/>
      <c r="AA62" s="741"/>
      <c r="AB62" s="741"/>
      <c r="AC62" s="741"/>
      <c r="AD62" s="741"/>
      <c r="AE62" s="741"/>
      <c r="AF62" s="741"/>
      <c r="AG62" s="741"/>
      <c r="AH62" s="741"/>
      <c r="AI62" s="741"/>
      <c r="AJ62" s="741"/>
      <c r="AK62" s="741"/>
      <c r="AL62" s="741"/>
      <c r="AM62" s="741"/>
      <c r="AN62" s="741"/>
      <c r="AO62" s="741"/>
      <c r="AP62" s="741"/>
      <c r="AQ62" s="741"/>
      <c r="AR62" s="741"/>
    </row>
    <row r="63" spans="1:44">
      <c r="A63" s="1168" t="s">
        <v>1617</v>
      </c>
      <c r="B63" s="1168"/>
      <c r="C63" s="1168"/>
      <c r="D63" s="1168"/>
      <c r="E63" s="1168"/>
      <c r="F63" s="1168"/>
      <c r="G63" s="1168"/>
      <c r="H63" s="1168"/>
      <c r="I63" s="1168"/>
      <c r="J63" s="1168"/>
      <c r="K63" s="1168"/>
      <c r="L63" s="741"/>
      <c r="M63" s="741"/>
      <c r="N63" s="741"/>
      <c r="O63" s="741"/>
      <c r="P63" s="741"/>
      <c r="Q63" s="741"/>
      <c r="R63" s="741"/>
      <c r="S63" s="741"/>
      <c r="T63" s="741"/>
      <c r="U63" s="741"/>
      <c r="V63" s="741"/>
      <c r="W63" s="741"/>
      <c r="X63" s="741"/>
      <c r="Y63" s="741"/>
      <c r="Z63" s="741"/>
      <c r="AA63" s="741"/>
      <c r="AB63" s="741"/>
      <c r="AC63" s="741"/>
      <c r="AD63" s="741"/>
      <c r="AE63" s="741"/>
      <c r="AF63" s="741"/>
      <c r="AG63" s="741"/>
      <c r="AH63" s="741"/>
      <c r="AI63" s="741"/>
      <c r="AJ63" s="741"/>
      <c r="AK63" s="741"/>
      <c r="AL63" s="741"/>
      <c r="AM63" s="741"/>
      <c r="AN63" s="741"/>
      <c r="AO63" s="741"/>
      <c r="AP63" s="741"/>
      <c r="AQ63" s="741"/>
      <c r="AR63" s="741"/>
    </row>
    <row r="64" spans="1:44">
      <c r="A64" s="1168" t="s">
        <v>1618</v>
      </c>
      <c r="B64" s="1168"/>
      <c r="C64" s="1168"/>
      <c r="D64" s="1168"/>
      <c r="E64" s="1168"/>
      <c r="F64" s="1168"/>
      <c r="G64" s="1168"/>
      <c r="H64" s="1168"/>
      <c r="I64" s="1168"/>
      <c r="J64" s="1168"/>
      <c r="K64" s="1168"/>
      <c r="L64" s="741"/>
      <c r="M64" s="741"/>
      <c r="N64" s="741"/>
      <c r="O64" s="741"/>
      <c r="P64" s="741"/>
      <c r="Q64" s="741"/>
      <c r="R64" s="741"/>
      <c r="S64" s="741"/>
      <c r="T64" s="741"/>
      <c r="U64" s="741"/>
      <c r="V64" s="741"/>
      <c r="W64" s="741"/>
      <c r="X64" s="741"/>
      <c r="Y64" s="741"/>
      <c r="Z64" s="741"/>
      <c r="AA64" s="741"/>
      <c r="AB64" s="741"/>
      <c r="AC64" s="741"/>
      <c r="AD64" s="741"/>
      <c r="AE64" s="741"/>
      <c r="AF64" s="741"/>
      <c r="AG64" s="741"/>
      <c r="AH64" s="741"/>
      <c r="AI64" s="741"/>
      <c r="AJ64" s="741"/>
      <c r="AK64" s="741"/>
      <c r="AL64" s="741"/>
      <c r="AM64" s="741"/>
      <c r="AN64" s="741"/>
      <c r="AO64" s="741"/>
      <c r="AP64" s="741"/>
      <c r="AQ64" s="741"/>
      <c r="AR64" s="741"/>
    </row>
    <row r="65" spans="1:44">
      <c r="A65" s="741"/>
      <c r="B65" s="741"/>
      <c r="C65" s="741"/>
      <c r="D65" s="741"/>
      <c r="E65" s="741"/>
      <c r="F65" s="741"/>
      <c r="G65" s="741"/>
      <c r="H65" s="741"/>
      <c r="I65" s="741"/>
      <c r="J65" s="741"/>
      <c r="K65" s="741"/>
      <c r="L65" s="741"/>
      <c r="M65" s="741"/>
      <c r="N65" s="741"/>
      <c r="O65" s="741"/>
      <c r="P65" s="741"/>
      <c r="Q65" s="741"/>
      <c r="R65" s="741"/>
      <c r="S65" s="741"/>
      <c r="T65" s="741"/>
      <c r="U65" s="741"/>
      <c r="V65" s="741"/>
      <c r="W65" s="741"/>
      <c r="X65" s="741"/>
      <c r="Y65" s="741"/>
      <c r="Z65" s="741"/>
      <c r="AA65" s="741"/>
      <c r="AB65" s="741"/>
      <c r="AC65" s="741"/>
      <c r="AD65" s="741"/>
      <c r="AE65" s="741"/>
      <c r="AF65" s="741"/>
      <c r="AG65" s="741"/>
      <c r="AH65" s="741"/>
      <c r="AI65" s="741"/>
      <c r="AJ65" s="741"/>
      <c r="AK65" s="741"/>
      <c r="AL65" s="741"/>
      <c r="AM65" s="741"/>
      <c r="AN65" s="741"/>
      <c r="AO65" s="741"/>
      <c r="AP65" s="741"/>
      <c r="AQ65" s="741"/>
      <c r="AR65" s="741"/>
    </row>
    <row r="66" spans="1:44">
      <c r="A66" s="741"/>
      <c r="B66" s="741"/>
      <c r="C66" s="741"/>
      <c r="D66" s="741"/>
      <c r="E66" s="741"/>
      <c r="F66" s="741"/>
      <c r="G66" s="741"/>
      <c r="H66" s="741"/>
      <c r="I66" s="741"/>
      <c r="J66" s="741"/>
      <c r="K66" s="741"/>
      <c r="L66" s="741"/>
      <c r="M66" s="741"/>
      <c r="N66" s="741"/>
      <c r="O66" s="741"/>
      <c r="P66" s="741"/>
      <c r="Q66" s="741"/>
      <c r="R66" s="741"/>
      <c r="S66" s="741"/>
      <c r="T66" s="741"/>
      <c r="U66" s="741"/>
      <c r="V66" s="741"/>
      <c r="W66" s="741"/>
      <c r="X66" s="741"/>
      <c r="Y66" s="741"/>
      <c r="Z66" s="741"/>
      <c r="AA66" s="741"/>
      <c r="AB66" s="741"/>
      <c r="AC66" s="741"/>
      <c r="AD66" s="741"/>
      <c r="AE66" s="741"/>
      <c r="AF66" s="741"/>
      <c r="AG66" s="741"/>
      <c r="AH66" s="741"/>
      <c r="AI66" s="741"/>
      <c r="AJ66" s="741"/>
      <c r="AK66" s="741"/>
      <c r="AL66" s="741"/>
      <c r="AM66" s="741"/>
      <c r="AN66" s="741"/>
      <c r="AO66" s="741"/>
      <c r="AP66" s="741"/>
      <c r="AQ66" s="741"/>
      <c r="AR66" s="741"/>
    </row>
    <row r="67" spans="1:44">
      <c r="A67" s="754"/>
      <c r="B67" s="741"/>
      <c r="C67" s="741"/>
      <c r="D67" s="741"/>
      <c r="E67" s="741"/>
      <c r="F67" s="741"/>
      <c r="G67" s="741"/>
      <c r="H67" s="741"/>
      <c r="I67" s="741"/>
      <c r="J67" s="741"/>
      <c r="K67" s="741"/>
      <c r="L67" s="741"/>
      <c r="M67" s="741"/>
      <c r="N67" s="741"/>
      <c r="O67" s="741"/>
      <c r="P67" s="741"/>
      <c r="Q67" s="741"/>
      <c r="R67" s="741"/>
      <c r="S67" s="741"/>
      <c r="T67" s="741"/>
      <c r="U67" s="741"/>
      <c r="V67" s="741"/>
      <c r="W67" s="741"/>
      <c r="X67" s="741"/>
      <c r="Y67" s="741"/>
      <c r="Z67" s="741"/>
      <c r="AA67" s="741"/>
      <c r="AB67" s="741"/>
      <c r="AC67" s="741"/>
      <c r="AD67" s="741"/>
      <c r="AE67" s="741"/>
      <c r="AF67" s="741"/>
      <c r="AG67" s="741"/>
      <c r="AH67" s="741"/>
      <c r="AI67" s="741"/>
      <c r="AJ67" s="741"/>
      <c r="AK67" s="741"/>
      <c r="AL67" s="741"/>
      <c r="AM67" s="741"/>
      <c r="AN67" s="741"/>
      <c r="AO67" s="741"/>
      <c r="AP67" s="741"/>
      <c r="AQ67" s="741"/>
      <c r="AR67" s="741"/>
    </row>
    <row r="68" spans="1:44">
      <c r="A68" s="741"/>
      <c r="B68" s="741"/>
      <c r="C68" s="741"/>
      <c r="D68" s="741"/>
      <c r="E68" s="741"/>
      <c r="F68" s="741"/>
      <c r="G68" s="741"/>
      <c r="H68" s="741"/>
      <c r="I68" s="741"/>
      <c r="J68" s="741"/>
      <c r="K68" s="741"/>
      <c r="L68" s="741"/>
      <c r="M68" s="741"/>
      <c r="N68" s="741"/>
      <c r="O68" s="741"/>
      <c r="P68" s="741"/>
      <c r="Q68" s="741"/>
      <c r="R68" s="741"/>
      <c r="S68" s="741"/>
      <c r="T68" s="741"/>
      <c r="U68" s="741"/>
      <c r="V68" s="741"/>
      <c r="W68" s="741"/>
      <c r="X68" s="741"/>
      <c r="Y68" s="741"/>
      <c r="Z68" s="741"/>
      <c r="AA68" s="741"/>
      <c r="AB68" s="741"/>
      <c r="AC68" s="741"/>
      <c r="AD68" s="741"/>
      <c r="AE68" s="741"/>
      <c r="AF68" s="741"/>
      <c r="AG68" s="741"/>
      <c r="AH68" s="741"/>
      <c r="AI68" s="741"/>
      <c r="AJ68" s="741"/>
      <c r="AK68" s="741"/>
      <c r="AL68" s="741"/>
      <c r="AM68" s="741"/>
      <c r="AN68" s="741"/>
      <c r="AO68" s="741"/>
      <c r="AP68" s="741"/>
      <c r="AQ68" s="741"/>
      <c r="AR68" s="741"/>
    </row>
    <row r="69" spans="1:44">
      <c r="A69" s="741"/>
      <c r="B69" s="741"/>
      <c r="C69" s="741"/>
      <c r="D69" s="741"/>
      <c r="E69" s="741"/>
      <c r="F69" s="741"/>
      <c r="G69" s="741"/>
      <c r="H69" s="741"/>
      <c r="I69" s="741"/>
      <c r="J69" s="741"/>
      <c r="K69" s="741"/>
      <c r="L69" s="741"/>
      <c r="M69" s="741"/>
      <c r="N69" s="741"/>
      <c r="O69" s="741"/>
      <c r="P69" s="741"/>
      <c r="Q69" s="741"/>
      <c r="R69" s="741"/>
      <c r="S69" s="741"/>
      <c r="T69" s="741"/>
      <c r="U69" s="741"/>
      <c r="V69" s="741"/>
      <c r="W69" s="741"/>
      <c r="X69" s="741"/>
      <c r="Y69" s="741"/>
      <c r="Z69" s="741"/>
      <c r="AA69" s="741"/>
      <c r="AB69" s="741"/>
      <c r="AC69" s="741"/>
      <c r="AD69" s="741"/>
      <c r="AE69" s="741"/>
      <c r="AF69" s="741"/>
      <c r="AG69" s="741"/>
      <c r="AH69" s="741"/>
      <c r="AI69" s="741"/>
      <c r="AJ69" s="741"/>
      <c r="AK69" s="741"/>
      <c r="AL69" s="741"/>
      <c r="AM69" s="741"/>
      <c r="AN69" s="741"/>
      <c r="AO69" s="741"/>
      <c r="AP69" s="741"/>
      <c r="AQ69" s="741"/>
      <c r="AR69" s="741"/>
    </row>
    <row r="70" spans="1:44">
      <c r="A70" s="741"/>
      <c r="B70" s="741"/>
      <c r="C70" s="741"/>
      <c r="D70" s="741"/>
      <c r="E70" s="741"/>
      <c r="F70" s="741"/>
      <c r="G70" s="741"/>
      <c r="H70" s="741"/>
      <c r="I70" s="741"/>
      <c r="J70" s="741"/>
      <c r="K70" s="741"/>
      <c r="L70" s="741"/>
      <c r="M70" s="741"/>
      <c r="N70" s="741"/>
      <c r="O70" s="741"/>
      <c r="P70" s="741"/>
      <c r="Q70" s="741"/>
      <c r="R70" s="741"/>
      <c r="S70" s="741"/>
      <c r="T70" s="741"/>
      <c r="U70" s="741"/>
      <c r="V70" s="741"/>
      <c r="W70" s="741"/>
      <c r="X70" s="741"/>
      <c r="Y70" s="741"/>
      <c r="Z70" s="741"/>
      <c r="AA70" s="741"/>
      <c r="AB70" s="741"/>
      <c r="AC70" s="741"/>
      <c r="AD70" s="741"/>
      <c r="AE70" s="741"/>
      <c r="AF70" s="741"/>
      <c r="AG70" s="741"/>
      <c r="AH70" s="741"/>
      <c r="AI70" s="741"/>
      <c r="AJ70" s="741"/>
      <c r="AK70" s="741"/>
      <c r="AL70" s="741"/>
      <c r="AM70" s="741"/>
      <c r="AN70" s="741"/>
      <c r="AO70" s="741"/>
      <c r="AP70" s="741"/>
      <c r="AQ70" s="741"/>
      <c r="AR70" s="741"/>
    </row>
    <row r="71" spans="1:44">
      <c r="A71" s="741"/>
      <c r="B71" s="741"/>
      <c r="C71" s="741"/>
      <c r="D71" s="741"/>
      <c r="E71" s="741"/>
      <c r="F71" s="741"/>
      <c r="G71" s="741"/>
      <c r="H71" s="741"/>
      <c r="I71" s="741"/>
      <c r="J71" s="741"/>
      <c r="K71" s="741"/>
      <c r="L71" s="741"/>
      <c r="M71" s="741"/>
      <c r="N71" s="741"/>
      <c r="O71" s="741"/>
      <c r="P71" s="741"/>
      <c r="Q71" s="741"/>
      <c r="R71" s="741"/>
      <c r="S71" s="741"/>
      <c r="T71" s="741"/>
      <c r="U71" s="741"/>
      <c r="V71" s="741"/>
      <c r="W71" s="741"/>
      <c r="X71" s="741"/>
      <c r="Y71" s="741"/>
      <c r="Z71" s="741"/>
      <c r="AA71" s="741"/>
      <c r="AB71" s="741"/>
      <c r="AC71" s="741"/>
      <c r="AD71" s="741"/>
      <c r="AE71" s="741"/>
      <c r="AF71" s="741"/>
      <c r="AG71" s="741"/>
      <c r="AH71" s="741"/>
      <c r="AI71" s="741"/>
      <c r="AJ71" s="741"/>
      <c r="AK71" s="741"/>
      <c r="AL71" s="741"/>
      <c r="AM71" s="741"/>
      <c r="AN71" s="741"/>
      <c r="AO71" s="741"/>
      <c r="AP71" s="741"/>
      <c r="AQ71" s="741"/>
      <c r="AR71" s="741"/>
    </row>
    <row r="72" spans="1:44">
      <c r="A72" s="741"/>
      <c r="B72" s="741"/>
      <c r="C72" s="741"/>
      <c r="D72" s="741"/>
      <c r="E72" s="741"/>
      <c r="F72" s="741"/>
      <c r="G72" s="741"/>
      <c r="H72" s="741"/>
      <c r="I72" s="741"/>
      <c r="J72" s="741"/>
      <c r="K72" s="741"/>
      <c r="L72" s="741"/>
      <c r="M72" s="741"/>
      <c r="N72" s="741"/>
      <c r="O72" s="741"/>
      <c r="P72" s="741"/>
      <c r="Q72" s="741"/>
      <c r="R72" s="741"/>
      <c r="S72" s="741"/>
      <c r="T72" s="741"/>
      <c r="U72" s="741"/>
      <c r="V72" s="741"/>
      <c r="W72" s="741"/>
      <c r="X72" s="741"/>
      <c r="Y72" s="741"/>
      <c r="Z72" s="741"/>
      <c r="AA72" s="741"/>
      <c r="AB72" s="741"/>
      <c r="AC72" s="741"/>
      <c r="AD72" s="741"/>
      <c r="AE72" s="741"/>
      <c r="AF72" s="741"/>
      <c r="AG72" s="741"/>
      <c r="AH72" s="741"/>
      <c r="AI72" s="741"/>
      <c r="AJ72" s="741"/>
      <c r="AK72" s="741"/>
      <c r="AL72" s="741"/>
      <c r="AM72" s="741"/>
      <c r="AN72" s="741"/>
      <c r="AO72" s="741"/>
      <c r="AP72" s="741"/>
      <c r="AQ72" s="741"/>
      <c r="AR72" s="741"/>
    </row>
    <row r="73" spans="1:44">
      <c r="A73" s="741"/>
      <c r="B73" s="741"/>
      <c r="C73" s="741"/>
      <c r="D73" s="741"/>
      <c r="E73" s="741"/>
      <c r="F73" s="741"/>
      <c r="G73" s="741"/>
      <c r="H73" s="741"/>
      <c r="I73" s="741"/>
      <c r="J73" s="741"/>
      <c r="K73" s="741"/>
      <c r="L73" s="741"/>
      <c r="M73" s="741"/>
      <c r="N73" s="741"/>
      <c r="O73" s="741"/>
      <c r="P73" s="741"/>
      <c r="Q73" s="741"/>
      <c r="R73" s="741"/>
      <c r="S73" s="741"/>
      <c r="T73" s="741"/>
      <c r="U73" s="741"/>
      <c r="V73" s="741"/>
      <c r="W73" s="741"/>
      <c r="X73" s="741"/>
      <c r="Y73" s="741"/>
      <c r="Z73" s="741"/>
      <c r="AA73" s="741"/>
      <c r="AB73" s="741"/>
      <c r="AC73" s="741"/>
      <c r="AD73" s="741"/>
      <c r="AE73" s="741"/>
      <c r="AF73" s="741"/>
      <c r="AG73" s="741"/>
      <c r="AH73" s="741"/>
      <c r="AI73" s="741"/>
      <c r="AJ73" s="741"/>
      <c r="AK73" s="741"/>
      <c r="AL73" s="741"/>
      <c r="AM73" s="741"/>
      <c r="AN73" s="741"/>
      <c r="AO73" s="741"/>
      <c r="AP73" s="741"/>
      <c r="AQ73" s="741"/>
      <c r="AR73" s="741"/>
    </row>
    <row r="74" spans="1:44">
      <c r="A74" s="741"/>
      <c r="B74" s="741"/>
      <c r="C74" s="741"/>
      <c r="D74" s="741"/>
      <c r="E74" s="741"/>
      <c r="F74" s="741"/>
      <c r="G74" s="741"/>
      <c r="H74" s="741"/>
      <c r="I74" s="741"/>
      <c r="J74" s="741"/>
      <c r="K74" s="741"/>
      <c r="L74" s="741"/>
      <c r="M74" s="741"/>
      <c r="N74" s="741"/>
      <c r="O74" s="741"/>
      <c r="P74" s="741"/>
      <c r="Q74" s="741"/>
      <c r="R74" s="741"/>
      <c r="S74" s="741"/>
      <c r="T74" s="741"/>
      <c r="U74" s="741"/>
      <c r="V74" s="741"/>
      <c r="W74" s="741"/>
      <c r="X74" s="741"/>
      <c r="Y74" s="741"/>
      <c r="Z74" s="741"/>
      <c r="AA74" s="741"/>
      <c r="AB74" s="741"/>
      <c r="AC74" s="741"/>
      <c r="AD74" s="741"/>
      <c r="AE74" s="741"/>
      <c r="AF74" s="741"/>
      <c r="AG74" s="741"/>
      <c r="AH74" s="741"/>
      <c r="AI74" s="741"/>
      <c r="AJ74" s="741"/>
      <c r="AK74" s="741"/>
      <c r="AL74" s="741"/>
      <c r="AM74" s="741"/>
      <c r="AN74" s="741"/>
      <c r="AO74" s="741"/>
      <c r="AP74" s="741"/>
      <c r="AQ74" s="741"/>
      <c r="AR74" s="741"/>
    </row>
    <row r="75" spans="1:44">
      <c r="A75" s="741"/>
      <c r="B75" s="741"/>
      <c r="C75" s="741"/>
      <c r="D75" s="741"/>
      <c r="E75" s="741"/>
      <c r="F75" s="741"/>
      <c r="G75" s="741"/>
      <c r="H75" s="741"/>
      <c r="I75" s="741"/>
      <c r="J75" s="741"/>
      <c r="K75" s="741"/>
      <c r="L75" s="741"/>
      <c r="M75" s="741"/>
      <c r="N75" s="741"/>
      <c r="O75" s="741"/>
      <c r="P75" s="741"/>
      <c r="Q75" s="741"/>
      <c r="R75" s="741"/>
      <c r="S75" s="741"/>
      <c r="T75" s="741"/>
      <c r="U75" s="741"/>
      <c r="V75" s="741"/>
      <c r="W75" s="741"/>
      <c r="X75" s="741"/>
      <c r="Y75" s="741"/>
      <c r="Z75" s="741"/>
      <c r="AA75" s="741"/>
      <c r="AB75" s="741"/>
      <c r="AC75" s="741"/>
      <c r="AD75" s="741"/>
      <c r="AE75" s="741"/>
      <c r="AF75" s="741"/>
      <c r="AG75" s="741"/>
      <c r="AH75" s="741"/>
      <c r="AI75" s="741"/>
      <c r="AJ75" s="741"/>
      <c r="AK75" s="741"/>
      <c r="AL75" s="741"/>
      <c r="AM75" s="741"/>
      <c r="AN75" s="741"/>
      <c r="AO75" s="741"/>
      <c r="AP75" s="741"/>
      <c r="AQ75" s="741"/>
      <c r="AR75" s="741"/>
    </row>
    <row r="76" spans="1:44">
      <c r="A76" s="741"/>
      <c r="B76" s="741"/>
      <c r="C76" s="741"/>
      <c r="D76" s="741"/>
      <c r="E76" s="741"/>
      <c r="F76" s="741"/>
      <c r="G76" s="741"/>
      <c r="H76" s="741"/>
      <c r="I76" s="741"/>
      <c r="J76" s="741"/>
      <c r="K76" s="741"/>
      <c r="L76" s="741"/>
      <c r="M76" s="741"/>
      <c r="N76" s="741"/>
      <c r="O76" s="741"/>
      <c r="P76" s="741"/>
      <c r="Q76" s="741"/>
      <c r="R76" s="741"/>
      <c r="S76" s="741"/>
      <c r="T76" s="741"/>
      <c r="U76" s="741"/>
      <c r="V76" s="741"/>
      <c r="W76" s="741"/>
      <c r="X76" s="741"/>
      <c r="Y76" s="741"/>
      <c r="Z76" s="741"/>
      <c r="AA76" s="741"/>
      <c r="AB76" s="741"/>
      <c r="AC76" s="741"/>
      <c r="AD76" s="741"/>
      <c r="AE76" s="741"/>
      <c r="AF76" s="741"/>
      <c r="AG76" s="741"/>
      <c r="AH76" s="741"/>
      <c r="AI76" s="741"/>
      <c r="AJ76" s="741"/>
      <c r="AK76" s="741"/>
      <c r="AL76" s="741"/>
      <c r="AM76" s="741"/>
      <c r="AN76" s="741"/>
      <c r="AO76" s="741"/>
      <c r="AP76" s="741"/>
      <c r="AQ76" s="741"/>
      <c r="AR76" s="741"/>
    </row>
    <row r="77" spans="1:44">
      <c r="A77" s="741"/>
      <c r="B77" s="741"/>
      <c r="C77" s="741"/>
      <c r="D77" s="741"/>
      <c r="E77" s="741"/>
      <c r="F77" s="741"/>
      <c r="G77" s="741"/>
      <c r="H77" s="741"/>
      <c r="I77" s="741"/>
      <c r="J77" s="741"/>
      <c r="K77" s="741"/>
      <c r="L77" s="741"/>
      <c r="M77" s="741"/>
      <c r="N77" s="741"/>
      <c r="O77" s="741"/>
      <c r="P77" s="741"/>
      <c r="Q77" s="741"/>
      <c r="R77" s="741"/>
      <c r="S77" s="741"/>
      <c r="T77" s="741"/>
      <c r="U77" s="741"/>
      <c r="V77" s="741"/>
      <c r="W77" s="741"/>
      <c r="X77" s="741"/>
      <c r="Y77" s="741"/>
      <c r="Z77" s="741"/>
      <c r="AA77" s="741"/>
      <c r="AB77" s="741"/>
      <c r="AC77" s="741"/>
      <c r="AD77" s="741"/>
      <c r="AE77" s="741"/>
      <c r="AF77" s="741"/>
      <c r="AG77" s="741"/>
      <c r="AH77" s="741"/>
      <c r="AI77" s="741"/>
      <c r="AJ77" s="741"/>
      <c r="AK77" s="741"/>
      <c r="AL77" s="741"/>
      <c r="AM77" s="741"/>
      <c r="AN77" s="741"/>
      <c r="AO77" s="741"/>
      <c r="AP77" s="741"/>
      <c r="AQ77" s="741"/>
      <c r="AR77" s="741"/>
    </row>
    <row r="78" spans="1:44">
      <c r="A78" s="741"/>
      <c r="B78" s="741"/>
      <c r="C78" s="741"/>
      <c r="D78" s="741"/>
      <c r="E78" s="741"/>
      <c r="F78" s="741"/>
      <c r="G78" s="741"/>
      <c r="H78" s="741"/>
      <c r="I78" s="741"/>
      <c r="J78" s="741"/>
      <c r="K78" s="741"/>
      <c r="L78" s="741"/>
      <c r="M78" s="741"/>
      <c r="N78" s="741"/>
      <c r="O78" s="741"/>
      <c r="P78" s="741"/>
      <c r="Q78" s="741"/>
      <c r="R78" s="741"/>
      <c r="S78" s="741"/>
      <c r="T78" s="741"/>
      <c r="U78" s="741"/>
      <c r="V78" s="741"/>
      <c r="W78" s="741"/>
      <c r="X78" s="741"/>
      <c r="Y78" s="741"/>
      <c r="Z78" s="741"/>
      <c r="AA78" s="741"/>
      <c r="AB78" s="741"/>
      <c r="AC78" s="741"/>
      <c r="AD78" s="741"/>
      <c r="AE78" s="741"/>
      <c r="AF78" s="741"/>
      <c r="AG78" s="741"/>
      <c r="AH78" s="741"/>
      <c r="AI78" s="741"/>
      <c r="AJ78" s="741"/>
      <c r="AK78" s="741"/>
      <c r="AL78" s="741"/>
      <c r="AM78" s="741"/>
      <c r="AN78" s="741"/>
      <c r="AO78" s="741"/>
      <c r="AP78" s="741"/>
      <c r="AQ78" s="741"/>
      <c r="AR78" s="741"/>
    </row>
    <row r="79" spans="1:44">
      <c r="A79" s="741"/>
      <c r="B79" s="741"/>
      <c r="C79" s="741"/>
      <c r="D79" s="741"/>
      <c r="E79" s="741"/>
      <c r="F79" s="741"/>
      <c r="G79" s="741"/>
      <c r="H79" s="741"/>
      <c r="I79" s="741"/>
      <c r="J79" s="741"/>
      <c r="K79" s="741"/>
      <c r="L79" s="741"/>
      <c r="M79" s="741"/>
      <c r="N79" s="741"/>
      <c r="O79" s="741"/>
      <c r="P79" s="741"/>
      <c r="Q79" s="741"/>
      <c r="R79" s="741"/>
      <c r="S79" s="741"/>
      <c r="T79" s="741"/>
      <c r="U79" s="741"/>
      <c r="V79" s="741"/>
      <c r="W79" s="741"/>
      <c r="X79" s="741"/>
      <c r="Y79" s="741"/>
      <c r="Z79" s="741"/>
      <c r="AA79" s="741"/>
      <c r="AB79" s="741"/>
      <c r="AC79" s="741"/>
      <c r="AD79" s="741"/>
      <c r="AE79" s="741"/>
      <c r="AF79" s="741"/>
      <c r="AG79" s="741"/>
      <c r="AH79" s="741"/>
      <c r="AI79" s="741"/>
      <c r="AJ79" s="741"/>
      <c r="AK79" s="741"/>
      <c r="AL79" s="741"/>
      <c r="AM79" s="741"/>
      <c r="AN79" s="741"/>
      <c r="AO79" s="741"/>
      <c r="AP79" s="741"/>
      <c r="AQ79" s="741"/>
      <c r="AR79" s="741"/>
    </row>
    <row r="80" spans="1:44">
      <c r="A80" s="741"/>
      <c r="B80" s="741"/>
      <c r="C80" s="741"/>
      <c r="D80" s="741"/>
      <c r="E80" s="741"/>
      <c r="F80" s="741"/>
      <c r="G80" s="741"/>
      <c r="H80" s="741"/>
      <c r="I80" s="741"/>
      <c r="J80" s="741"/>
      <c r="K80" s="741"/>
      <c r="L80" s="741"/>
      <c r="M80" s="741"/>
      <c r="N80" s="741"/>
      <c r="O80" s="741"/>
      <c r="P80" s="741"/>
      <c r="Q80" s="741"/>
      <c r="R80" s="741"/>
      <c r="S80" s="741"/>
      <c r="T80" s="741"/>
      <c r="U80" s="741"/>
      <c r="V80" s="741"/>
      <c r="W80" s="741"/>
      <c r="X80" s="741"/>
      <c r="Y80" s="741"/>
      <c r="Z80" s="741"/>
      <c r="AA80" s="741"/>
      <c r="AB80" s="741"/>
      <c r="AC80" s="741"/>
      <c r="AD80" s="741"/>
      <c r="AE80" s="741"/>
      <c r="AF80" s="741"/>
      <c r="AG80" s="741"/>
      <c r="AH80" s="741"/>
      <c r="AI80" s="741"/>
      <c r="AJ80" s="741"/>
      <c r="AK80" s="741"/>
      <c r="AL80" s="741"/>
      <c r="AM80" s="741"/>
      <c r="AN80" s="741"/>
      <c r="AO80" s="741"/>
      <c r="AP80" s="741"/>
      <c r="AQ80" s="741"/>
      <c r="AR80" s="741"/>
    </row>
    <row r="81" spans="1:44">
      <c r="A81" s="741"/>
      <c r="B81" s="741"/>
      <c r="C81" s="741"/>
      <c r="D81" s="741"/>
      <c r="E81" s="741"/>
      <c r="F81" s="741"/>
      <c r="G81" s="741"/>
      <c r="H81" s="741"/>
      <c r="I81" s="741"/>
      <c r="J81" s="741"/>
      <c r="K81" s="741"/>
      <c r="L81" s="741"/>
      <c r="M81" s="741"/>
      <c r="N81" s="741"/>
      <c r="O81" s="741"/>
      <c r="P81" s="741"/>
      <c r="Q81" s="741"/>
      <c r="R81" s="741"/>
      <c r="S81" s="741"/>
      <c r="T81" s="741"/>
      <c r="U81" s="741"/>
      <c r="V81" s="741"/>
      <c r="W81" s="741"/>
      <c r="X81" s="741"/>
      <c r="Y81" s="741"/>
      <c r="Z81" s="741"/>
      <c r="AA81" s="741"/>
      <c r="AB81" s="741"/>
      <c r="AC81" s="741"/>
      <c r="AD81" s="741"/>
      <c r="AE81" s="741"/>
      <c r="AF81" s="741"/>
      <c r="AG81" s="741"/>
      <c r="AH81" s="741"/>
      <c r="AI81" s="741"/>
      <c r="AJ81" s="741"/>
      <c r="AK81" s="741"/>
      <c r="AL81" s="741"/>
      <c r="AM81" s="741"/>
      <c r="AN81" s="741"/>
      <c r="AO81" s="741"/>
      <c r="AP81" s="741"/>
      <c r="AQ81" s="741"/>
      <c r="AR81" s="741"/>
    </row>
    <row r="82" spans="1:44">
      <c r="A82" s="741"/>
      <c r="B82" s="741"/>
      <c r="C82" s="741"/>
      <c r="D82" s="741"/>
      <c r="E82" s="741"/>
      <c r="F82" s="741"/>
      <c r="G82" s="741"/>
      <c r="H82" s="741"/>
      <c r="I82" s="741"/>
      <c r="J82" s="741"/>
      <c r="K82" s="741"/>
      <c r="L82" s="741"/>
      <c r="M82" s="741"/>
      <c r="N82" s="741"/>
      <c r="O82" s="741"/>
      <c r="P82" s="741"/>
      <c r="Q82" s="741"/>
      <c r="R82" s="741"/>
      <c r="S82" s="741"/>
      <c r="T82" s="741"/>
      <c r="U82" s="741"/>
      <c r="V82" s="741"/>
      <c r="W82" s="741"/>
      <c r="X82" s="741"/>
      <c r="Y82" s="741"/>
      <c r="Z82" s="741"/>
      <c r="AA82" s="741"/>
      <c r="AB82" s="741"/>
      <c r="AC82" s="741"/>
      <c r="AD82" s="741"/>
      <c r="AE82" s="741"/>
      <c r="AF82" s="741"/>
      <c r="AG82" s="741"/>
      <c r="AH82" s="741"/>
      <c r="AI82" s="741"/>
      <c r="AJ82" s="741"/>
      <c r="AK82" s="741"/>
      <c r="AL82" s="741"/>
      <c r="AM82" s="741"/>
      <c r="AN82" s="741"/>
      <c r="AO82" s="741"/>
      <c r="AP82" s="741"/>
      <c r="AQ82" s="741"/>
      <c r="AR82" s="741"/>
    </row>
    <row r="83" spans="1:44">
      <c r="A83" s="741"/>
      <c r="B83" s="741"/>
      <c r="C83" s="741"/>
      <c r="D83" s="741"/>
      <c r="E83" s="741"/>
      <c r="F83" s="741"/>
      <c r="G83" s="741"/>
      <c r="H83" s="741"/>
      <c r="I83" s="741"/>
      <c r="J83" s="741"/>
      <c r="K83" s="741"/>
      <c r="L83" s="741"/>
      <c r="M83" s="741"/>
      <c r="N83" s="741"/>
      <c r="O83" s="741"/>
      <c r="P83" s="741"/>
      <c r="Q83" s="741"/>
      <c r="R83" s="741"/>
      <c r="S83" s="741"/>
      <c r="T83" s="741"/>
      <c r="U83" s="741"/>
      <c r="V83" s="741"/>
      <c r="W83" s="741"/>
      <c r="X83" s="741"/>
      <c r="Y83" s="741"/>
      <c r="Z83" s="741"/>
      <c r="AA83" s="741"/>
      <c r="AB83" s="741"/>
      <c r="AC83" s="741"/>
      <c r="AD83" s="741"/>
      <c r="AE83" s="741"/>
      <c r="AF83" s="741"/>
      <c r="AG83" s="741"/>
      <c r="AH83" s="741"/>
      <c r="AI83" s="741"/>
      <c r="AJ83" s="741"/>
      <c r="AK83" s="741"/>
      <c r="AL83" s="741"/>
      <c r="AM83" s="741"/>
      <c r="AN83" s="741"/>
      <c r="AO83" s="741"/>
      <c r="AP83" s="741"/>
      <c r="AQ83" s="741"/>
      <c r="AR83" s="741"/>
    </row>
    <row r="84" spans="1:44">
      <c r="A84" s="741"/>
      <c r="B84" s="741"/>
      <c r="C84" s="741"/>
      <c r="D84" s="741"/>
      <c r="E84" s="741"/>
      <c r="F84" s="741"/>
      <c r="G84" s="741"/>
      <c r="H84" s="741"/>
      <c r="I84" s="741"/>
      <c r="J84" s="741"/>
      <c r="K84" s="741"/>
      <c r="L84" s="741"/>
      <c r="M84" s="741"/>
      <c r="N84" s="741"/>
      <c r="O84" s="741"/>
      <c r="P84" s="741"/>
      <c r="Q84" s="741"/>
      <c r="R84" s="741"/>
      <c r="S84" s="741"/>
      <c r="T84" s="741"/>
      <c r="U84" s="741"/>
      <c r="V84" s="741"/>
      <c r="W84" s="741"/>
      <c r="X84" s="741"/>
      <c r="Y84" s="741"/>
      <c r="Z84" s="741"/>
      <c r="AA84" s="741"/>
      <c r="AB84" s="741"/>
      <c r="AC84" s="741"/>
      <c r="AD84" s="741"/>
      <c r="AE84" s="741"/>
      <c r="AF84" s="741"/>
      <c r="AG84" s="741"/>
      <c r="AH84" s="741"/>
      <c r="AI84" s="741"/>
      <c r="AJ84" s="741"/>
      <c r="AK84" s="741"/>
      <c r="AL84" s="741"/>
      <c r="AM84" s="741"/>
      <c r="AN84" s="741"/>
      <c r="AO84" s="741"/>
      <c r="AP84" s="741"/>
      <c r="AQ84" s="741"/>
      <c r="AR84" s="741"/>
    </row>
    <row r="85" spans="1:44">
      <c r="A85" s="741"/>
      <c r="B85" s="741"/>
      <c r="C85" s="741"/>
      <c r="D85" s="741"/>
      <c r="E85" s="741"/>
      <c r="F85" s="741"/>
      <c r="G85" s="741"/>
      <c r="H85" s="741"/>
      <c r="I85" s="741"/>
      <c r="J85" s="741"/>
      <c r="K85" s="741"/>
      <c r="L85" s="741"/>
      <c r="M85" s="741"/>
      <c r="N85" s="741"/>
      <c r="O85" s="741"/>
      <c r="P85" s="741"/>
      <c r="Q85" s="741"/>
      <c r="R85" s="741"/>
      <c r="S85" s="741"/>
      <c r="T85" s="741"/>
      <c r="U85" s="741"/>
      <c r="V85" s="741"/>
      <c r="W85" s="741"/>
      <c r="X85" s="741"/>
      <c r="Y85" s="741"/>
      <c r="Z85" s="741"/>
      <c r="AA85" s="741"/>
      <c r="AB85" s="741"/>
      <c r="AC85" s="741"/>
      <c r="AD85" s="741"/>
      <c r="AE85" s="741"/>
      <c r="AF85" s="741"/>
      <c r="AG85" s="741"/>
      <c r="AH85" s="741"/>
      <c r="AI85" s="741"/>
      <c r="AJ85" s="741"/>
      <c r="AK85" s="741"/>
      <c r="AL85" s="741"/>
      <c r="AM85" s="741"/>
      <c r="AN85" s="741"/>
      <c r="AO85" s="741"/>
      <c r="AP85" s="741"/>
      <c r="AQ85" s="741"/>
      <c r="AR85" s="741"/>
    </row>
    <row r="86" spans="1:44">
      <c r="A86" s="741"/>
      <c r="B86" s="741"/>
      <c r="C86" s="741"/>
      <c r="D86" s="741"/>
      <c r="E86" s="741"/>
      <c r="F86" s="741"/>
      <c r="G86" s="741"/>
      <c r="H86" s="741"/>
      <c r="I86" s="741"/>
      <c r="J86" s="741"/>
      <c r="K86" s="741"/>
      <c r="L86" s="741"/>
      <c r="M86" s="741"/>
      <c r="N86" s="741"/>
      <c r="O86" s="741"/>
      <c r="P86" s="741"/>
      <c r="Q86" s="741"/>
      <c r="R86" s="741"/>
      <c r="S86" s="741"/>
      <c r="T86" s="741"/>
      <c r="U86" s="741"/>
      <c r="V86" s="741"/>
      <c r="W86" s="741"/>
      <c r="X86" s="741"/>
      <c r="Y86" s="741"/>
      <c r="Z86" s="741"/>
      <c r="AA86" s="741"/>
      <c r="AB86" s="741"/>
      <c r="AC86" s="741"/>
      <c r="AD86" s="741"/>
      <c r="AE86" s="741"/>
      <c r="AF86" s="741"/>
      <c r="AG86" s="741"/>
      <c r="AH86" s="741"/>
      <c r="AI86" s="741"/>
      <c r="AJ86" s="741"/>
      <c r="AK86" s="741"/>
      <c r="AL86" s="741"/>
      <c r="AM86" s="741"/>
      <c r="AN86" s="741"/>
      <c r="AO86" s="741"/>
      <c r="AP86" s="741"/>
      <c r="AQ86" s="741"/>
      <c r="AR86" s="741"/>
    </row>
    <row r="87" spans="1:44">
      <c r="A87" s="741"/>
      <c r="B87" s="741"/>
      <c r="C87" s="741"/>
      <c r="D87" s="741"/>
      <c r="E87" s="741"/>
      <c r="F87" s="741"/>
      <c r="G87" s="741"/>
      <c r="H87" s="741"/>
      <c r="I87" s="741"/>
      <c r="J87" s="741"/>
      <c r="K87" s="741"/>
      <c r="L87" s="741"/>
      <c r="M87" s="741"/>
      <c r="N87" s="741"/>
      <c r="O87" s="741"/>
      <c r="P87" s="741"/>
      <c r="Q87" s="741"/>
      <c r="R87" s="741"/>
      <c r="S87" s="741"/>
      <c r="T87" s="741"/>
      <c r="U87" s="741"/>
      <c r="V87" s="741"/>
      <c r="W87" s="741"/>
      <c r="X87" s="741"/>
      <c r="Y87" s="741"/>
      <c r="Z87" s="741"/>
      <c r="AA87" s="741"/>
      <c r="AB87" s="741"/>
      <c r="AC87" s="741"/>
      <c r="AD87" s="741"/>
      <c r="AE87" s="741"/>
      <c r="AF87" s="741"/>
      <c r="AG87" s="741"/>
      <c r="AH87" s="741"/>
      <c r="AI87" s="741"/>
      <c r="AJ87" s="741"/>
      <c r="AK87" s="741"/>
      <c r="AL87" s="741"/>
      <c r="AM87" s="741"/>
      <c r="AN87" s="741"/>
      <c r="AO87" s="741"/>
      <c r="AP87" s="741"/>
      <c r="AQ87" s="741"/>
      <c r="AR87" s="741"/>
    </row>
    <row r="88" spans="1:44">
      <c r="A88" s="741"/>
      <c r="B88" s="741"/>
      <c r="C88" s="741"/>
      <c r="D88" s="741"/>
      <c r="E88" s="741"/>
      <c r="F88" s="741"/>
      <c r="G88" s="741"/>
      <c r="H88" s="741"/>
      <c r="I88" s="741"/>
      <c r="J88" s="741"/>
      <c r="K88" s="741"/>
      <c r="L88" s="741"/>
      <c r="M88" s="741"/>
      <c r="N88" s="741"/>
      <c r="O88" s="741"/>
      <c r="P88" s="741"/>
      <c r="Q88" s="741"/>
      <c r="R88" s="741"/>
      <c r="S88" s="741"/>
      <c r="T88" s="741"/>
      <c r="U88" s="741"/>
      <c r="V88" s="741"/>
      <c r="W88" s="741"/>
      <c r="X88" s="741"/>
      <c r="Y88" s="741"/>
      <c r="Z88" s="741"/>
      <c r="AA88" s="741"/>
      <c r="AB88" s="741"/>
      <c r="AC88" s="741"/>
      <c r="AD88" s="741"/>
      <c r="AE88" s="741"/>
      <c r="AF88" s="741"/>
      <c r="AG88" s="741"/>
      <c r="AH88" s="741"/>
      <c r="AI88" s="741"/>
      <c r="AJ88" s="741"/>
      <c r="AK88" s="741"/>
      <c r="AL88" s="741"/>
      <c r="AM88" s="741"/>
      <c r="AN88" s="741"/>
      <c r="AO88" s="741"/>
      <c r="AP88" s="741"/>
      <c r="AQ88" s="741"/>
      <c r="AR88" s="741"/>
    </row>
    <row r="89" spans="1:44">
      <c r="A89" s="741"/>
      <c r="B89" s="741"/>
      <c r="C89" s="741"/>
      <c r="D89" s="741"/>
      <c r="E89" s="741"/>
      <c r="F89" s="741"/>
      <c r="G89" s="741"/>
      <c r="H89" s="741"/>
      <c r="I89" s="741"/>
      <c r="J89" s="741"/>
      <c r="K89" s="741"/>
      <c r="L89" s="741"/>
      <c r="M89" s="741"/>
      <c r="N89" s="741"/>
      <c r="O89" s="741"/>
      <c r="P89" s="741"/>
      <c r="Q89" s="741"/>
      <c r="R89" s="741"/>
      <c r="S89" s="741"/>
      <c r="T89" s="741"/>
      <c r="U89" s="741"/>
      <c r="V89" s="741"/>
      <c r="W89" s="741"/>
      <c r="X89" s="741"/>
      <c r="Y89" s="741"/>
      <c r="Z89" s="741"/>
      <c r="AA89" s="741"/>
      <c r="AB89" s="741"/>
      <c r="AC89" s="741"/>
      <c r="AD89" s="741"/>
      <c r="AE89" s="741"/>
      <c r="AF89" s="741"/>
      <c r="AG89" s="741"/>
      <c r="AH89" s="741"/>
      <c r="AI89" s="741"/>
      <c r="AJ89" s="741"/>
      <c r="AK89" s="741"/>
      <c r="AL89" s="741"/>
      <c r="AM89" s="741"/>
      <c r="AN89" s="741"/>
      <c r="AO89" s="741"/>
      <c r="AP89" s="741"/>
      <c r="AQ89" s="741"/>
      <c r="AR89" s="741"/>
    </row>
    <row r="90" spans="1:44">
      <c r="A90" s="741"/>
      <c r="B90" s="741"/>
      <c r="C90" s="741"/>
      <c r="D90" s="741"/>
      <c r="E90" s="741"/>
      <c r="F90" s="741"/>
      <c r="G90" s="741"/>
      <c r="H90" s="741"/>
      <c r="I90" s="741"/>
      <c r="J90" s="741"/>
      <c r="K90" s="741"/>
      <c r="L90" s="741"/>
      <c r="M90" s="741"/>
      <c r="N90" s="741"/>
      <c r="O90" s="741"/>
      <c r="P90" s="741"/>
      <c r="Q90" s="741"/>
      <c r="R90" s="741"/>
      <c r="S90" s="741"/>
      <c r="T90" s="741"/>
      <c r="U90" s="741"/>
      <c r="V90" s="741"/>
      <c r="W90" s="741"/>
      <c r="X90" s="741"/>
      <c r="Y90" s="741"/>
      <c r="Z90" s="741"/>
      <c r="AA90" s="741"/>
      <c r="AB90" s="741"/>
      <c r="AC90" s="741"/>
      <c r="AD90" s="741"/>
      <c r="AE90" s="741"/>
      <c r="AF90" s="741"/>
      <c r="AG90" s="741"/>
      <c r="AH90" s="741"/>
      <c r="AI90" s="741"/>
      <c r="AJ90" s="741"/>
      <c r="AK90" s="741"/>
      <c r="AL90" s="741"/>
      <c r="AM90" s="741"/>
      <c r="AN90" s="741"/>
      <c r="AO90" s="741"/>
      <c r="AP90" s="741"/>
      <c r="AQ90" s="741"/>
      <c r="AR90" s="741"/>
    </row>
    <row r="91" spans="1:44">
      <c r="A91" s="741"/>
      <c r="B91" s="741"/>
      <c r="C91" s="741"/>
      <c r="D91" s="741"/>
      <c r="E91" s="741"/>
      <c r="F91" s="741"/>
      <c r="G91" s="741"/>
      <c r="H91" s="741"/>
      <c r="I91" s="741"/>
      <c r="J91" s="741"/>
      <c r="K91" s="741"/>
      <c r="L91" s="741"/>
      <c r="M91" s="741"/>
      <c r="N91" s="741"/>
      <c r="O91" s="741"/>
      <c r="P91" s="741"/>
      <c r="Q91" s="741"/>
      <c r="R91" s="741"/>
      <c r="S91" s="741"/>
      <c r="T91" s="741"/>
      <c r="U91" s="741"/>
      <c r="V91" s="741"/>
      <c r="W91" s="741"/>
      <c r="X91" s="741"/>
      <c r="Y91" s="741"/>
      <c r="Z91" s="741"/>
      <c r="AA91" s="741"/>
      <c r="AB91" s="741"/>
      <c r="AC91" s="741"/>
      <c r="AD91" s="741"/>
      <c r="AE91" s="741"/>
      <c r="AF91" s="741"/>
      <c r="AG91" s="741"/>
      <c r="AH91" s="741"/>
      <c r="AI91" s="741"/>
      <c r="AJ91" s="741"/>
      <c r="AK91" s="741"/>
      <c r="AL91" s="741"/>
      <c r="AM91" s="741"/>
      <c r="AN91" s="741"/>
      <c r="AO91" s="741"/>
      <c r="AP91" s="741"/>
      <c r="AQ91" s="741"/>
      <c r="AR91" s="741"/>
    </row>
    <row r="92" spans="1:44">
      <c r="A92" s="741"/>
      <c r="B92" s="741"/>
      <c r="C92" s="741"/>
      <c r="D92" s="741"/>
      <c r="E92" s="741"/>
      <c r="F92" s="741"/>
      <c r="G92" s="741"/>
      <c r="H92" s="741"/>
      <c r="I92" s="741"/>
      <c r="J92" s="741"/>
      <c r="K92" s="741"/>
      <c r="L92" s="741"/>
      <c r="M92" s="741"/>
      <c r="N92" s="741"/>
      <c r="O92" s="741"/>
      <c r="P92" s="741"/>
      <c r="Q92" s="741"/>
      <c r="R92" s="741"/>
      <c r="S92" s="741"/>
      <c r="T92" s="741"/>
      <c r="U92" s="741"/>
      <c r="V92" s="741"/>
      <c r="W92" s="741"/>
      <c r="X92" s="741"/>
      <c r="Y92" s="741"/>
      <c r="Z92" s="741"/>
      <c r="AA92" s="741"/>
      <c r="AB92" s="741"/>
      <c r="AC92" s="741"/>
      <c r="AD92" s="741"/>
      <c r="AE92" s="741"/>
      <c r="AF92" s="741"/>
      <c r="AG92" s="741"/>
      <c r="AH92" s="741"/>
      <c r="AI92" s="741"/>
      <c r="AJ92" s="741"/>
      <c r="AK92" s="741"/>
      <c r="AL92" s="741"/>
      <c r="AM92" s="741"/>
      <c r="AN92" s="741"/>
      <c r="AO92" s="741"/>
      <c r="AP92" s="741"/>
      <c r="AQ92" s="741"/>
      <c r="AR92" s="741"/>
    </row>
    <row r="93" spans="1:44">
      <c r="A93" s="741"/>
      <c r="B93" s="741"/>
      <c r="C93" s="741"/>
      <c r="D93" s="741"/>
      <c r="E93" s="741"/>
      <c r="F93" s="741"/>
      <c r="G93" s="741"/>
      <c r="H93" s="741"/>
      <c r="I93" s="741"/>
      <c r="J93" s="741"/>
      <c r="K93" s="741"/>
      <c r="L93" s="741"/>
      <c r="M93" s="741"/>
      <c r="N93" s="741"/>
      <c r="O93" s="741"/>
      <c r="P93" s="741"/>
      <c r="Q93" s="741"/>
      <c r="R93" s="741"/>
      <c r="S93" s="741"/>
      <c r="T93" s="741"/>
      <c r="U93" s="741"/>
      <c r="V93" s="741"/>
      <c r="W93" s="741"/>
      <c r="X93" s="741"/>
      <c r="Y93" s="741"/>
      <c r="Z93" s="741"/>
      <c r="AA93" s="741"/>
      <c r="AB93" s="741"/>
      <c r="AC93" s="741"/>
      <c r="AD93" s="741"/>
      <c r="AE93" s="741"/>
      <c r="AF93" s="741"/>
      <c r="AG93" s="741"/>
      <c r="AH93" s="741"/>
      <c r="AI93" s="741"/>
      <c r="AJ93" s="741"/>
      <c r="AK93" s="741"/>
      <c r="AL93" s="741"/>
      <c r="AM93" s="741"/>
      <c r="AN93" s="741"/>
      <c r="AO93" s="741"/>
      <c r="AP93" s="741"/>
      <c r="AQ93" s="741"/>
      <c r="AR93" s="741"/>
    </row>
    <row r="94" spans="1:44">
      <c r="A94" s="741"/>
      <c r="B94" s="741"/>
      <c r="C94" s="741"/>
      <c r="D94" s="741"/>
      <c r="E94" s="741"/>
      <c r="F94" s="741"/>
      <c r="G94" s="741"/>
      <c r="H94" s="741"/>
      <c r="I94" s="741"/>
      <c r="J94" s="741"/>
      <c r="K94" s="741"/>
      <c r="L94" s="741"/>
      <c r="M94" s="741"/>
      <c r="N94" s="741"/>
      <c r="O94" s="741"/>
      <c r="P94" s="741"/>
      <c r="Q94" s="741"/>
      <c r="R94" s="741"/>
      <c r="S94" s="741"/>
      <c r="T94" s="741"/>
      <c r="U94" s="741"/>
      <c r="V94" s="741"/>
      <c r="W94" s="741"/>
      <c r="X94" s="741"/>
      <c r="Y94" s="741"/>
      <c r="Z94" s="741"/>
      <c r="AA94" s="741"/>
      <c r="AB94" s="741"/>
      <c r="AC94" s="741"/>
      <c r="AD94" s="741"/>
      <c r="AE94" s="741"/>
      <c r="AF94" s="741"/>
      <c r="AG94" s="741"/>
      <c r="AH94" s="741"/>
      <c r="AI94" s="741"/>
      <c r="AJ94" s="741"/>
      <c r="AK94" s="741"/>
      <c r="AL94" s="741"/>
      <c r="AM94" s="741"/>
      <c r="AN94" s="741"/>
      <c r="AO94" s="741"/>
      <c r="AP94" s="741"/>
      <c r="AQ94" s="741"/>
      <c r="AR94" s="741"/>
    </row>
    <row r="95" spans="1:44">
      <c r="A95" s="741"/>
      <c r="B95" s="741"/>
      <c r="C95" s="741"/>
      <c r="D95" s="741"/>
      <c r="E95" s="741"/>
      <c r="F95" s="741"/>
      <c r="G95" s="741"/>
      <c r="H95" s="741"/>
      <c r="I95" s="741"/>
      <c r="J95" s="741"/>
      <c r="K95" s="741"/>
      <c r="L95" s="741"/>
      <c r="M95" s="741"/>
      <c r="N95" s="741"/>
      <c r="O95" s="741"/>
      <c r="P95" s="741"/>
      <c r="Q95" s="741"/>
      <c r="R95" s="741"/>
      <c r="S95" s="741"/>
      <c r="T95" s="741"/>
      <c r="U95" s="741"/>
      <c r="V95" s="741"/>
      <c r="W95" s="741"/>
      <c r="X95" s="741"/>
      <c r="Y95" s="741"/>
      <c r="Z95" s="741"/>
      <c r="AA95" s="741"/>
      <c r="AB95" s="741"/>
      <c r="AC95" s="741"/>
      <c r="AD95" s="741"/>
      <c r="AE95" s="741"/>
      <c r="AF95" s="741"/>
      <c r="AG95" s="741"/>
      <c r="AH95" s="741"/>
      <c r="AI95" s="741"/>
      <c r="AJ95" s="741"/>
      <c r="AK95" s="741"/>
      <c r="AL95" s="741"/>
      <c r="AM95" s="741"/>
      <c r="AN95" s="741"/>
      <c r="AO95" s="741"/>
      <c r="AP95" s="741"/>
      <c r="AQ95" s="741"/>
      <c r="AR95" s="741"/>
    </row>
    <row r="96" spans="1:44">
      <c r="A96" s="741"/>
      <c r="B96" s="741"/>
      <c r="C96" s="741"/>
      <c r="D96" s="741"/>
      <c r="E96" s="741"/>
      <c r="F96" s="741"/>
      <c r="G96" s="741"/>
      <c r="H96" s="741"/>
      <c r="I96" s="741"/>
      <c r="J96" s="741"/>
      <c r="K96" s="741"/>
      <c r="L96" s="741"/>
      <c r="M96" s="741"/>
      <c r="N96" s="741"/>
      <c r="O96" s="741"/>
      <c r="P96" s="741"/>
      <c r="Q96" s="741"/>
      <c r="R96" s="741"/>
      <c r="S96" s="741"/>
      <c r="T96" s="741"/>
      <c r="U96" s="741"/>
      <c r="V96" s="741"/>
      <c r="W96" s="741"/>
      <c r="X96" s="741"/>
      <c r="Y96" s="741"/>
      <c r="Z96" s="741"/>
      <c r="AA96" s="741"/>
      <c r="AB96" s="741"/>
      <c r="AC96" s="741"/>
      <c r="AD96" s="741"/>
      <c r="AE96" s="741"/>
      <c r="AF96" s="741"/>
      <c r="AG96" s="741"/>
      <c r="AH96" s="741"/>
      <c r="AI96" s="741"/>
      <c r="AJ96" s="741"/>
      <c r="AK96" s="741"/>
      <c r="AL96" s="741"/>
      <c r="AM96" s="741"/>
      <c r="AN96" s="741"/>
      <c r="AO96" s="741"/>
      <c r="AP96" s="741"/>
      <c r="AQ96" s="741"/>
      <c r="AR96" s="741"/>
    </row>
    <row r="97" spans="1:44">
      <c r="A97" s="741"/>
      <c r="B97" s="741"/>
      <c r="C97" s="741"/>
      <c r="D97" s="741"/>
      <c r="E97" s="741"/>
      <c r="F97" s="741"/>
      <c r="G97" s="741"/>
      <c r="H97" s="741"/>
      <c r="I97" s="741"/>
      <c r="J97" s="741"/>
      <c r="K97" s="741"/>
      <c r="L97" s="741"/>
      <c r="M97" s="741"/>
      <c r="N97" s="741"/>
      <c r="O97" s="741"/>
      <c r="P97" s="741"/>
      <c r="Q97" s="741"/>
      <c r="R97" s="741"/>
      <c r="S97" s="741"/>
      <c r="T97" s="741"/>
      <c r="U97" s="741"/>
      <c r="V97" s="741"/>
      <c r="W97" s="741"/>
      <c r="X97" s="741"/>
      <c r="Y97" s="741"/>
      <c r="Z97" s="741"/>
      <c r="AA97" s="741"/>
      <c r="AB97" s="741"/>
      <c r="AC97" s="741"/>
      <c r="AD97" s="741"/>
      <c r="AE97" s="741"/>
      <c r="AF97" s="741"/>
      <c r="AG97" s="741"/>
      <c r="AH97" s="741"/>
      <c r="AI97" s="741"/>
      <c r="AJ97" s="741"/>
      <c r="AK97" s="741"/>
      <c r="AL97" s="741"/>
      <c r="AM97" s="741"/>
      <c r="AN97" s="741"/>
      <c r="AO97" s="741"/>
      <c r="AP97" s="741"/>
      <c r="AQ97" s="741"/>
      <c r="AR97" s="741"/>
    </row>
    <row r="98" spans="1:44">
      <c r="A98" s="741"/>
      <c r="B98" s="741"/>
      <c r="C98" s="741"/>
      <c r="D98" s="741"/>
      <c r="E98" s="741"/>
      <c r="F98" s="741"/>
      <c r="G98" s="741"/>
      <c r="H98" s="741"/>
      <c r="I98" s="741"/>
      <c r="J98" s="741"/>
      <c r="K98" s="741"/>
      <c r="L98" s="741"/>
      <c r="M98" s="741"/>
      <c r="N98" s="741"/>
      <c r="O98" s="741"/>
      <c r="P98" s="741"/>
      <c r="Q98" s="741"/>
      <c r="R98" s="741"/>
      <c r="S98" s="741"/>
      <c r="T98" s="741"/>
      <c r="U98" s="741"/>
      <c r="V98" s="741"/>
      <c r="W98" s="741"/>
      <c r="X98" s="741"/>
      <c r="Y98" s="741"/>
      <c r="Z98" s="741"/>
      <c r="AA98" s="741"/>
      <c r="AB98" s="741"/>
      <c r="AC98" s="741"/>
      <c r="AD98" s="741"/>
      <c r="AE98" s="741"/>
      <c r="AF98" s="741"/>
      <c r="AG98" s="741"/>
      <c r="AH98" s="741"/>
      <c r="AI98" s="741"/>
      <c r="AJ98" s="741"/>
      <c r="AK98" s="741"/>
      <c r="AL98" s="741"/>
      <c r="AM98" s="741"/>
      <c r="AN98" s="741"/>
      <c r="AO98" s="741"/>
      <c r="AP98" s="741"/>
      <c r="AQ98" s="741"/>
      <c r="AR98" s="741"/>
    </row>
    <row r="99" spans="1:44">
      <c r="A99" s="741"/>
      <c r="B99" s="741"/>
      <c r="C99" s="741"/>
      <c r="D99" s="741"/>
      <c r="E99" s="741"/>
      <c r="F99" s="741"/>
      <c r="G99" s="741"/>
      <c r="H99" s="741"/>
      <c r="I99" s="741"/>
      <c r="J99" s="741"/>
      <c r="K99" s="741"/>
      <c r="L99" s="741"/>
      <c r="M99" s="741"/>
      <c r="N99" s="741"/>
      <c r="O99" s="741"/>
      <c r="P99" s="741"/>
      <c r="Q99" s="741"/>
      <c r="R99" s="741"/>
      <c r="S99" s="741"/>
      <c r="T99" s="741"/>
      <c r="U99" s="741"/>
      <c r="V99" s="741"/>
      <c r="W99" s="741"/>
      <c r="X99" s="741"/>
      <c r="Y99" s="741"/>
      <c r="Z99" s="741"/>
      <c r="AA99" s="741"/>
      <c r="AB99" s="741"/>
      <c r="AC99" s="741"/>
      <c r="AD99" s="741"/>
      <c r="AE99" s="741"/>
      <c r="AF99" s="741"/>
      <c r="AG99" s="741"/>
      <c r="AH99" s="741"/>
      <c r="AI99" s="741"/>
      <c r="AJ99" s="741"/>
      <c r="AK99" s="741"/>
      <c r="AL99" s="741"/>
      <c r="AM99" s="741"/>
      <c r="AN99" s="741"/>
      <c r="AO99" s="741"/>
      <c r="AP99" s="741"/>
      <c r="AQ99" s="741"/>
      <c r="AR99" s="741"/>
    </row>
    <row r="100" spans="1:44">
      <c r="A100" s="741"/>
      <c r="B100" s="741"/>
      <c r="C100" s="741"/>
      <c r="D100" s="741"/>
      <c r="E100" s="741"/>
      <c r="F100" s="741"/>
      <c r="G100" s="741"/>
      <c r="H100" s="741"/>
      <c r="I100" s="741"/>
      <c r="J100" s="741"/>
      <c r="K100" s="741"/>
      <c r="L100" s="741"/>
      <c r="M100" s="741"/>
      <c r="N100" s="741"/>
      <c r="O100" s="741"/>
      <c r="P100" s="741"/>
      <c r="Q100" s="741"/>
      <c r="R100" s="741"/>
      <c r="S100" s="741"/>
      <c r="T100" s="741"/>
      <c r="U100" s="741"/>
      <c r="V100" s="741"/>
      <c r="W100" s="741"/>
      <c r="X100" s="741"/>
      <c r="Y100" s="741"/>
      <c r="Z100" s="741"/>
      <c r="AA100" s="741"/>
      <c r="AB100" s="741"/>
      <c r="AC100" s="741"/>
      <c r="AD100" s="741"/>
      <c r="AE100" s="741"/>
      <c r="AF100" s="741"/>
      <c r="AG100" s="741"/>
      <c r="AH100" s="741"/>
      <c r="AI100" s="741"/>
      <c r="AJ100" s="741"/>
      <c r="AK100" s="741"/>
      <c r="AL100" s="741"/>
      <c r="AM100" s="741"/>
      <c r="AN100" s="741"/>
      <c r="AO100" s="741"/>
      <c r="AP100" s="741"/>
      <c r="AQ100" s="741"/>
      <c r="AR100" s="741"/>
    </row>
    <row r="101" spans="1:44">
      <c r="A101" s="741"/>
      <c r="B101" s="741"/>
      <c r="C101" s="741"/>
      <c r="D101" s="741"/>
      <c r="E101" s="741"/>
      <c r="F101" s="741"/>
      <c r="G101" s="741"/>
      <c r="H101" s="741"/>
      <c r="I101" s="741"/>
      <c r="J101" s="741"/>
      <c r="K101" s="741"/>
      <c r="L101" s="741"/>
      <c r="M101" s="741"/>
      <c r="N101" s="741"/>
      <c r="O101" s="741"/>
      <c r="P101" s="741"/>
      <c r="Q101" s="741"/>
      <c r="R101" s="741"/>
      <c r="S101" s="741"/>
      <c r="T101" s="741"/>
      <c r="U101" s="741"/>
      <c r="V101" s="741"/>
      <c r="W101" s="741"/>
      <c r="X101" s="741"/>
      <c r="Y101" s="741"/>
      <c r="Z101" s="741"/>
      <c r="AA101" s="741"/>
      <c r="AB101" s="741"/>
      <c r="AC101" s="741"/>
      <c r="AD101" s="741"/>
      <c r="AE101" s="741"/>
      <c r="AF101" s="741"/>
      <c r="AG101" s="741"/>
      <c r="AH101" s="741"/>
      <c r="AI101" s="741"/>
      <c r="AJ101" s="741"/>
      <c r="AK101" s="741"/>
      <c r="AL101" s="741"/>
      <c r="AM101" s="741"/>
      <c r="AN101" s="741"/>
      <c r="AO101" s="741"/>
      <c r="AP101" s="741"/>
      <c r="AQ101" s="741"/>
      <c r="AR101" s="741"/>
    </row>
    <row r="102" spans="1:44">
      <c r="A102" s="741"/>
      <c r="B102" s="741"/>
      <c r="C102" s="741"/>
      <c r="D102" s="741"/>
      <c r="E102" s="741"/>
      <c r="F102" s="741"/>
      <c r="G102" s="741"/>
      <c r="H102" s="741"/>
      <c r="I102" s="741"/>
      <c r="J102" s="741"/>
      <c r="K102" s="741"/>
      <c r="L102" s="741"/>
      <c r="M102" s="741"/>
      <c r="N102" s="741"/>
      <c r="O102" s="741"/>
      <c r="P102" s="741"/>
      <c r="Q102" s="741"/>
      <c r="R102" s="741"/>
      <c r="S102" s="741"/>
      <c r="T102" s="741"/>
      <c r="U102" s="741"/>
      <c r="V102" s="741"/>
      <c r="W102" s="741"/>
      <c r="X102" s="741"/>
      <c r="Y102" s="741"/>
      <c r="Z102" s="741"/>
      <c r="AA102" s="741"/>
      <c r="AB102" s="741"/>
      <c r="AC102" s="741"/>
      <c r="AD102" s="741"/>
      <c r="AE102" s="741"/>
      <c r="AF102" s="741"/>
      <c r="AG102" s="741"/>
      <c r="AH102" s="741"/>
      <c r="AI102" s="741"/>
      <c r="AJ102" s="741"/>
      <c r="AK102" s="741"/>
      <c r="AL102" s="741"/>
      <c r="AM102" s="741"/>
      <c r="AN102" s="741"/>
      <c r="AO102" s="741"/>
      <c r="AP102" s="741"/>
      <c r="AQ102" s="741"/>
      <c r="AR102" s="741"/>
    </row>
    <row r="103" spans="1:44">
      <c r="A103" s="741"/>
      <c r="B103" s="741"/>
      <c r="C103" s="741"/>
      <c r="D103" s="741"/>
      <c r="E103" s="741"/>
      <c r="F103" s="741"/>
      <c r="G103" s="741"/>
      <c r="H103" s="741"/>
      <c r="I103" s="741"/>
      <c r="J103" s="741"/>
      <c r="K103" s="741"/>
      <c r="L103" s="741"/>
      <c r="M103" s="741"/>
      <c r="N103" s="741"/>
      <c r="O103" s="741"/>
      <c r="P103" s="741"/>
      <c r="Q103" s="741"/>
      <c r="R103" s="741"/>
      <c r="S103" s="741"/>
      <c r="T103" s="741"/>
      <c r="U103" s="741"/>
      <c r="V103" s="741"/>
      <c r="W103" s="741"/>
      <c r="X103" s="741"/>
      <c r="Y103" s="741"/>
      <c r="Z103" s="741"/>
      <c r="AA103" s="741"/>
      <c r="AB103" s="741"/>
      <c r="AC103" s="741"/>
      <c r="AD103" s="741"/>
      <c r="AE103" s="741"/>
      <c r="AF103" s="741"/>
      <c r="AG103" s="741"/>
      <c r="AH103" s="741"/>
      <c r="AI103" s="741"/>
      <c r="AJ103" s="741"/>
      <c r="AK103" s="741"/>
      <c r="AL103" s="741"/>
      <c r="AM103" s="741"/>
      <c r="AN103" s="741"/>
      <c r="AO103" s="741"/>
      <c r="AP103" s="741"/>
      <c r="AQ103" s="741"/>
      <c r="AR103" s="741"/>
    </row>
    <row r="104" spans="1:44">
      <c r="A104" s="741"/>
      <c r="B104" s="741"/>
      <c r="C104" s="741"/>
      <c r="D104" s="741"/>
      <c r="E104" s="741"/>
      <c r="F104" s="741"/>
      <c r="G104" s="741"/>
      <c r="H104" s="741"/>
      <c r="I104" s="741"/>
      <c r="J104" s="741"/>
      <c r="K104" s="741"/>
      <c r="L104" s="741"/>
      <c r="M104" s="741"/>
      <c r="N104" s="741"/>
      <c r="O104" s="741"/>
      <c r="P104" s="741"/>
      <c r="Q104" s="741"/>
      <c r="R104" s="741"/>
      <c r="S104" s="741"/>
      <c r="T104" s="741"/>
      <c r="U104" s="741"/>
      <c r="V104" s="741"/>
      <c r="W104" s="741"/>
      <c r="X104" s="741"/>
      <c r="Y104" s="741"/>
      <c r="Z104" s="741"/>
      <c r="AA104" s="741"/>
      <c r="AB104" s="741"/>
      <c r="AC104" s="741"/>
      <c r="AD104" s="741"/>
      <c r="AE104" s="741"/>
      <c r="AF104" s="741"/>
      <c r="AG104" s="741"/>
      <c r="AH104" s="741"/>
      <c r="AI104" s="741"/>
      <c r="AJ104" s="741"/>
      <c r="AK104" s="741"/>
      <c r="AL104" s="741"/>
      <c r="AM104" s="741"/>
      <c r="AN104" s="741"/>
      <c r="AO104" s="741"/>
      <c r="AP104" s="741"/>
      <c r="AQ104" s="741"/>
      <c r="AR104" s="741"/>
    </row>
    <row r="105" spans="1:44">
      <c r="A105" s="741"/>
      <c r="B105" s="741"/>
      <c r="C105" s="741"/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/>
      <c r="S105" s="741"/>
      <c r="T105" s="741"/>
      <c r="U105" s="741"/>
      <c r="V105" s="741"/>
      <c r="W105" s="741"/>
      <c r="X105" s="741"/>
      <c r="Y105" s="741"/>
      <c r="Z105" s="741"/>
      <c r="AA105" s="741"/>
      <c r="AB105" s="741"/>
      <c r="AC105" s="741"/>
      <c r="AD105" s="741"/>
      <c r="AE105" s="741"/>
      <c r="AF105" s="741"/>
      <c r="AG105" s="741"/>
      <c r="AH105" s="741"/>
      <c r="AI105" s="741"/>
      <c r="AJ105" s="741"/>
      <c r="AK105" s="741"/>
      <c r="AL105" s="741"/>
      <c r="AM105" s="741"/>
      <c r="AN105" s="741"/>
      <c r="AO105" s="741"/>
      <c r="AP105" s="741"/>
      <c r="AQ105" s="741"/>
      <c r="AR105" s="741"/>
    </row>
    <row r="106" spans="1:44">
      <c r="A106" s="741"/>
      <c r="B106" s="741"/>
      <c r="C106" s="741"/>
      <c r="D106" s="741"/>
      <c r="E106" s="741"/>
      <c r="F106" s="741"/>
      <c r="G106" s="741"/>
      <c r="H106" s="741"/>
      <c r="I106" s="741"/>
      <c r="J106" s="741"/>
      <c r="K106" s="741"/>
      <c r="L106" s="741"/>
      <c r="M106" s="741"/>
      <c r="N106" s="741"/>
      <c r="O106" s="741"/>
      <c r="P106" s="741"/>
      <c r="Q106" s="741"/>
      <c r="R106" s="741"/>
      <c r="S106" s="741"/>
      <c r="T106" s="741"/>
      <c r="U106" s="741"/>
      <c r="V106" s="741"/>
      <c r="W106" s="741"/>
      <c r="X106" s="741"/>
      <c r="Y106" s="741"/>
      <c r="Z106" s="741"/>
      <c r="AA106" s="741"/>
      <c r="AB106" s="741"/>
      <c r="AC106" s="741"/>
      <c r="AD106" s="741"/>
      <c r="AE106" s="741"/>
      <c r="AF106" s="741"/>
      <c r="AG106" s="741"/>
      <c r="AH106" s="741"/>
      <c r="AI106" s="741"/>
      <c r="AJ106" s="741"/>
      <c r="AK106" s="741"/>
      <c r="AL106" s="741"/>
      <c r="AM106" s="741"/>
      <c r="AN106" s="741"/>
      <c r="AO106" s="741"/>
      <c r="AP106" s="741"/>
      <c r="AQ106" s="741"/>
      <c r="AR106" s="741"/>
    </row>
    <row r="107" spans="1:44">
      <c r="A107" s="741"/>
      <c r="B107" s="741"/>
      <c r="C107" s="741"/>
      <c r="D107" s="741"/>
      <c r="E107" s="741"/>
      <c r="F107" s="741"/>
      <c r="G107" s="741"/>
      <c r="H107" s="741"/>
      <c r="I107" s="741"/>
      <c r="J107" s="741"/>
      <c r="K107" s="741"/>
      <c r="L107" s="741"/>
      <c r="M107" s="741"/>
      <c r="N107" s="741"/>
      <c r="O107" s="741"/>
      <c r="P107" s="741"/>
      <c r="Q107" s="741"/>
      <c r="R107" s="741"/>
      <c r="S107" s="741"/>
      <c r="T107" s="741"/>
      <c r="U107" s="741"/>
      <c r="V107" s="741"/>
      <c r="W107" s="741"/>
      <c r="X107" s="741"/>
      <c r="Y107" s="741"/>
      <c r="Z107" s="741"/>
      <c r="AA107" s="741"/>
      <c r="AB107" s="741"/>
      <c r="AC107" s="741"/>
      <c r="AD107" s="741"/>
      <c r="AE107" s="741"/>
      <c r="AF107" s="741"/>
      <c r="AG107" s="741"/>
      <c r="AH107" s="741"/>
      <c r="AI107" s="741"/>
      <c r="AJ107" s="741"/>
      <c r="AK107" s="741"/>
      <c r="AL107" s="741"/>
      <c r="AM107" s="741"/>
      <c r="AN107" s="741"/>
      <c r="AO107" s="741"/>
      <c r="AP107" s="741"/>
      <c r="AQ107" s="741"/>
      <c r="AR107" s="741"/>
    </row>
    <row r="108" spans="1:44">
      <c r="A108" s="741"/>
      <c r="B108" s="741"/>
      <c r="C108" s="741"/>
      <c r="D108" s="741"/>
      <c r="E108" s="741"/>
      <c r="F108" s="741"/>
      <c r="G108" s="741"/>
      <c r="H108" s="741"/>
      <c r="I108" s="741"/>
      <c r="J108" s="741"/>
      <c r="K108" s="741"/>
      <c r="L108" s="741"/>
      <c r="M108" s="741"/>
      <c r="N108" s="741"/>
      <c r="O108" s="741"/>
      <c r="P108" s="741"/>
      <c r="Q108" s="741"/>
      <c r="R108" s="741"/>
      <c r="S108" s="741"/>
      <c r="T108" s="741"/>
      <c r="U108" s="741"/>
      <c r="V108" s="741"/>
      <c r="W108" s="741"/>
      <c r="X108" s="741"/>
      <c r="Y108" s="741"/>
      <c r="Z108" s="741"/>
      <c r="AA108" s="741"/>
      <c r="AB108" s="741"/>
      <c r="AC108" s="741"/>
      <c r="AD108" s="741"/>
      <c r="AE108" s="741"/>
      <c r="AF108" s="741"/>
      <c r="AG108" s="741"/>
      <c r="AH108" s="741"/>
      <c r="AI108" s="741"/>
      <c r="AJ108" s="741"/>
      <c r="AK108" s="741"/>
      <c r="AL108" s="741"/>
      <c r="AM108" s="741"/>
      <c r="AN108" s="741"/>
      <c r="AO108" s="741"/>
      <c r="AP108" s="741"/>
      <c r="AQ108" s="741"/>
      <c r="AR108" s="741"/>
    </row>
    <row r="109" spans="1:44">
      <c r="A109" s="741"/>
      <c r="B109" s="741"/>
      <c r="C109" s="741"/>
      <c r="D109" s="741"/>
      <c r="E109" s="741"/>
      <c r="F109" s="741"/>
      <c r="G109" s="741"/>
      <c r="H109" s="741"/>
      <c r="I109" s="741"/>
      <c r="J109" s="741"/>
      <c r="K109" s="741"/>
      <c r="L109" s="741"/>
      <c r="M109" s="741"/>
      <c r="N109" s="741"/>
      <c r="O109" s="741"/>
      <c r="P109" s="741"/>
      <c r="Q109" s="741"/>
      <c r="R109" s="741"/>
      <c r="S109" s="741"/>
      <c r="T109" s="741"/>
      <c r="U109" s="741"/>
      <c r="V109" s="741"/>
      <c r="W109" s="741"/>
      <c r="X109" s="741"/>
      <c r="Y109" s="741"/>
      <c r="Z109" s="741"/>
      <c r="AA109" s="741"/>
      <c r="AB109" s="741"/>
      <c r="AC109" s="741"/>
      <c r="AD109" s="741"/>
      <c r="AE109" s="741"/>
      <c r="AF109" s="741"/>
      <c r="AG109" s="741"/>
      <c r="AH109" s="741"/>
      <c r="AI109" s="741"/>
      <c r="AJ109" s="741"/>
      <c r="AK109" s="741"/>
      <c r="AL109" s="741"/>
      <c r="AM109" s="741"/>
      <c r="AN109" s="741"/>
      <c r="AO109" s="741"/>
      <c r="AP109" s="741"/>
      <c r="AQ109" s="741"/>
      <c r="AR109" s="741"/>
    </row>
    <row r="110" spans="1:44">
      <c r="A110" s="741"/>
      <c r="B110" s="741"/>
      <c r="C110" s="741"/>
      <c r="D110" s="741"/>
      <c r="E110" s="741"/>
      <c r="F110" s="741"/>
      <c r="G110" s="741"/>
      <c r="H110" s="741"/>
      <c r="I110" s="741"/>
      <c r="J110" s="741"/>
      <c r="K110" s="741"/>
      <c r="L110" s="741"/>
      <c r="M110" s="741"/>
      <c r="N110" s="741"/>
      <c r="O110" s="741"/>
      <c r="P110" s="741"/>
      <c r="Q110" s="741"/>
      <c r="R110" s="741"/>
      <c r="S110" s="741"/>
      <c r="T110" s="741"/>
      <c r="U110" s="741"/>
      <c r="V110" s="741"/>
      <c r="W110" s="741"/>
      <c r="X110" s="741"/>
      <c r="Y110" s="741"/>
      <c r="Z110" s="741"/>
      <c r="AA110" s="741"/>
      <c r="AB110" s="741"/>
      <c r="AC110" s="741"/>
      <c r="AD110" s="741"/>
      <c r="AE110" s="741"/>
      <c r="AF110" s="741"/>
      <c r="AG110" s="741"/>
      <c r="AH110" s="741"/>
      <c r="AI110" s="741"/>
      <c r="AJ110" s="741"/>
      <c r="AK110" s="741"/>
      <c r="AL110" s="741"/>
      <c r="AM110" s="741"/>
      <c r="AN110" s="741"/>
      <c r="AO110" s="741"/>
      <c r="AP110" s="741"/>
      <c r="AQ110" s="741"/>
      <c r="AR110" s="741"/>
    </row>
    <row r="111" spans="1:44">
      <c r="A111" s="741"/>
      <c r="B111" s="741"/>
      <c r="C111" s="741"/>
      <c r="D111" s="741"/>
      <c r="E111" s="741"/>
      <c r="F111" s="741"/>
      <c r="G111" s="741"/>
      <c r="H111" s="741"/>
      <c r="I111" s="741"/>
      <c r="J111" s="741"/>
      <c r="K111" s="741"/>
      <c r="L111" s="741"/>
      <c r="M111" s="741"/>
      <c r="N111" s="741"/>
      <c r="O111" s="741"/>
      <c r="P111" s="741"/>
      <c r="Q111" s="741"/>
      <c r="R111" s="741"/>
      <c r="S111" s="741"/>
      <c r="T111" s="741"/>
      <c r="U111" s="741"/>
      <c r="V111" s="741"/>
      <c r="W111" s="741"/>
      <c r="X111" s="741"/>
      <c r="Y111" s="741"/>
      <c r="Z111" s="741"/>
      <c r="AA111" s="741"/>
      <c r="AB111" s="741"/>
      <c r="AC111" s="741"/>
      <c r="AD111" s="741"/>
      <c r="AE111" s="741"/>
      <c r="AF111" s="741"/>
      <c r="AG111" s="741"/>
      <c r="AH111" s="741"/>
      <c r="AI111" s="741"/>
      <c r="AJ111" s="741"/>
      <c r="AK111" s="741"/>
      <c r="AL111" s="741"/>
      <c r="AM111" s="741"/>
      <c r="AN111" s="741"/>
      <c r="AO111" s="741"/>
      <c r="AP111" s="741"/>
      <c r="AQ111" s="741"/>
      <c r="AR111" s="741"/>
    </row>
    <row r="112" spans="1:44">
      <c r="A112" s="741"/>
      <c r="B112" s="741"/>
      <c r="C112" s="741"/>
      <c r="D112" s="741"/>
      <c r="E112" s="741"/>
      <c r="F112" s="741"/>
      <c r="G112" s="741"/>
      <c r="H112" s="741"/>
      <c r="I112" s="741"/>
      <c r="J112" s="741"/>
      <c r="K112" s="741"/>
      <c r="L112" s="741"/>
      <c r="M112" s="741"/>
      <c r="N112" s="741"/>
      <c r="O112" s="741"/>
      <c r="P112" s="741"/>
      <c r="Q112" s="741"/>
      <c r="R112" s="741"/>
      <c r="S112" s="741"/>
      <c r="T112" s="741"/>
      <c r="U112" s="741"/>
      <c r="V112" s="741"/>
      <c r="W112" s="741"/>
      <c r="X112" s="741"/>
      <c r="Y112" s="741"/>
      <c r="Z112" s="741"/>
      <c r="AA112" s="741"/>
      <c r="AB112" s="741"/>
      <c r="AC112" s="741"/>
      <c r="AD112" s="741"/>
      <c r="AE112" s="741"/>
      <c r="AF112" s="741"/>
      <c r="AG112" s="741"/>
      <c r="AH112" s="741"/>
      <c r="AI112" s="741"/>
      <c r="AJ112" s="741"/>
      <c r="AK112" s="741"/>
      <c r="AL112" s="741"/>
      <c r="AM112" s="741"/>
      <c r="AN112" s="741"/>
      <c r="AO112" s="741"/>
      <c r="AP112" s="741"/>
      <c r="AQ112" s="741"/>
      <c r="AR112" s="741"/>
    </row>
    <row r="113" spans="1:44">
      <c r="A113" s="741"/>
      <c r="B113" s="741"/>
      <c r="C113" s="741"/>
      <c r="D113" s="741"/>
      <c r="E113" s="741"/>
      <c r="F113" s="741"/>
      <c r="G113" s="741"/>
      <c r="H113" s="741"/>
      <c r="I113" s="741"/>
      <c r="J113" s="741"/>
      <c r="K113" s="741"/>
      <c r="L113" s="741"/>
      <c r="M113" s="741"/>
      <c r="N113" s="741"/>
      <c r="O113" s="741"/>
      <c r="P113" s="741"/>
      <c r="Q113" s="741"/>
      <c r="R113" s="741"/>
      <c r="S113" s="741"/>
      <c r="T113" s="741"/>
      <c r="U113" s="741"/>
      <c r="V113" s="741"/>
      <c r="W113" s="741"/>
      <c r="X113" s="741"/>
      <c r="Y113" s="741"/>
      <c r="Z113" s="741"/>
      <c r="AA113" s="741"/>
      <c r="AB113" s="741"/>
      <c r="AC113" s="741"/>
      <c r="AD113" s="741"/>
      <c r="AE113" s="741"/>
      <c r="AF113" s="741"/>
      <c r="AG113" s="741"/>
      <c r="AH113" s="741"/>
      <c r="AI113" s="741"/>
      <c r="AJ113" s="741"/>
      <c r="AK113" s="741"/>
      <c r="AL113" s="741"/>
      <c r="AM113" s="741"/>
      <c r="AN113" s="741"/>
      <c r="AO113" s="741"/>
      <c r="AP113" s="741"/>
      <c r="AQ113" s="741"/>
      <c r="AR113" s="741"/>
    </row>
    <row r="114" spans="1:44">
      <c r="A114" s="741"/>
      <c r="B114" s="741"/>
      <c r="C114" s="741"/>
      <c r="D114" s="741"/>
      <c r="E114" s="741"/>
      <c r="F114" s="741"/>
      <c r="G114" s="741"/>
      <c r="H114" s="741"/>
      <c r="I114" s="741"/>
      <c r="J114" s="741"/>
      <c r="K114" s="741"/>
      <c r="L114" s="741"/>
      <c r="M114" s="741"/>
      <c r="N114" s="741"/>
      <c r="O114" s="741"/>
      <c r="P114" s="741"/>
      <c r="Q114" s="741"/>
      <c r="R114" s="741"/>
      <c r="S114" s="741"/>
      <c r="T114" s="741"/>
      <c r="U114" s="741"/>
      <c r="V114" s="741"/>
      <c r="W114" s="741"/>
      <c r="X114" s="741"/>
      <c r="Y114" s="741"/>
      <c r="Z114" s="741"/>
      <c r="AA114" s="741"/>
      <c r="AB114" s="741"/>
      <c r="AC114" s="741"/>
      <c r="AD114" s="741"/>
      <c r="AE114" s="741"/>
      <c r="AF114" s="741"/>
      <c r="AG114" s="741"/>
      <c r="AH114" s="741"/>
      <c r="AI114" s="741"/>
      <c r="AJ114" s="741"/>
      <c r="AK114" s="741"/>
      <c r="AL114" s="741"/>
      <c r="AM114" s="741"/>
      <c r="AN114" s="741"/>
      <c r="AO114" s="741"/>
      <c r="AP114" s="741"/>
      <c r="AQ114" s="741"/>
      <c r="AR114" s="741"/>
    </row>
    <row r="115" spans="1:44">
      <c r="A115" s="741"/>
      <c r="B115" s="741"/>
      <c r="C115" s="741"/>
      <c r="D115" s="741"/>
      <c r="E115" s="741"/>
      <c r="F115" s="741"/>
      <c r="G115" s="741"/>
      <c r="H115" s="741"/>
      <c r="I115" s="741"/>
      <c r="J115" s="741"/>
      <c r="K115" s="741"/>
      <c r="L115" s="741"/>
      <c r="M115" s="741"/>
      <c r="N115" s="741"/>
      <c r="O115" s="741"/>
      <c r="P115" s="741"/>
      <c r="Q115" s="741"/>
      <c r="R115" s="741"/>
      <c r="S115" s="741"/>
      <c r="T115" s="741"/>
      <c r="U115" s="741"/>
      <c r="V115" s="741"/>
      <c r="W115" s="741"/>
      <c r="X115" s="741"/>
      <c r="Y115" s="741"/>
      <c r="Z115" s="741"/>
      <c r="AA115" s="741"/>
      <c r="AB115" s="741"/>
      <c r="AC115" s="741"/>
      <c r="AD115" s="741"/>
      <c r="AE115" s="741"/>
      <c r="AF115" s="741"/>
      <c r="AG115" s="741"/>
      <c r="AH115" s="741"/>
      <c r="AI115" s="741"/>
      <c r="AJ115" s="741"/>
      <c r="AK115" s="741"/>
      <c r="AL115" s="741"/>
      <c r="AM115" s="741"/>
      <c r="AN115" s="741"/>
      <c r="AO115" s="741"/>
      <c r="AP115" s="741"/>
      <c r="AQ115" s="741"/>
      <c r="AR115" s="741"/>
    </row>
    <row r="116" spans="1:44">
      <c r="A116" s="741"/>
      <c r="B116" s="741"/>
      <c r="C116" s="741"/>
      <c r="D116" s="741"/>
      <c r="E116" s="741"/>
      <c r="F116" s="741"/>
      <c r="G116" s="741"/>
      <c r="H116" s="741"/>
      <c r="I116" s="741"/>
      <c r="J116" s="741"/>
      <c r="K116" s="741"/>
      <c r="L116" s="741"/>
      <c r="M116" s="741"/>
      <c r="N116" s="741"/>
      <c r="O116" s="741"/>
      <c r="P116" s="741"/>
      <c r="Q116" s="741"/>
      <c r="R116" s="741"/>
      <c r="S116" s="741"/>
      <c r="T116" s="741"/>
      <c r="U116" s="741"/>
      <c r="V116" s="741"/>
      <c r="W116" s="741"/>
      <c r="X116" s="741"/>
      <c r="Y116" s="741"/>
      <c r="Z116" s="741"/>
      <c r="AA116" s="741"/>
      <c r="AB116" s="741"/>
      <c r="AC116" s="741"/>
      <c r="AD116" s="741"/>
      <c r="AE116" s="741"/>
      <c r="AF116" s="741"/>
      <c r="AG116" s="741"/>
      <c r="AH116" s="741"/>
      <c r="AI116" s="741"/>
      <c r="AJ116" s="741"/>
      <c r="AK116" s="741"/>
      <c r="AL116" s="741"/>
      <c r="AM116" s="741"/>
      <c r="AN116" s="741"/>
      <c r="AO116" s="741"/>
      <c r="AP116" s="741"/>
      <c r="AQ116" s="741"/>
      <c r="AR116" s="741"/>
    </row>
    <row r="117" spans="1:44">
      <c r="A117" s="741"/>
      <c r="B117" s="741"/>
      <c r="C117" s="741"/>
      <c r="D117" s="741"/>
      <c r="E117" s="741"/>
      <c r="F117" s="741"/>
      <c r="G117" s="741"/>
      <c r="H117" s="741"/>
      <c r="I117" s="741"/>
      <c r="J117" s="741"/>
      <c r="K117" s="741"/>
      <c r="L117" s="741"/>
      <c r="M117" s="741"/>
      <c r="N117" s="741"/>
      <c r="O117" s="741"/>
      <c r="P117" s="741"/>
      <c r="Q117" s="741"/>
      <c r="R117" s="741"/>
      <c r="S117" s="741"/>
      <c r="T117" s="741"/>
      <c r="U117" s="741"/>
      <c r="V117" s="741"/>
      <c r="W117" s="741"/>
      <c r="X117" s="741"/>
      <c r="Y117" s="741"/>
      <c r="Z117" s="741"/>
      <c r="AA117" s="741"/>
      <c r="AB117" s="741"/>
      <c r="AC117" s="741"/>
      <c r="AD117" s="741"/>
      <c r="AE117" s="741"/>
      <c r="AF117" s="741"/>
      <c r="AG117" s="741"/>
      <c r="AH117" s="741"/>
      <c r="AI117" s="741"/>
      <c r="AJ117" s="741"/>
      <c r="AK117" s="741"/>
      <c r="AL117" s="741"/>
      <c r="AM117" s="741"/>
      <c r="AN117" s="741"/>
      <c r="AO117" s="741"/>
      <c r="AP117" s="741"/>
      <c r="AQ117" s="741"/>
      <c r="AR117" s="741"/>
    </row>
    <row r="118" spans="1:44">
      <c r="A118" s="741"/>
      <c r="B118" s="741"/>
      <c r="C118" s="741"/>
      <c r="D118" s="741"/>
      <c r="E118" s="741"/>
      <c r="F118" s="741"/>
      <c r="G118" s="741"/>
      <c r="H118" s="741"/>
      <c r="I118" s="741"/>
      <c r="J118" s="741"/>
      <c r="K118" s="741"/>
      <c r="L118" s="741"/>
      <c r="M118" s="741"/>
      <c r="N118" s="741"/>
      <c r="O118" s="741"/>
      <c r="P118" s="741"/>
      <c r="Q118" s="741"/>
      <c r="R118" s="741"/>
      <c r="S118" s="741"/>
      <c r="T118" s="741"/>
      <c r="U118" s="741"/>
      <c r="V118" s="741"/>
      <c r="W118" s="741"/>
      <c r="X118" s="741"/>
      <c r="Y118" s="741"/>
      <c r="Z118" s="741"/>
      <c r="AA118" s="741"/>
      <c r="AB118" s="741"/>
      <c r="AC118" s="741"/>
      <c r="AD118" s="741"/>
      <c r="AE118" s="741"/>
      <c r="AF118" s="741"/>
      <c r="AG118" s="741"/>
      <c r="AH118" s="741"/>
      <c r="AI118" s="741"/>
      <c r="AJ118" s="741"/>
      <c r="AK118" s="741"/>
      <c r="AL118" s="741"/>
      <c r="AM118" s="741"/>
      <c r="AN118" s="741"/>
      <c r="AO118" s="741"/>
      <c r="AP118" s="741"/>
      <c r="AQ118" s="741"/>
      <c r="AR118" s="741"/>
    </row>
    <row r="119" spans="1:44">
      <c r="A119" s="741"/>
      <c r="B119" s="741"/>
      <c r="C119" s="741"/>
      <c r="D119" s="741"/>
      <c r="E119" s="741"/>
      <c r="F119" s="741"/>
      <c r="G119" s="741"/>
      <c r="H119" s="741"/>
      <c r="I119" s="741"/>
      <c r="J119" s="741"/>
      <c r="K119" s="741"/>
      <c r="L119" s="741"/>
      <c r="M119" s="741"/>
      <c r="N119" s="741"/>
      <c r="O119" s="741"/>
      <c r="P119" s="741"/>
      <c r="Q119" s="741"/>
      <c r="R119" s="741"/>
      <c r="S119" s="741"/>
      <c r="T119" s="741"/>
      <c r="U119" s="741"/>
      <c r="V119" s="741"/>
      <c r="W119" s="741"/>
      <c r="X119" s="741"/>
      <c r="Y119" s="741"/>
      <c r="Z119" s="741"/>
      <c r="AA119" s="741"/>
      <c r="AB119" s="741"/>
      <c r="AC119" s="741"/>
      <c r="AD119" s="741"/>
      <c r="AE119" s="741"/>
      <c r="AF119" s="741"/>
      <c r="AG119" s="741"/>
      <c r="AH119" s="741"/>
      <c r="AI119" s="741"/>
      <c r="AJ119" s="741"/>
      <c r="AK119" s="741"/>
      <c r="AL119" s="741"/>
      <c r="AM119" s="741"/>
      <c r="AN119" s="741"/>
      <c r="AO119" s="741"/>
      <c r="AP119" s="741"/>
      <c r="AQ119" s="741"/>
      <c r="AR119" s="741"/>
    </row>
    <row r="120" spans="1:44">
      <c r="A120" s="741"/>
      <c r="B120" s="741"/>
      <c r="C120" s="741"/>
      <c r="D120" s="741"/>
      <c r="E120" s="741"/>
      <c r="F120" s="741"/>
      <c r="G120" s="741"/>
      <c r="H120" s="741"/>
      <c r="I120" s="741"/>
      <c r="J120" s="741"/>
      <c r="K120" s="741"/>
      <c r="L120" s="741"/>
      <c r="M120" s="741"/>
      <c r="N120" s="741"/>
      <c r="O120" s="741"/>
      <c r="P120" s="741"/>
      <c r="Q120" s="741"/>
      <c r="R120" s="741"/>
      <c r="S120" s="741"/>
      <c r="T120" s="741"/>
      <c r="U120" s="741"/>
      <c r="V120" s="741"/>
      <c r="W120" s="741"/>
      <c r="X120" s="741"/>
      <c r="Y120" s="741"/>
      <c r="Z120" s="741"/>
      <c r="AA120" s="741"/>
      <c r="AB120" s="741"/>
      <c r="AC120" s="741"/>
      <c r="AD120" s="741"/>
      <c r="AE120" s="741"/>
      <c r="AF120" s="741"/>
      <c r="AG120" s="741"/>
      <c r="AH120" s="741"/>
      <c r="AI120" s="741"/>
      <c r="AJ120" s="741"/>
      <c r="AK120" s="741"/>
      <c r="AL120" s="741"/>
      <c r="AM120" s="741"/>
      <c r="AN120" s="741"/>
      <c r="AO120" s="741"/>
      <c r="AP120" s="741"/>
      <c r="AQ120" s="741"/>
      <c r="AR120" s="741"/>
    </row>
    <row r="121" spans="1:44">
      <c r="A121" s="741"/>
      <c r="B121" s="741"/>
      <c r="C121" s="741"/>
      <c r="D121" s="741"/>
      <c r="E121" s="741"/>
      <c r="F121" s="741"/>
      <c r="G121" s="741"/>
      <c r="H121" s="741"/>
      <c r="I121" s="741"/>
      <c r="J121" s="741"/>
      <c r="K121" s="741"/>
      <c r="L121" s="741"/>
      <c r="M121" s="741"/>
      <c r="N121" s="741"/>
      <c r="O121" s="741"/>
      <c r="P121" s="741"/>
      <c r="Q121" s="741"/>
      <c r="R121" s="741"/>
      <c r="S121" s="741"/>
      <c r="T121" s="741"/>
      <c r="U121" s="741"/>
      <c r="V121" s="741"/>
      <c r="W121" s="741"/>
      <c r="X121" s="741"/>
      <c r="Y121" s="741"/>
      <c r="Z121" s="741"/>
      <c r="AA121" s="741"/>
      <c r="AB121" s="741"/>
      <c r="AC121" s="741"/>
      <c r="AD121" s="741"/>
      <c r="AE121" s="741"/>
      <c r="AF121" s="741"/>
      <c r="AG121" s="741"/>
      <c r="AH121" s="741"/>
      <c r="AI121" s="741"/>
      <c r="AJ121" s="741"/>
      <c r="AK121" s="741"/>
      <c r="AL121" s="741"/>
      <c r="AM121" s="741"/>
      <c r="AN121" s="741"/>
      <c r="AO121" s="741"/>
      <c r="AP121" s="741"/>
      <c r="AQ121" s="741"/>
      <c r="AR121" s="741"/>
    </row>
    <row r="122" spans="1:44">
      <c r="A122" s="741"/>
      <c r="B122" s="741"/>
      <c r="C122" s="741"/>
      <c r="D122" s="741"/>
      <c r="E122" s="741"/>
      <c r="F122" s="741"/>
      <c r="G122" s="741"/>
      <c r="H122" s="741"/>
      <c r="I122" s="741"/>
      <c r="J122" s="741"/>
      <c r="K122" s="741"/>
      <c r="L122" s="741"/>
      <c r="M122" s="741"/>
      <c r="N122" s="741"/>
      <c r="O122" s="741"/>
      <c r="P122" s="741"/>
      <c r="Q122" s="741"/>
      <c r="R122" s="741"/>
      <c r="S122" s="741"/>
      <c r="T122" s="741"/>
      <c r="U122" s="741"/>
      <c r="V122" s="741"/>
      <c r="W122" s="741"/>
      <c r="X122" s="741"/>
      <c r="Y122" s="741"/>
      <c r="Z122" s="741"/>
      <c r="AA122" s="741"/>
      <c r="AB122" s="741"/>
      <c r="AC122" s="741"/>
      <c r="AD122" s="741"/>
      <c r="AE122" s="741"/>
      <c r="AF122" s="741"/>
      <c r="AG122" s="741"/>
      <c r="AH122" s="741"/>
      <c r="AI122" s="741"/>
      <c r="AJ122" s="741"/>
      <c r="AK122" s="741"/>
      <c r="AL122" s="741"/>
      <c r="AM122" s="741"/>
      <c r="AN122" s="741"/>
      <c r="AO122" s="741"/>
      <c r="AP122" s="741"/>
      <c r="AQ122" s="741"/>
      <c r="AR122" s="741"/>
    </row>
    <row r="123" spans="1:44">
      <c r="A123" s="741"/>
      <c r="B123" s="741"/>
      <c r="C123" s="741"/>
      <c r="D123" s="741"/>
      <c r="E123" s="741"/>
      <c r="F123" s="741"/>
      <c r="G123" s="741"/>
      <c r="H123" s="741"/>
      <c r="I123" s="741"/>
      <c r="J123" s="741"/>
      <c r="K123" s="741"/>
      <c r="L123" s="741"/>
      <c r="M123" s="741"/>
      <c r="N123" s="741"/>
      <c r="O123" s="741"/>
      <c r="P123" s="741"/>
      <c r="Q123" s="741"/>
      <c r="R123" s="741"/>
      <c r="S123" s="741"/>
      <c r="T123" s="741"/>
      <c r="U123" s="741"/>
      <c r="V123" s="741"/>
      <c r="W123" s="741"/>
      <c r="X123" s="741"/>
      <c r="Y123" s="741"/>
      <c r="Z123" s="741"/>
      <c r="AA123" s="741"/>
      <c r="AB123" s="741"/>
      <c r="AC123" s="741"/>
      <c r="AD123" s="741"/>
      <c r="AE123" s="741"/>
      <c r="AF123" s="741"/>
      <c r="AG123" s="741"/>
      <c r="AH123" s="741"/>
      <c r="AI123" s="741"/>
      <c r="AJ123" s="741"/>
      <c r="AK123" s="741"/>
      <c r="AL123" s="741"/>
      <c r="AM123" s="741"/>
      <c r="AN123" s="741"/>
      <c r="AO123" s="741"/>
      <c r="AP123" s="741"/>
      <c r="AQ123" s="741"/>
      <c r="AR123" s="741"/>
    </row>
    <row r="124" spans="1:44">
      <c r="A124" s="741"/>
      <c r="B124" s="741"/>
      <c r="C124" s="741"/>
      <c r="D124" s="741"/>
      <c r="E124" s="741"/>
      <c r="F124" s="741"/>
      <c r="G124" s="741"/>
      <c r="H124" s="741"/>
      <c r="I124" s="741"/>
      <c r="J124" s="741"/>
      <c r="K124" s="741"/>
      <c r="L124" s="741"/>
      <c r="M124" s="741"/>
      <c r="N124" s="741"/>
      <c r="O124" s="741"/>
      <c r="P124" s="741"/>
      <c r="Q124" s="741"/>
      <c r="R124" s="741"/>
      <c r="S124" s="741"/>
      <c r="T124" s="741"/>
      <c r="U124" s="741"/>
      <c r="V124" s="741"/>
      <c r="W124" s="741"/>
      <c r="X124" s="741"/>
      <c r="Y124" s="741"/>
      <c r="Z124" s="741"/>
      <c r="AA124" s="741"/>
      <c r="AB124" s="741"/>
      <c r="AC124" s="741"/>
      <c r="AD124" s="741"/>
      <c r="AE124" s="741"/>
      <c r="AF124" s="741"/>
      <c r="AG124" s="741"/>
      <c r="AH124" s="741"/>
      <c r="AI124" s="741"/>
      <c r="AJ124" s="741"/>
      <c r="AK124" s="741"/>
      <c r="AL124" s="741"/>
      <c r="AM124" s="741"/>
      <c r="AN124" s="741"/>
      <c r="AO124" s="741"/>
      <c r="AP124" s="741"/>
      <c r="AQ124" s="741"/>
      <c r="AR124" s="741"/>
    </row>
    <row r="125" spans="1:44">
      <c r="A125" s="741"/>
      <c r="B125" s="741"/>
      <c r="C125" s="741"/>
      <c r="D125" s="741"/>
      <c r="E125" s="741"/>
      <c r="F125" s="741"/>
      <c r="G125" s="741"/>
      <c r="H125" s="741"/>
      <c r="I125" s="741"/>
      <c r="J125" s="741"/>
      <c r="K125" s="741"/>
      <c r="L125" s="741"/>
      <c r="M125" s="741"/>
      <c r="N125" s="741"/>
      <c r="O125" s="741"/>
      <c r="P125" s="741"/>
      <c r="Q125" s="741"/>
      <c r="R125" s="741"/>
      <c r="S125" s="741"/>
      <c r="T125" s="741"/>
      <c r="U125" s="741"/>
      <c r="V125" s="741"/>
      <c r="W125" s="741"/>
      <c r="X125" s="741"/>
      <c r="Y125" s="741"/>
      <c r="Z125" s="741"/>
      <c r="AA125" s="741"/>
      <c r="AB125" s="741"/>
      <c r="AC125" s="741"/>
      <c r="AD125" s="741"/>
      <c r="AE125" s="741"/>
      <c r="AF125" s="741"/>
      <c r="AG125" s="741"/>
      <c r="AH125" s="741"/>
      <c r="AI125" s="741"/>
      <c r="AJ125" s="741"/>
      <c r="AK125" s="741"/>
      <c r="AL125" s="741"/>
      <c r="AM125" s="741"/>
      <c r="AN125" s="741"/>
      <c r="AO125" s="741"/>
      <c r="AP125" s="741"/>
      <c r="AQ125" s="741"/>
      <c r="AR125" s="741"/>
    </row>
    <row r="126" spans="1:44">
      <c r="A126" s="741"/>
      <c r="B126" s="741"/>
      <c r="C126" s="741"/>
      <c r="D126" s="741"/>
      <c r="E126" s="741"/>
      <c r="F126" s="741"/>
      <c r="G126" s="741"/>
      <c r="H126" s="741"/>
      <c r="I126" s="741"/>
      <c r="J126" s="741"/>
      <c r="K126" s="741"/>
      <c r="L126" s="741"/>
      <c r="M126" s="741"/>
      <c r="N126" s="741"/>
      <c r="O126" s="741"/>
      <c r="P126" s="741"/>
      <c r="Q126" s="741"/>
      <c r="R126" s="741"/>
      <c r="S126" s="741"/>
      <c r="T126" s="741"/>
      <c r="U126" s="741"/>
      <c r="V126" s="741"/>
      <c r="W126" s="741"/>
      <c r="X126" s="741"/>
      <c r="Y126" s="741"/>
      <c r="Z126" s="741"/>
      <c r="AA126" s="741"/>
      <c r="AB126" s="741"/>
      <c r="AC126" s="741"/>
      <c r="AD126" s="741"/>
      <c r="AE126" s="741"/>
      <c r="AF126" s="741"/>
      <c r="AG126" s="741"/>
      <c r="AH126" s="741"/>
      <c r="AI126" s="741"/>
      <c r="AJ126" s="741"/>
      <c r="AK126" s="741"/>
      <c r="AL126" s="741"/>
      <c r="AM126" s="741"/>
      <c r="AN126" s="741"/>
      <c r="AO126" s="741"/>
      <c r="AP126" s="741"/>
      <c r="AQ126" s="741"/>
      <c r="AR126" s="741"/>
    </row>
    <row r="127" spans="1:44">
      <c r="A127" s="741"/>
      <c r="B127" s="741"/>
      <c r="C127" s="741"/>
      <c r="D127" s="741"/>
      <c r="E127" s="741"/>
      <c r="F127" s="741"/>
      <c r="G127" s="741"/>
      <c r="H127" s="741"/>
      <c r="I127" s="741"/>
      <c r="J127" s="741"/>
      <c r="K127" s="741"/>
      <c r="L127" s="741"/>
      <c r="M127" s="741"/>
      <c r="N127" s="741"/>
      <c r="O127" s="741"/>
      <c r="P127" s="741"/>
      <c r="Q127" s="741"/>
      <c r="R127" s="741"/>
      <c r="S127" s="741"/>
      <c r="T127" s="741"/>
      <c r="U127" s="741"/>
      <c r="V127" s="741"/>
      <c r="W127" s="741"/>
      <c r="X127" s="741"/>
      <c r="Y127" s="741"/>
      <c r="Z127" s="741"/>
      <c r="AA127" s="741"/>
      <c r="AB127" s="741"/>
      <c r="AC127" s="741"/>
      <c r="AD127" s="741"/>
      <c r="AE127" s="741"/>
      <c r="AF127" s="741"/>
      <c r="AG127" s="741"/>
      <c r="AH127" s="741"/>
      <c r="AI127" s="741"/>
      <c r="AJ127" s="741"/>
      <c r="AK127" s="741"/>
      <c r="AL127" s="741"/>
      <c r="AM127" s="741"/>
      <c r="AN127" s="741"/>
      <c r="AO127" s="741"/>
      <c r="AP127" s="741"/>
      <c r="AQ127" s="741"/>
      <c r="AR127" s="741"/>
    </row>
    <row r="128" spans="1:44">
      <c r="A128" s="741"/>
      <c r="B128" s="741"/>
      <c r="C128" s="741"/>
      <c r="D128" s="741"/>
      <c r="E128" s="741"/>
      <c r="F128" s="741"/>
      <c r="G128" s="741"/>
      <c r="H128" s="741"/>
      <c r="I128" s="741"/>
      <c r="J128" s="741"/>
      <c r="K128" s="741"/>
      <c r="L128" s="741"/>
      <c r="M128" s="741"/>
      <c r="N128" s="741"/>
      <c r="O128" s="741"/>
      <c r="P128" s="741"/>
      <c r="Q128" s="741"/>
      <c r="R128" s="741"/>
      <c r="S128" s="741"/>
      <c r="T128" s="741"/>
      <c r="U128" s="741"/>
      <c r="V128" s="741"/>
      <c r="W128" s="741"/>
      <c r="X128" s="741"/>
      <c r="Y128" s="741"/>
      <c r="Z128" s="741"/>
      <c r="AA128" s="741"/>
      <c r="AB128" s="741"/>
      <c r="AC128" s="741"/>
      <c r="AD128" s="741"/>
      <c r="AE128" s="741"/>
      <c r="AF128" s="741"/>
      <c r="AG128" s="741"/>
      <c r="AH128" s="741"/>
      <c r="AI128" s="741"/>
      <c r="AJ128" s="741"/>
      <c r="AK128" s="741"/>
      <c r="AL128" s="741"/>
      <c r="AM128" s="741"/>
      <c r="AN128" s="741"/>
      <c r="AO128" s="741"/>
      <c r="AP128" s="741"/>
      <c r="AQ128" s="741"/>
      <c r="AR128" s="741"/>
    </row>
    <row r="129" spans="1:44">
      <c r="A129" s="741"/>
      <c r="B129" s="741"/>
      <c r="C129" s="741"/>
      <c r="D129" s="741"/>
      <c r="E129" s="741"/>
      <c r="F129" s="741"/>
      <c r="G129" s="741"/>
      <c r="H129" s="741"/>
      <c r="I129" s="741"/>
      <c r="J129" s="741"/>
      <c r="K129" s="741"/>
      <c r="L129" s="741"/>
      <c r="M129" s="741"/>
      <c r="N129" s="741"/>
      <c r="O129" s="741"/>
      <c r="P129" s="741"/>
      <c r="Q129" s="741"/>
      <c r="R129" s="741"/>
      <c r="S129" s="741"/>
      <c r="T129" s="741"/>
      <c r="U129" s="741"/>
      <c r="V129" s="741"/>
      <c r="W129" s="741"/>
      <c r="X129" s="741"/>
      <c r="Y129" s="741"/>
      <c r="Z129" s="741"/>
      <c r="AA129" s="741"/>
      <c r="AB129" s="741"/>
      <c r="AC129" s="741"/>
      <c r="AD129" s="741"/>
      <c r="AE129" s="741"/>
      <c r="AF129" s="741"/>
      <c r="AG129" s="741"/>
      <c r="AH129" s="741"/>
      <c r="AI129" s="741"/>
      <c r="AJ129" s="741"/>
      <c r="AK129" s="741"/>
      <c r="AL129" s="741"/>
      <c r="AM129" s="741"/>
      <c r="AN129" s="741"/>
      <c r="AO129" s="741"/>
      <c r="AP129" s="741"/>
      <c r="AQ129" s="741"/>
      <c r="AR129" s="741"/>
    </row>
    <row r="130" spans="1:44">
      <c r="A130" s="741"/>
      <c r="B130" s="741"/>
      <c r="C130" s="741"/>
      <c r="D130" s="741"/>
      <c r="E130" s="741"/>
      <c r="F130" s="741"/>
      <c r="G130" s="741"/>
      <c r="H130" s="741"/>
      <c r="I130" s="741"/>
      <c r="J130" s="741"/>
      <c r="K130" s="741"/>
      <c r="L130" s="741"/>
      <c r="M130" s="741"/>
      <c r="N130" s="741"/>
      <c r="O130" s="741"/>
      <c r="P130" s="741"/>
      <c r="Q130" s="741"/>
      <c r="R130" s="741"/>
      <c r="S130" s="741"/>
      <c r="T130" s="741"/>
      <c r="U130" s="741"/>
      <c r="V130" s="741"/>
      <c r="W130" s="741"/>
      <c r="X130" s="741"/>
      <c r="Y130" s="741"/>
      <c r="Z130" s="741"/>
      <c r="AA130" s="741"/>
      <c r="AB130" s="741"/>
      <c r="AC130" s="741"/>
      <c r="AD130" s="741"/>
      <c r="AE130" s="741"/>
      <c r="AF130" s="741"/>
      <c r="AG130" s="741"/>
      <c r="AH130" s="741"/>
      <c r="AI130" s="741"/>
      <c r="AJ130" s="741"/>
      <c r="AK130" s="741"/>
      <c r="AL130" s="741"/>
      <c r="AM130" s="741"/>
      <c r="AN130" s="741"/>
      <c r="AO130" s="741"/>
      <c r="AP130" s="741"/>
      <c r="AQ130" s="741"/>
      <c r="AR130" s="741"/>
    </row>
    <row r="131" spans="1:44">
      <c r="A131" s="741"/>
      <c r="B131" s="741"/>
      <c r="C131" s="741"/>
      <c r="D131" s="741"/>
      <c r="E131" s="741"/>
      <c r="F131" s="741"/>
      <c r="G131" s="741"/>
      <c r="H131" s="741"/>
      <c r="I131" s="741"/>
      <c r="J131" s="741"/>
      <c r="K131" s="741"/>
      <c r="L131" s="741"/>
      <c r="M131" s="741"/>
      <c r="N131" s="741"/>
      <c r="O131" s="741"/>
      <c r="P131" s="741"/>
      <c r="Q131" s="741"/>
      <c r="R131" s="741"/>
      <c r="S131" s="741"/>
      <c r="T131" s="741"/>
      <c r="U131" s="741"/>
      <c r="V131" s="741"/>
      <c r="W131" s="741"/>
      <c r="X131" s="741"/>
      <c r="Y131" s="741"/>
      <c r="Z131" s="741"/>
      <c r="AA131" s="741"/>
      <c r="AB131" s="741"/>
      <c r="AC131" s="741"/>
      <c r="AD131" s="741"/>
      <c r="AE131" s="741"/>
      <c r="AF131" s="741"/>
      <c r="AG131" s="741"/>
      <c r="AH131" s="741"/>
      <c r="AI131" s="741"/>
      <c r="AJ131" s="741"/>
      <c r="AK131" s="741"/>
      <c r="AL131" s="741"/>
      <c r="AM131" s="741"/>
      <c r="AN131" s="741"/>
      <c r="AO131" s="741"/>
      <c r="AP131" s="741"/>
      <c r="AQ131" s="741"/>
      <c r="AR131" s="741"/>
    </row>
    <row r="132" spans="1:44">
      <c r="A132" s="741"/>
      <c r="B132" s="741"/>
      <c r="C132" s="741"/>
      <c r="D132" s="741"/>
      <c r="E132" s="741"/>
      <c r="F132" s="741"/>
      <c r="G132" s="741"/>
      <c r="H132" s="741"/>
      <c r="I132" s="741"/>
      <c r="J132" s="741"/>
      <c r="K132" s="741"/>
      <c r="L132" s="741"/>
      <c r="M132" s="741"/>
      <c r="N132" s="741"/>
      <c r="O132" s="741"/>
      <c r="P132" s="741"/>
      <c r="Q132" s="741"/>
      <c r="R132" s="741"/>
      <c r="S132" s="741"/>
      <c r="T132" s="741"/>
      <c r="U132" s="741"/>
      <c r="V132" s="741"/>
      <c r="W132" s="741"/>
      <c r="X132" s="741"/>
      <c r="Y132" s="741"/>
      <c r="Z132" s="741"/>
      <c r="AA132" s="741"/>
      <c r="AB132" s="741"/>
      <c r="AC132" s="741"/>
      <c r="AD132" s="741"/>
      <c r="AE132" s="741"/>
      <c r="AF132" s="741"/>
      <c r="AG132" s="741"/>
      <c r="AH132" s="741"/>
      <c r="AI132" s="741"/>
      <c r="AJ132" s="741"/>
      <c r="AK132" s="741"/>
      <c r="AL132" s="741"/>
      <c r="AM132" s="741"/>
      <c r="AN132" s="741"/>
      <c r="AO132" s="741"/>
      <c r="AP132" s="741"/>
      <c r="AQ132" s="741"/>
      <c r="AR132" s="741"/>
    </row>
    <row r="133" spans="1:44">
      <c r="A133" s="741"/>
      <c r="B133" s="741"/>
      <c r="C133" s="741"/>
      <c r="D133" s="741"/>
      <c r="E133" s="741"/>
      <c r="F133" s="741"/>
      <c r="G133" s="741"/>
      <c r="H133" s="741"/>
      <c r="I133" s="741"/>
      <c r="J133" s="741"/>
      <c r="K133" s="741"/>
      <c r="L133" s="741"/>
      <c r="M133" s="741"/>
      <c r="N133" s="741"/>
      <c r="O133" s="741"/>
      <c r="P133" s="741"/>
      <c r="Q133" s="741"/>
      <c r="R133" s="741"/>
      <c r="S133" s="741"/>
      <c r="T133" s="741"/>
      <c r="U133" s="741"/>
      <c r="V133" s="741"/>
      <c r="W133" s="741"/>
      <c r="X133" s="741"/>
      <c r="Y133" s="741"/>
      <c r="Z133" s="741"/>
      <c r="AA133" s="741"/>
      <c r="AB133" s="741"/>
      <c r="AC133" s="741"/>
      <c r="AD133" s="741"/>
      <c r="AE133" s="741"/>
      <c r="AF133" s="741"/>
      <c r="AG133" s="741"/>
      <c r="AH133" s="741"/>
      <c r="AI133" s="741"/>
      <c r="AJ133" s="741"/>
      <c r="AK133" s="741"/>
      <c r="AL133" s="741"/>
      <c r="AM133" s="741"/>
      <c r="AN133" s="741"/>
      <c r="AO133" s="741"/>
      <c r="AP133" s="741"/>
      <c r="AQ133" s="741"/>
      <c r="AR133" s="741"/>
    </row>
    <row r="134" spans="1:44">
      <c r="A134" s="741"/>
      <c r="B134" s="741"/>
      <c r="C134" s="741"/>
      <c r="D134" s="741"/>
      <c r="E134" s="741"/>
      <c r="F134" s="741"/>
      <c r="G134" s="741"/>
      <c r="H134" s="741"/>
      <c r="I134" s="741"/>
      <c r="J134" s="741"/>
      <c r="K134" s="741"/>
      <c r="L134" s="741"/>
      <c r="M134" s="741"/>
      <c r="N134" s="741"/>
      <c r="O134" s="741"/>
      <c r="P134" s="741"/>
      <c r="Q134" s="741"/>
      <c r="R134" s="741"/>
      <c r="S134" s="741"/>
      <c r="T134" s="741"/>
      <c r="U134" s="741"/>
      <c r="V134" s="741"/>
      <c r="W134" s="741"/>
      <c r="X134" s="741"/>
      <c r="Y134" s="741"/>
      <c r="Z134" s="741"/>
      <c r="AA134" s="741"/>
      <c r="AB134" s="741"/>
      <c r="AC134" s="741"/>
      <c r="AD134" s="741"/>
      <c r="AE134" s="741"/>
      <c r="AF134" s="741"/>
      <c r="AG134" s="741"/>
      <c r="AH134" s="741"/>
      <c r="AI134" s="741"/>
      <c r="AJ134" s="741"/>
      <c r="AK134" s="741"/>
      <c r="AL134" s="741"/>
      <c r="AM134" s="741"/>
      <c r="AN134" s="741"/>
      <c r="AO134" s="741"/>
      <c r="AP134" s="741"/>
      <c r="AQ134" s="741"/>
      <c r="AR134" s="741"/>
    </row>
    <row r="135" spans="1:44">
      <c r="A135" s="741"/>
      <c r="B135" s="741"/>
      <c r="C135" s="741"/>
      <c r="D135" s="741"/>
      <c r="E135" s="741"/>
      <c r="F135" s="741"/>
      <c r="G135" s="741"/>
      <c r="H135" s="741"/>
      <c r="I135" s="741"/>
      <c r="J135" s="741"/>
      <c r="K135" s="741"/>
      <c r="L135" s="741"/>
      <c r="M135" s="741"/>
      <c r="N135" s="741"/>
      <c r="O135" s="741"/>
      <c r="P135" s="741"/>
      <c r="Q135" s="741"/>
      <c r="R135" s="741"/>
      <c r="S135" s="741"/>
      <c r="T135" s="741"/>
      <c r="U135" s="741"/>
      <c r="V135" s="741"/>
      <c r="W135" s="741"/>
      <c r="X135" s="741"/>
      <c r="Y135" s="741"/>
      <c r="Z135" s="741"/>
      <c r="AA135" s="741"/>
      <c r="AB135" s="741"/>
      <c r="AC135" s="741"/>
      <c r="AD135" s="741"/>
      <c r="AE135" s="741"/>
      <c r="AF135" s="741"/>
      <c r="AG135" s="741"/>
      <c r="AH135" s="741"/>
      <c r="AI135" s="741"/>
      <c r="AJ135" s="741"/>
      <c r="AK135" s="741"/>
      <c r="AL135" s="741"/>
      <c r="AM135" s="741"/>
      <c r="AN135" s="741"/>
      <c r="AO135" s="741"/>
      <c r="AP135" s="741"/>
      <c r="AQ135" s="741"/>
      <c r="AR135" s="741"/>
    </row>
    <row r="136" spans="1:44">
      <c r="A136" s="741"/>
      <c r="B136" s="741"/>
      <c r="C136" s="741"/>
      <c r="D136" s="741"/>
      <c r="E136" s="741"/>
      <c r="F136" s="741"/>
      <c r="G136" s="741"/>
      <c r="H136" s="741"/>
      <c r="I136" s="741"/>
      <c r="J136" s="741"/>
      <c r="K136" s="741"/>
      <c r="L136" s="741"/>
      <c r="M136" s="741"/>
      <c r="N136" s="741"/>
      <c r="O136" s="741"/>
      <c r="P136" s="741"/>
      <c r="Q136" s="741"/>
      <c r="R136" s="741"/>
      <c r="S136" s="741"/>
      <c r="T136" s="741"/>
      <c r="U136" s="741"/>
      <c r="V136" s="741"/>
      <c r="W136" s="741"/>
      <c r="X136" s="741"/>
      <c r="Y136" s="741"/>
      <c r="Z136" s="741"/>
      <c r="AA136" s="741"/>
      <c r="AB136" s="741"/>
      <c r="AC136" s="741"/>
      <c r="AD136" s="741"/>
      <c r="AE136" s="741"/>
      <c r="AF136" s="741"/>
      <c r="AG136" s="741"/>
      <c r="AH136" s="741"/>
      <c r="AI136" s="741"/>
      <c r="AJ136" s="741"/>
      <c r="AK136" s="741"/>
      <c r="AL136" s="741"/>
      <c r="AM136" s="741"/>
      <c r="AN136" s="741"/>
      <c r="AO136" s="741"/>
      <c r="AP136" s="741"/>
      <c r="AQ136" s="741"/>
      <c r="AR136" s="741"/>
    </row>
    <row r="137" spans="1:44">
      <c r="A137" s="741"/>
      <c r="B137" s="741"/>
      <c r="C137" s="741"/>
      <c r="D137" s="741"/>
      <c r="E137" s="741"/>
      <c r="F137" s="741"/>
      <c r="G137" s="741"/>
      <c r="H137" s="741"/>
      <c r="I137" s="741"/>
      <c r="J137" s="741"/>
      <c r="K137" s="741"/>
      <c r="L137" s="741"/>
      <c r="M137" s="741"/>
      <c r="N137" s="741"/>
      <c r="O137" s="741"/>
      <c r="P137" s="741"/>
      <c r="Q137" s="741"/>
      <c r="R137" s="741"/>
      <c r="S137" s="741"/>
      <c r="T137" s="741"/>
      <c r="U137" s="741"/>
      <c r="V137" s="741"/>
      <c r="W137" s="741"/>
      <c r="X137" s="741"/>
      <c r="Y137" s="741"/>
      <c r="Z137" s="741"/>
      <c r="AA137" s="741"/>
      <c r="AB137" s="741"/>
      <c r="AC137" s="741"/>
      <c r="AD137" s="741"/>
      <c r="AE137" s="741"/>
      <c r="AF137" s="741"/>
      <c r="AG137" s="741"/>
      <c r="AH137" s="741"/>
      <c r="AI137" s="741"/>
      <c r="AJ137" s="741"/>
      <c r="AK137" s="741"/>
      <c r="AL137" s="741"/>
      <c r="AM137" s="741"/>
      <c r="AN137" s="741"/>
      <c r="AO137" s="741"/>
      <c r="AP137" s="741"/>
      <c r="AQ137" s="741"/>
      <c r="AR137" s="741"/>
    </row>
    <row r="138" spans="1:44">
      <c r="A138" s="741"/>
      <c r="B138" s="741"/>
      <c r="C138" s="741"/>
      <c r="D138" s="741"/>
      <c r="E138" s="741"/>
      <c r="F138" s="741"/>
      <c r="G138" s="741"/>
      <c r="H138" s="741"/>
      <c r="I138" s="741"/>
      <c r="J138" s="741"/>
      <c r="K138" s="741"/>
      <c r="L138" s="741"/>
      <c r="M138" s="741"/>
      <c r="N138" s="741"/>
      <c r="O138" s="741"/>
      <c r="P138" s="741"/>
      <c r="Q138" s="741"/>
      <c r="R138" s="741"/>
      <c r="S138" s="741"/>
      <c r="T138" s="741"/>
      <c r="U138" s="741"/>
      <c r="V138" s="741"/>
      <c r="W138" s="741"/>
      <c r="X138" s="741"/>
      <c r="Y138" s="741"/>
      <c r="Z138" s="741"/>
      <c r="AA138" s="741"/>
      <c r="AB138" s="741"/>
      <c r="AC138" s="741"/>
      <c r="AD138" s="741"/>
      <c r="AE138" s="741"/>
      <c r="AF138" s="741"/>
      <c r="AG138" s="741"/>
      <c r="AH138" s="741"/>
      <c r="AI138" s="741"/>
      <c r="AJ138" s="741"/>
      <c r="AK138" s="741"/>
      <c r="AL138" s="741"/>
      <c r="AM138" s="741"/>
      <c r="AN138" s="741"/>
      <c r="AO138" s="741"/>
      <c r="AP138" s="741"/>
      <c r="AQ138" s="741"/>
      <c r="AR138" s="741"/>
    </row>
    <row r="139" spans="1:44">
      <c r="A139" s="741"/>
      <c r="B139" s="741"/>
      <c r="C139" s="741"/>
      <c r="D139" s="741"/>
      <c r="E139" s="741"/>
      <c r="F139" s="741"/>
      <c r="G139" s="741"/>
      <c r="H139" s="741"/>
      <c r="I139" s="741"/>
      <c r="J139" s="741"/>
      <c r="K139" s="741"/>
      <c r="L139" s="741"/>
      <c r="M139" s="741"/>
      <c r="N139" s="741"/>
      <c r="O139" s="741"/>
      <c r="P139" s="741"/>
      <c r="Q139" s="741"/>
      <c r="R139" s="741"/>
      <c r="S139" s="741"/>
      <c r="T139" s="741"/>
      <c r="U139" s="741"/>
      <c r="V139" s="741"/>
      <c r="W139" s="741"/>
      <c r="X139" s="741"/>
      <c r="Y139" s="741"/>
      <c r="Z139" s="741"/>
      <c r="AA139" s="741"/>
      <c r="AB139" s="741"/>
      <c r="AC139" s="741"/>
      <c r="AD139" s="741"/>
      <c r="AE139" s="741"/>
      <c r="AF139" s="741"/>
      <c r="AG139" s="741"/>
      <c r="AH139" s="741"/>
      <c r="AI139" s="741"/>
      <c r="AJ139" s="741"/>
      <c r="AK139" s="741"/>
      <c r="AL139" s="741"/>
      <c r="AM139" s="741"/>
      <c r="AN139" s="741"/>
      <c r="AO139" s="741"/>
      <c r="AP139" s="741"/>
      <c r="AQ139" s="741"/>
      <c r="AR139" s="741"/>
    </row>
    <row r="140" spans="1:44">
      <c r="A140" s="741"/>
      <c r="B140" s="741"/>
      <c r="C140" s="741"/>
      <c r="D140" s="741"/>
      <c r="E140" s="741"/>
      <c r="F140" s="741"/>
      <c r="G140" s="741"/>
      <c r="H140" s="741"/>
      <c r="I140" s="741"/>
      <c r="J140" s="741"/>
      <c r="K140" s="741"/>
      <c r="L140" s="741"/>
      <c r="M140" s="741"/>
      <c r="N140" s="741"/>
      <c r="O140" s="741"/>
      <c r="P140" s="741"/>
      <c r="Q140" s="741"/>
      <c r="R140" s="741"/>
      <c r="S140" s="741"/>
      <c r="T140" s="741"/>
      <c r="U140" s="741"/>
      <c r="V140" s="741"/>
      <c r="W140" s="741"/>
      <c r="X140" s="741"/>
      <c r="Y140" s="741"/>
      <c r="Z140" s="741"/>
      <c r="AA140" s="741"/>
      <c r="AB140" s="741"/>
      <c r="AC140" s="741"/>
      <c r="AD140" s="741"/>
      <c r="AE140" s="741"/>
      <c r="AF140" s="741"/>
      <c r="AG140" s="741"/>
      <c r="AH140" s="741"/>
      <c r="AI140" s="741"/>
      <c r="AJ140" s="741"/>
      <c r="AK140" s="741"/>
      <c r="AL140" s="741"/>
      <c r="AM140" s="741"/>
      <c r="AN140" s="741"/>
      <c r="AO140" s="741"/>
      <c r="AP140" s="741"/>
      <c r="AQ140" s="741"/>
      <c r="AR140" s="741"/>
    </row>
    <row r="141" spans="1:44">
      <c r="A141" s="741"/>
      <c r="B141" s="741"/>
      <c r="C141" s="741"/>
      <c r="D141" s="741"/>
      <c r="E141" s="741"/>
      <c r="F141" s="741"/>
      <c r="G141" s="741"/>
      <c r="H141" s="741"/>
      <c r="I141" s="741"/>
      <c r="J141" s="741"/>
      <c r="K141" s="741"/>
      <c r="L141" s="741"/>
      <c r="M141" s="741"/>
      <c r="N141" s="741"/>
      <c r="O141" s="741"/>
      <c r="P141" s="741"/>
      <c r="Q141" s="741"/>
      <c r="R141" s="741"/>
      <c r="S141" s="741"/>
      <c r="T141" s="741"/>
      <c r="U141" s="741"/>
      <c r="V141" s="741"/>
      <c r="W141" s="741"/>
      <c r="X141" s="741"/>
      <c r="Y141" s="741"/>
      <c r="Z141" s="741"/>
      <c r="AA141" s="741"/>
      <c r="AB141" s="741"/>
      <c r="AC141" s="741"/>
      <c r="AD141" s="741"/>
      <c r="AE141" s="741"/>
      <c r="AF141" s="741"/>
      <c r="AG141" s="741"/>
      <c r="AH141" s="741"/>
      <c r="AI141" s="741"/>
      <c r="AJ141" s="741"/>
      <c r="AK141" s="741"/>
      <c r="AL141" s="741"/>
      <c r="AM141" s="741"/>
      <c r="AN141" s="741"/>
      <c r="AO141" s="741"/>
      <c r="AP141" s="741"/>
      <c r="AQ141" s="741"/>
      <c r="AR141" s="741"/>
    </row>
    <row r="142" spans="1:44">
      <c r="A142" s="741"/>
      <c r="B142" s="741"/>
      <c r="C142" s="741"/>
      <c r="D142" s="741"/>
      <c r="E142" s="741"/>
      <c r="F142" s="741"/>
      <c r="G142" s="741"/>
      <c r="H142" s="741"/>
      <c r="I142" s="741"/>
      <c r="J142" s="741"/>
      <c r="K142" s="741"/>
      <c r="L142" s="741"/>
      <c r="M142" s="741"/>
      <c r="N142" s="741"/>
      <c r="O142" s="741"/>
      <c r="P142" s="741"/>
      <c r="Q142" s="741"/>
      <c r="R142" s="741"/>
      <c r="S142" s="741"/>
      <c r="T142" s="741"/>
      <c r="U142" s="741"/>
      <c r="V142" s="741"/>
      <c r="W142" s="741"/>
      <c r="X142" s="741"/>
      <c r="Y142" s="741"/>
      <c r="Z142" s="741"/>
      <c r="AA142" s="741"/>
      <c r="AB142" s="741"/>
      <c r="AC142" s="741"/>
      <c r="AD142" s="741"/>
      <c r="AE142" s="741"/>
      <c r="AF142" s="741"/>
      <c r="AG142" s="741"/>
      <c r="AH142" s="741"/>
      <c r="AI142" s="741"/>
      <c r="AJ142" s="741"/>
      <c r="AK142" s="741"/>
      <c r="AL142" s="741"/>
      <c r="AM142" s="741"/>
      <c r="AN142" s="741"/>
      <c r="AO142" s="741"/>
      <c r="AP142" s="741"/>
      <c r="AQ142" s="741"/>
      <c r="AR142" s="741"/>
    </row>
    <row r="143" spans="1:44">
      <c r="A143" s="741"/>
      <c r="B143" s="741"/>
      <c r="C143" s="741"/>
      <c r="D143" s="741"/>
      <c r="E143" s="741"/>
      <c r="F143" s="741"/>
      <c r="G143" s="741"/>
      <c r="H143" s="741"/>
      <c r="I143" s="741"/>
      <c r="J143" s="741"/>
      <c r="K143" s="741"/>
      <c r="L143" s="741"/>
      <c r="M143" s="741"/>
      <c r="N143" s="741"/>
      <c r="O143" s="741"/>
      <c r="P143" s="741"/>
      <c r="Q143" s="741"/>
      <c r="R143" s="741"/>
      <c r="S143" s="741"/>
      <c r="T143" s="741"/>
      <c r="U143" s="741"/>
      <c r="V143" s="741"/>
      <c r="W143" s="741"/>
      <c r="X143" s="741"/>
      <c r="Y143" s="741"/>
      <c r="Z143" s="741"/>
      <c r="AA143" s="741"/>
      <c r="AB143" s="741"/>
      <c r="AC143" s="741"/>
      <c r="AD143" s="741"/>
      <c r="AE143" s="741"/>
      <c r="AF143" s="741"/>
      <c r="AG143" s="741"/>
      <c r="AH143" s="741"/>
      <c r="AI143" s="741"/>
      <c r="AJ143" s="741"/>
      <c r="AK143" s="741"/>
      <c r="AL143" s="741"/>
      <c r="AM143" s="741"/>
      <c r="AN143" s="741"/>
      <c r="AO143" s="741"/>
      <c r="AP143" s="741"/>
      <c r="AQ143" s="741"/>
      <c r="AR143" s="741"/>
    </row>
    <row r="144" spans="1:44">
      <c r="A144" s="741"/>
      <c r="B144" s="741"/>
      <c r="C144" s="741"/>
      <c r="D144" s="741"/>
      <c r="E144" s="741"/>
      <c r="F144" s="741"/>
      <c r="G144" s="741"/>
      <c r="H144" s="741"/>
      <c r="I144" s="741"/>
      <c r="J144" s="741"/>
      <c r="K144" s="741"/>
      <c r="L144" s="741"/>
      <c r="M144" s="741"/>
      <c r="N144" s="741"/>
      <c r="O144" s="741"/>
      <c r="P144" s="741"/>
      <c r="Q144" s="741"/>
      <c r="R144" s="741"/>
      <c r="S144" s="741"/>
      <c r="T144" s="741"/>
      <c r="U144" s="741"/>
      <c r="V144" s="741"/>
      <c r="W144" s="741"/>
      <c r="X144" s="741"/>
      <c r="Y144" s="741"/>
      <c r="Z144" s="741"/>
      <c r="AA144" s="741"/>
      <c r="AB144" s="741"/>
      <c r="AC144" s="741"/>
      <c r="AD144" s="741"/>
      <c r="AE144" s="741"/>
      <c r="AF144" s="741"/>
      <c r="AG144" s="741"/>
      <c r="AH144" s="741"/>
      <c r="AI144" s="741"/>
      <c r="AJ144" s="741"/>
      <c r="AK144" s="741"/>
      <c r="AL144" s="741"/>
      <c r="AM144" s="741"/>
      <c r="AN144" s="741"/>
      <c r="AO144" s="741"/>
      <c r="AP144" s="741"/>
      <c r="AQ144" s="741"/>
      <c r="AR144" s="741"/>
    </row>
    <row r="145" spans="1:44">
      <c r="A145" s="741"/>
      <c r="B145" s="741"/>
      <c r="C145" s="741"/>
      <c r="D145" s="741"/>
      <c r="E145" s="741"/>
      <c r="F145" s="741"/>
      <c r="G145" s="741"/>
      <c r="H145" s="741"/>
      <c r="I145" s="741"/>
      <c r="J145" s="741"/>
      <c r="K145" s="741"/>
      <c r="L145" s="741"/>
      <c r="M145" s="741"/>
      <c r="N145" s="741"/>
      <c r="O145" s="741"/>
      <c r="P145" s="741"/>
      <c r="Q145" s="741"/>
      <c r="R145" s="741"/>
      <c r="S145" s="741"/>
      <c r="T145" s="741"/>
      <c r="U145" s="741"/>
      <c r="V145" s="741"/>
      <c r="W145" s="741"/>
      <c r="X145" s="741"/>
      <c r="Y145" s="741"/>
      <c r="Z145" s="741"/>
      <c r="AA145" s="741"/>
      <c r="AB145" s="741"/>
      <c r="AC145" s="741"/>
      <c r="AD145" s="741"/>
      <c r="AE145" s="741"/>
      <c r="AF145" s="741"/>
      <c r="AG145" s="741"/>
      <c r="AH145" s="741"/>
      <c r="AI145" s="741"/>
      <c r="AJ145" s="741"/>
      <c r="AK145" s="741"/>
      <c r="AL145" s="741"/>
      <c r="AM145" s="741"/>
      <c r="AN145" s="741"/>
      <c r="AO145" s="741"/>
      <c r="AP145" s="741"/>
      <c r="AQ145" s="741"/>
      <c r="AR145" s="741"/>
    </row>
    <row r="146" spans="1:44">
      <c r="A146" s="741"/>
      <c r="B146" s="741"/>
      <c r="C146" s="741"/>
      <c r="D146" s="741"/>
      <c r="E146" s="741"/>
      <c r="F146" s="741"/>
      <c r="G146" s="741"/>
      <c r="H146" s="741"/>
      <c r="I146" s="741"/>
      <c r="J146" s="741"/>
      <c r="K146" s="741"/>
      <c r="L146" s="741"/>
      <c r="M146" s="741"/>
      <c r="N146" s="741"/>
      <c r="O146" s="741"/>
      <c r="P146" s="741"/>
      <c r="Q146" s="741"/>
      <c r="R146" s="741"/>
      <c r="S146" s="741"/>
      <c r="T146" s="741"/>
      <c r="U146" s="741"/>
      <c r="V146" s="741"/>
      <c r="W146" s="741"/>
      <c r="X146" s="741"/>
      <c r="Y146" s="741"/>
      <c r="Z146" s="741"/>
      <c r="AA146" s="741"/>
      <c r="AB146" s="741"/>
      <c r="AC146" s="741"/>
      <c r="AD146" s="741"/>
      <c r="AE146" s="741"/>
      <c r="AF146" s="741"/>
      <c r="AG146" s="741"/>
      <c r="AH146" s="741"/>
      <c r="AI146" s="741"/>
      <c r="AJ146" s="741"/>
      <c r="AK146" s="741"/>
      <c r="AL146" s="741"/>
      <c r="AM146" s="741"/>
      <c r="AN146" s="741"/>
      <c r="AO146" s="741"/>
      <c r="AP146" s="741"/>
      <c r="AQ146" s="741"/>
      <c r="AR146" s="741"/>
    </row>
    <row r="147" spans="1:44">
      <c r="A147" s="741"/>
      <c r="B147" s="741"/>
      <c r="C147" s="741"/>
      <c r="D147" s="741"/>
      <c r="E147" s="741"/>
      <c r="F147" s="741"/>
      <c r="G147" s="741"/>
      <c r="H147" s="741"/>
      <c r="I147" s="741"/>
      <c r="J147" s="741"/>
      <c r="K147" s="741"/>
      <c r="L147" s="741"/>
      <c r="M147" s="741"/>
      <c r="N147" s="741"/>
      <c r="O147" s="741"/>
      <c r="P147" s="741"/>
      <c r="Q147" s="741"/>
      <c r="R147" s="741"/>
      <c r="S147" s="741"/>
      <c r="T147" s="741"/>
      <c r="U147" s="741"/>
      <c r="V147" s="741"/>
      <c r="W147" s="741"/>
      <c r="X147" s="741"/>
      <c r="Y147" s="741"/>
      <c r="Z147" s="741"/>
      <c r="AA147" s="741"/>
      <c r="AB147" s="741"/>
      <c r="AC147" s="741"/>
      <c r="AD147" s="741"/>
      <c r="AE147" s="741"/>
      <c r="AF147" s="741"/>
      <c r="AG147" s="741"/>
      <c r="AH147" s="741"/>
      <c r="AI147" s="741"/>
      <c r="AJ147" s="741"/>
      <c r="AK147" s="741"/>
      <c r="AL147" s="741"/>
      <c r="AM147" s="741"/>
      <c r="AN147" s="741"/>
      <c r="AO147" s="741"/>
      <c r="AP147" s="741"/>
      <c r="AQ147" s="741"/>
      <c r="AR147" s="741"/>
    </row>
    <row r="148" spans="1:44">
      <c r="A148" s="741"/>
      <c r="B148" s="741"/>
      <c r="C148" s="741"/>
      <c r="D148" s="741"/>
      <c r="E148" s="741"/>
      <c r="F148" s="741"/>
      <c r="G148" s="741"/>
      <c r="H148" s="741"/>
      <c r="I148" s="741"/>
      <c r="J148" s="741"/>
      <c r="K148" s="741"/>
      <c r="L148" s="741"/>
      <c r="M148" s="741"/>
      <c r="N148" s="741"/>
      <c r="O148" s="741"/>
      <c r="P148" s="741"/>
      <c r="Q148" s="741"/>
      <c r="R148" s="741"/>
      <c r="S148" s="741"/>
      <c r="T148" s="741"/>
      <c r="U148" s="741"/>
      <c r="V148" s="741"/>
      <c r="W148" s="741"/>
      <c r="X148" s="741"/>
      <c r="Y148" s="741"/>
      <c r="Z148" s="741"/>
      <c r="AA148" s="741"/>
      <c r="AB148" s="741"/>
      <c r="AC148" s="741"/>
      <c r="AD148" s="741"/>
      <c r="AE148" s="741"/>
      <c r="AF148" s="741"/>
      <c r="AG148" s="741"/>
      <c r="AH148" s="741"/>
      <c r="AI148" s="741"/>
      <c r="AJ148" s="741"/>
      <c r="AK148" s="741"/>
      <c r="AL148" s="741"/>
      <c r="AM148" s="741"/>
      <c r="AN148" s="741"/>
      <c r="AO148" s="741"/>
      <c r="AP148" s="741"/>
      <c r="AQ148" s="741"/>
      <c r="AR148" s="741"/>
    </row>
    <row r="149" spans="1:44">
      <c r="A149" s="741"/>
      <c r="B149" s="741"/>
      <c r="C149" s="741"/>
      <c r="D149" s="741"/>
      <c r="E149" s="741"/>
      <c r="F149" s="741"/>
      <c r="G149" s="741"/>
      <c r="H149" s="741"/>
      <c r="I149" s="741"/>
      <c r="J149" s="741"/>
      <c r="K149" s="741"/>
      <c r="L149" s="741"/>
      <c r="M149" s="741"/>
      <c r="N149" s="741"/>
      <c r="O149" s="741"/>
      <c r="P149" s="741"/>
      <c r="Q149" s="741"/>
      <c r="R149" s="741"/>
      <c r="S149" s="741"/>
      <c r="T149" s="741"/>
      <c r="U149" s="741"/>
      <c r="V149" s="741"/>
      <c r="W149" s="741"/>
      <c r="X149" s="741"/>
      <c r="Y149" s="741"/>
      <c r="Z149" s="741"/>
      <c r="AA149" s="741"/>
      <c r="AB149" s="741"/>
      <c r="AC149" s="741"/>
      <c r="AD149" s="741"/>
      <c r="AE149" s="741"/>
      <c r="AF149" s="741"/>
      <c r="AG149" s="741"/>
      <c r="AH149" s="741"/>
      <c r="AI149" s="741"/>
      <c r="AJ149" s="741"/>
      <c r="AK149" s="741"/>
      <c r="AL149" s="741"/>
      <c r="AM149" s="741"/>
      <c r="AN149" s="741"/>
      <c r="AO149" s="741"/>
      <c r="AP149" s="741"/>
      <c r="AQ149" s="741"/>
      <c r="AR149" s="741"/>
    </row>
    <row r="150" spans="1:44">
      <c r="A150" s="741"/>
      <c r="B150" s="741"/>
      <c r="C150" s="741"/>
      <c r="D150" s="741"/>
      <c r="E150" s="741"/>
      <c r="F150" s="741"/>
      <c r="G150" s="741"/>
      <c r="H150" s="741"/>
      <c r="I150" s="741"/>
      <c r="J150" s="741"/>
      <c r="K150" s="741"/>
      <c r="L150" s="741"/>
      <c r="M150" s="741"/>
      <c r="N150" s="741"/>
      <c r="O150" s="741"/>
      <c r="P150" s="741"/>
      <c r="Q150" s="741"/>
      <c r="R150" s="741"/>
      <c r="S150" s="741"/>
      <c r="T150" s="741"/>
      <c r="U150" s="741"/>
      <c r="V150" s="741"/>
      <c r="W150" s="741"/>
      <c r="X150" s="741"/>
      <c r="Y150" s="741"/>
      <c r="Z150" s="741"/>
      <c r="AA150" s="741"/>
      <c r="AB150" s="741"/>
      <c r="AC150" s="741"/>
      <c r="AD150" s="741"/>
      <c r="AE150" s="741"/>
      <c r="AF150" s="741"/>
      <c r="AG150" s="741"/>
      <c r="AH150" s="741"/>
      <c r="AI150" s="741"/>
      <c r="AJ150" s="741"/>
      <c r="AK150" s="741"/>
      <c r="AL150" s="741"/>
      <c r="AM150" s="741"/>
      <c r="AN150" s="741"/>
      <c r="AO150" s="741"/>
      <c r="AP150" s="741"/>
      <c r="AQ150" s="741"/>
      <c r="AR150" s="741"/>
    </row>
    <row r="151" spans="1:44">
      <c r="A151" s="741"/>
      <c r="B151" s="741"/>
      <c r="C151" s="741"/>
      <c r="D151" s="741"/>
      <c r="E151" s="741"/>
      <c r="F151" s="741"/>
      <c r="G151" s="741"/>
      <c r="H151" s="741"/>
      <c r="I151" s="741"/>
      <c r="J151" s="741"/>
      <c r="K151" s="741"/>
      <c r="L151" s="741"/>
      <c r="M151" s="741"/>
      <c r="N151" s="741"/>
      <c r="O151" s="741"/>
      <c r="P151" s="741"/>
      <c r="Q151" s="741"/>
      <c r="R151" s="741"/>
      <c r="S151" s="741"/>
      <c r="T151" s="741"/>
      <c r="U151" s="741"/>
      <c r="V151" s="741"/>
      <c r="W151" s="741"/>
      <c r="X151" s="741"/>
      <c r="Y151" s="741"/>
      <c r="Z151" s="741"/>
      <c r="AA151" s="741"/>
      <c r="AB151" s="741"/>
      <c r="AC151" s="741"/>
      <c r="AD151" s="741"/>
      <c r="AE151" s="741"/>
      <c r="AF151" s="741"/>
      <c r="AG151" s="741"/>
      <c r="AH151" s="741"/>
      <c r="AI151" s="741"/>
      <c r="AJ151" s="741"/>
      <c r="AK151" s="741"/>
      <c r="AL151" s="741"/>
      <c r="AM151" s="741"/>
      <c r="AN151" s="741"/>
      <c r="AO151" s="741"/>
      <c r="AP151" s="741"/>
      <c r="AQ151" s="741"/>
      <c r="AR151" s="741"/>
    </row>
    <row r="152" spans="1:44">
      <c r="A152" s="741"/>
      <c r="B152" s="741"/>
      <c r="C152" s="741"/>
      <c r="D152" s="741"/>
      <c r="E152" s="741"/>
      <c r="F152" s="741"/>
      <c r="G152" s="741"/>
      <c r="H152" s="741"/>
      <c r="I152" s="741"/>
      <c r="J152" s="741"/>
      <c r="K152" s="741"/>
      <c r="L152" s="741"/>
      <c r="M152" s="741"/>
      <c r="N152" s="741"/>
      <c r="O152" s="741"/>
      <c r="P152" s="741"/>
      <c r="Q152" s="741"/>
      <c r="R152" s="741"/>
      <c r="S152" s="741"/>
      <c r="T152" s="741"/>
      <c r="U152" s="741"/>
      <c r="V152" s="741"/>
      <c r="W152" s="741"/>
      <c r="X152" s="741"/>
      <c r="Y152" s="741"/>
      <c r="Z152" s="741"/>
      <c r="AA152" s="741"/>
      <c r="AB152" s="741"/>
      <c r="AC152" s="741"/>
      <c r="AD152" s="741"/>
      <c r="AE152" s="741"/>
      <c r="AF152" s="741"/>
      <c r="AG152" s="741"/>
      <c r="AH152" s="741"/>
      <c r="AI152" s="741"/>
      <c r="AJ152" s="741"/>
      <c r="AK152" s="741"/>
      <c r="AL152" s="741"/>
      <c r="AM152" s="741"/>
      <c r="AN152" s="741"/>
      <c r="AO152" s="741"/>
      <c r="AP152" s="741"/>
      <c r="AQ152" s="741"/>
      <c r="AR152" s="741"/>
    </row>
    <row r="153" spans="1:44">
      <c r="A153" s="741"/>
      <c r="B153" s="741"/>
      <c r="C153" s="741"/>
      <c r="D153" s="741"/>
      <c r="E153" s="741"/>
      <c r="F153" s="741"/>
      <c r="G153" s="741"/>
      <c r="H153" s="741"/>
      <c r="I153" s="741"/>
      <c r="J153" s="741"/>
      <c r="K153" s="741"/>
      <c r="L153" s="741"/>
      <c r="M153" s="741"/>
      <c r="N153" s="741"/>
      <c r="O153" s="741"/>
      <c r="P153" s="741"/>
      <c r="Q153" s="741"/>
      <c r="R153" s="741"/>
      <c r="S153" s="741"/>
      <c r="T153" s="741"/>
      <c r="U153" s="741"/>
      <c r="V153" s="741"/>
      <c r="W153" s="741"/>
      <c r="X153" s="741"/>
      <c r="Y153" s="741"/>
      <c r="Z153" s="741"/>
      <c r="AA153" s="741"/>
      <c r="AB153" s="741"/>
      <c r="AC153" s="741"/>
      <c r="AD153" s="741"/>
      <c r="AE153" s="741"/>
      <c r="AF153" s="741"/>
      <c r="AG153" s="741"/>
      <c r="AH153" s="741"/>
      <c r="AI153" s="741"/>
      <c r="AJ153" s="741"/>
      <c r="AK153" s="741"/>
      <c r="AL153" s="741"/>
      <c r="AM153" s="741"/>
      <c r="AN153" s="741"/>
      <c r="AO153" s="741"/>
      <c r="AP153" s="741"/>
      <c r="AQ153" s="741"/>
      <c r="AR153" s="741"/>
    </row>
    <row r="154" spans="1:44">
      <c r="A154" s="741"/>
      <c r="B154" s="741"/>
      <c r="C154" s="741"/>
      <c r="D154" s="741"/>
      <c r="E154" s="741"/>
      <c r="F154" s="741"/>
      <c r="G154" s="741"/>
      <c r="H154" s="741"/>
      <c r="I154" s="741"/>
      <c r="J154" s="741"/>
      <c r="K154" s="741"/>
      <c r="L154" s="741"/>
      <c r="M154" s="741"/>
      <c r="N154" s="741"/>
      <c r="O154" s="741"/>
      <c r="P154" s="741"/>
      <c r="Q154" s="741"/>
      <c r="R154" s="741"/>
      <c r="S154" s="741"/>
      <c r="T154" s="741"/>
      <c r="U154" s="741"/>
      <c r="V154" s="741"/>
      <c r="W154" s="741"/>
      <c r="X154" s="741"/>
      <c r="Y154" s="741"/>
      <c r="Z154" s="741"/>
      <c r="AA154" s="741"/>
      <c r="AB154" s="741"/>
      <c r="AC154" s="741"/>
      <c r="AD154" s="741"/>
      <c r="AE154" s="741"/>
      <c r="AF154" s="741"/>
      <c r="AG154" s="741"/>
      <c r="AH154" s="741"/>
      <c r="AI154" s="741"/>
      <c r="AJ154" s="741"/>
      <c r="AK154" s="741"/>
      <c r="AL154" s="741"/>
      <c r="AM154" s="741"/>
      <c r="AN154" s="741"/>
      <c r="AO154" s="741"/>
      <c r="AP154" s="741"/>
      <c r="AQ154" s="741"/>
      <c r="AR154" s="741"/>
    </row>
    <row r="155" spans="1:44">
      <c r="A155" s="741"/>
      <c r="B155" s="741"/>
      <c r="C155" s="741"/>
      <c r="D155" s="741"/>
      <c r="E155" s="741"/>
      <c r="F155" s="741"/>
      <c r="G155" s="741"/>
      <c r="H155" s="741"/>
      <c r="I155" s="741"/>
      <c r="J155" s="741"/>
      <c r="K155" s="741"/>
      <c r="L155" s="741"/>
      <c r="M155" s="741"/>
      <c r="N155" s="741"/>
      <c r="O155" s="741"/>
      <c r="P155" s="741"/>
      <c r="Q155" s="741"/>
      <c r="R155" s="741"/>
      <c r="S155" s="741"/>
      <c r="T155" s="741"/>
      <c r="U155" s="741"/>
      <c r="V155" s="741"/>
      <c r="W155" s="741"/>
      <c r="X155" s="741"/>
      <c r="Y155" s="741"/>
      <c r="Z155" s="741"/>
      <c r="AA155" s="741"/>
      <c r="AB155" s="741"/>
      <c r="AC155" s="741"/>
      <c r="AD155" s="741"/>
      <c r="AE155" s="741"/>
      <c r="AF155" s="741"/>
      <c r="AG155" s="741"/>
      <c r="AH155" s="741"/>
      <c r="AI155" s="741"/>
      <c r="AJ155" s="741"/>
      <c r="AK155" s="741"/>
      <c r="AL155" s="741"/>
      <c r="AM155" s="741"/>
      <c r="AN155" s="741"/>
      <c r="AO155" s="741"/>
      <c r="AP155" s="741"/>
      <c r="AQ155" s="741"/>
      <c r="AR155" s="741"/>
    </row>
    <row r="156" spans="1:44">
      <c r="A156" s="741"/>
      <c r="B156" s="741"/>
      <c r="C156" s="741"/>
      <c r="D156" s="741"/>
      <c r="E156" s="741"/>
      <c r="F156" s="741"/>
      <c r="G156" s="741"/>
      <c r="H156" s="741"/>
      <c r="I156" s="741"/>
      <c r="J156" s="741"/>
      <c r="K156" s="741"/>
      <c r="L156" s="741"/>
      <c r="M156" s="741"/>
      <c r="N156" s="741"/>
      <c r="O156" s="741"/>
      <c r="P156" s="741"/>
      <c r="Q156" s="741"/>
      <c r="R156" s="741"/>
      <c r="S156" s="741"/>
      <c r="T156" s="741"/>
      <c r="U156" s="741"/>
      <c r="V156" s="741"/>
      <c r="W156" s="741"/>
      <c r="X156" s="741"/>
      <c r="Y156" s="741"/>
      <c r="Z156" s="741"/>
      <c r="AA156" s="741"/>
      <c r="AB156" s="741"/>
      <c r="AC156" s="741"/>
      <c r="AD156" s="741"/>
      <c r="AE156" s="741"/>
      <c r="AF156" s="741"/>
      <c r="AG156" s="741"/>
      <c r="AH156" s="741"/>
      <c r="AI156" s="741"/>
      <c r="AJ156" s="741"/>
      <c r="AK156" s="741"/>
      <c r="AL156" s="741"/>
      <c r="AM156" s="741"/>
      <c r="AN156" s="741"/>
      <c r="AO156" s="741"/>
      <c r="AP156" s="741"/>
      <c r="AQ156" s="741"/>
      <c r="AR156" s="741"/>
    </row>
    <row r="157" spans="1:44">
      <c r="A157" s="741"/>
      <c r="B157" s="741"/>
      <c r="C157" s="741"/>
      <c r="D157" s="741"/>
      <c r="E157" s="741"/>
      <c r="F157" s="741"/>
      <c r="G157" s="741"/>
      <c r="H157" s="741"/>
      <c r="I157" s="741"/>
      <c r="J157" s="741"/>
      <c r="K157" s="741"/>
      <c r="L157" s="741"/>
      <c r="M157" s="741"/>
      <c r="N157" s="741"/>
      <c r="O157" s="741"/>
      <c r="P157" s="741"/>
      <c r="Q157" s="741"/>
      <c r="R157" s="741"/>
      <c r="S157" s="741"/>
      <c r="T157" s="741"/>
      <c r="U157" s="741"/>
      <c r="V157" s="741"/>
      <c r="W157" s="741"/>
      <c r="X157" s="741"/>
      <c r="Y157" s="741"/>
      <c r="Z157" s="741"/>
      <c r="AA157" s="741"/>
      <c r="AB157" s="741"/>
      <c r="AC157" s="741"/>
      <c r="AD157" s="741"/>
      <c r="AE157" s="741"/>
      <c r="AF157" s="741"/>
      <c r="AG157" s="741"/>
      <c r="AH157" s="741"/>
      <c r="AI157" s="741"/>
      <c r="AJ157" s="741"/>
      <c r="AK157" s="741"/>
      <c r="AL157" s="741"/>
      <c r="AM157" s="741"/>
      <c r="AN157" s="741"/>
      <c r="AO157" s="741"/>
      <c r="AP157" s="741"/>
      <c r="AQ157" s="741"/>
      <c r="AR157" s="741"/>
    </row>
    <row r="158" spans="1:44">
      <c r="A158" s="741"/>
      <c r="B158" s="741"/>
      <c r="C158" s="741"/>
      <c r="D158" s="741"/>
      <c r="E158" s="741"/>
      <c r="F158" s="741"/>
      <c r="G158" s="741"/>
      <c r="H158" s="741"/>
      <c r="I158" s="741"/>
      <c r="J158" s="741"/>
      <c r="K158" s="741"/>
      <c r="L158" s="741"/>
      <c r="M158" s="741"/>
      <c r="N158" s="741"/>
      <c r="O158" s="741"/>
      <c r="P158" s="741"/>
      <c r="Q158" s="741"/>
      <c r="R158" s="741"/>
      <c r="S158" s="741"/>
      <c r="T158" s="741"/>
      <c r="U158" s="741"/>
      <c r="V158" s="741"/>
      <c r="W158" s="741"/>
      <c r="X158" s="741"/>
      <c r="Y158" s="741"/>
      <c r="Z158" s="741"/>
      <c r="AA158" s="741"/>
      <c r="AB158" s="741"/>
      <c r="AC158" s="741"/>
      <c r="AD158" s="741"/>
      <c r="AE158" s="741"/>
      <c r="AF158" s="741"/>
      <c r="AG158" s="741"/>
      <c r="AH158" s="741"/>
      <c r="AI158" s="741"/>
      <c r="AJ158" s="741"/>
      <c r="AK158" s="741"/>
      <c r="AL158" s="741"/>
      <c r="AM158" s="741"/>
      <c r="AN158" s="741"/>
      <c r="AO158" s="741"/>
      <c r="AP158" s="741"/>
      <c r="AQ158" s="741"/>
      <c r="AR158" s="741"/>
    </row>
    <row r="159" spans="1:44">
      <c r="A159" s="741"/>
      <c r="B159" s="741"/>
      <c r="C159" s="741"/>
      <c r="D159" s="741"/>
      <c r="E159" s="741"/>
      <c r="F159" s="741"/>
      <c r="G159" s="741"/>
      <c r="H159" s="741"/>
      <c r="I159" s="741"/>
      <c r="J159" s="741"/>
      <c r="K159" s="741"/>
      <c r="L159" s="741"/>
      <c r="M159" s="741"/>
      <c r="N159" s="741"/>
      <c r="O159" s="741"/>
      <c r="P159" s="741"/>
      <c r="Q159" s="741"/>
      <c r="R159" s="741"/>
      <c r="S159" s="741"/>
      <c r="T159" s="741"/>
      <c r="U159" s="741"/>
      <c r="V159" s="741"/>
      <c r="W159" s="741"/>
      <c r="X159" s="741"/>
      <c r="Y159" s="741"/>
      <c r="Z159" s="741"/>
      <c r="AA159" s="741"/>
      <c r="AB159" s="741"/>
      <c r="AC159" s="741"/>
      <c r="AD159" s="741"/>
      <c r="AE159" s="741"/>
      <c r="AF159" s="741"/>
      <c r="AG159" s="741"/>
      <c r="AH159" s="741"/>
      <c r="AI159" s="741"/>
      <c r="AJ159" s="741"/>
      <c r="AK159" s="741"/>
      <c r="AL159" s="741"/>
      <c r="AM159" s="741"/>
      <c r="AN159" s="741"/>
      <c r="AO159" s="741"/>
      <c r="AP159" s="741"/>
      <c r="AQ159" s="741"/>
      <c r="AR159" s="741"/>
    </row>
    <row r="160" spans="1:44">
      <c r="A160" s="741"/>
      <c r="B160" s="741"/>
      <c r="C160" s="741"/>
      <c r="D160" s="741"/>
      <c r="E160" s="741"/>
      <c r="F160" s="741"/>
      <c r="G160" s="741"/>
      <c r="H160" s="741"/>
      <c r="I160" s="741"/>
      <c r="J160" s="741"/>
      <c r="K160" s="741"/>
      <c r="L160" s="741"/>
      <c r="M160" s="741"/>
      <c r="N160" s="741"/>
      <c r="O160" s="741"/>
      <c r="P160" s="741"/>
      <c r="Q160" s="741"/>
      <c r="R160" s="741"/>
      <c r="S160" s="741"/>
      <c r="T160" s="741"/>
      <c r="U160" s="741"/>
      <c r="V160" s="741"/>
      <c r="W160" s="741"/>
      <c r="X160" s="741"/>
      <c r="Y160" s="741"/>
      <c r="Z160" s="741"/>
      <c r="AA160" s="741"/>
      <c r="AB160" s="741"/>
      <c r="AC160" s="741"/>
      <c r="AD160" s="741"/>
      <c r="AE160" s="741"/>
      <c r="AF160" s="741"/>
      <c r="AG160" s="741"/>
      <c r="AH160" s="741"/>
      <c r="AI160" s="741"/>
      <c r="AJ160" s="741"/>
      <c r="AK160" s="741"/>
      <c r="AL160" s="741"/>
      <c r="AM160" s="741"/>
      <c r="AN160" s="741"/>
      <c r="AO160" s="741"/>
      <c r="AP160" s="741"/>
      <c r="AQ160" s="741"/>
      <c r="AR160" s="741"/>
    </row>
    <row r="161" spans="1:44">
      <c r="A161" s="741"/>
      <c r="B161" s="741"/>
      <c r="C161" s="741"/>
      <c r="D161" s="741"/>
      <c r="E161" s="741"/>
      <c r="F161" s="741"/>
      <c r="G161" s="741"/>
      <c r="H161" s="741"/>
      <c r="I161" s="741"/>
      <c r="J161" s="741"/>
      <c r="K161" s="741"/>
      <c r="L161" s="741"/>
      <c r="M161" s="741"/>
      <c r="N161" s="741"/>
      <c r="O161" s="741"/>
      <c r="P161" s="741"/>
      <c r="Q161" s="741"/>
      <c r="R161" s="741"/>
      <c r="S161" s="741"/>
      <c r="T161" s="741"/>
      <c r="U161" s="741"/>
      <c r="V161" s="741"/>
      <c r="W161" s="741"/>
      <c r="X161" s="741"/>
      <c r="Y161" s="741"/>
      <c r="Z161" s="741"/>
      <c r="AA161" s="741"/>
      <c r="AB161" s="741"/>
      <c r="AC161" s="741"/>
      <c r="AD161" s="741"/>
      <c r="AE161" s="741"/>
      <c r="AF161" s="741"/>
      <c r="AG161" s="741"/>
      <c r="AH161" s="741"/>
      <c r="AI161" s="741"/>
      <c r="AJ161" s="741"/>
      <c r="AK161" s="741"/>
      <c r="AL161" s="741"/>
      <c r="AM161" s="741"/>
      <c r="AN161" s="741"/>
      <c r="AO161" s="741"/>
      <c r="AP161" s="741"/>
      <c r="AQ161" s="741"/>
      <c r="AR161" s="741"/>
    </row>
    <row r="162" spans="1:44">
      <c r="A162" s="741"/>
      <c r="B162" s="741"/>
      <c r="C162" s="741"/>
      <c r="D162" s="741"/>
      <c r="E162" s="741"/>
      <c r="F162" s="741"/>
      <c r="G162" s="741"/>
      <c r="H162" s="741"/>
      <c r="I162" s="741"/>
      <c r="J162" s="741"/>
      <c r="K162" s="741"/>
      <c r="L162" s="741"/>
      <c r="M162" s="741"/>
      <c r="N162" s="741"/>
      <c r="O162" s="741"/>
      <c r="P162" s="741"/>
      <c r="Q162" s="741"/>
      <c r="R162" s="741"/>
      <c r="S162" s="741"/>
      <c r="T162" s="741"/>
      <c r="U162" s="741"/>
      <c r="V162" s="741"/>
      <c r="W162" s="741"/>
      <c r="X162" s="741"/>
      <c r="Y162" s="741"/>
      <c r="Z162" s="741"/>
      <c r="AA162" s="741"/>
      <c r="AB162" s="741"/>
      <c r="AC162" s="741"/>
      <c r="AD162" s="741"/>
      <c r="AE162" s="741"/>
      <c r="AF162" s="741"/>
      <c r="AG162" s="741"/>
      <c r="AH162" s="741"/>
      <c r="AI162" s="741"/>
      <c r="AJ162" s="741"/>
      <c r="AK162" s="741"/>
      <c r="AL162" s="741"/>
      <c r="AM162" s="741"/>
      <c r="AN162" s="741"/>
      <c r="AO162" s="741"/>
      <c r="AP162" s="741"/>
      <c r="AQ162" s="741"/>
      <c r="AR162" s="741"/>
    </row>
    <row r="163" spans="1:44">
      <c r="A163" s="741"/>
      <c r="B163" s="741"/>
      <c r="C163" s="741"/>
      <c r="D163" s="741"/>
      <c r="E163" s="741"/>
      <c r="F163" s="741"/>
      <c r="G163" s="741"/>
      <c r="H163" s="741"/>
      <c r="I163" s="741"/>
      <c r="J163" s="741"/>
      <c r="K163" s="741"/>
      <c r="L163" s="741"/>
      <c r="M163" s="741"/>
      <c r="N163" s="741"/>
      <c r="O163" s="741"/>
      <c r="P163" s="741"/>
      <c r="Q163" s="741"/>
      <c r="R163" s="741"/>
      <c r="S163" s="741"/>
      <c r="T163" s="741"/>
      <c r="U163" s="741"/>
      <c r="V163" s="741"/>
      <c r="W163" s="741"/>
      <c r="X163" s="741"/>
      <c r="Y163" s="741"/>
      <c r="Z163" s="741"/>
      <c r="AA163" s="741"/>
      <c r="AB163" s="741"/>
      <c r="AC163" s="741"/>
      <c r="AD163" s="741"/>
      <c r="AE163" s="741"/>
      <c r="AF163" s="741"/>
      <c r="AG163" s="741"/>
      <c r="AH163" s="741"/>
      <c r="AI163" s="741"/>
      <c r="AJ163" s="741"/>
      <c r="AK163" s="741"/>
      <c r="AL163" s="741"/>
      <c r="AM163" s="741"/>
      <c r="AN163" s="741"/>
      <c r="AO163" s="741"/>
      <c r="AP163" s="741"/>
      <c r="AQ163" s="741"/>
      <c r="AR163" s="741"/>
    </row>
    <row r="164" spans="1:44">
      <c r="A164" s="741"/>
      <c r="B164" s="741"/>
      <c r="C164" s="741"/>
      <c r="D164" s="741"/>
      <c r="E164" s="741"/>
      <c r="F164" s="741"/>
      <c r="G164" s="741"/>
      <c r="H164" s="741"/>
      <c r="I164" s="741"/>
      <c r="J164" s="741"/>
      <c r="K164" s="741"/>
      <c r="L164" s="741"/>
      <c r="M164" s="741"/>
      <c r="N164" s="741"/>
      <c r="O164" s="741"/>
      <c r="P164" s="741"/>
      <c r="Q164" s="741"/>
      <c r="R164" s="741"/>
      <c r="S164" s="741"/>
      <c r="T164" s="741"/>
      <c r="U164" s="741"/>
      <c r="V164" s="741"/>
      <c r="W164" s="741"/>
      <c r="X164" s="741"/>
      <c r="Y164" s="741"/>
      <c r="Z164" s="741"/>
      <c r="AA164" s="741"/>
      <c r="AB164" s="741"/>
      <c r="AC164" s="741"/>
      <c r="AD164" s="741"/>
      <c r="AE164" s="741"/>
      <c r="AF164" s="741"/>
      <c r="AG164" s="741"/>
      <c r="AH164" s="741"/>
      <c r="AI164" s="741"/>
      <c r="AJ164" s="741"/>
      <c r="AK164" s="741"/>
      <c r="AL164" s="741"/>
      <c r="AM164" s="741"/>
      <c r="AN164" s="741"/>
      <c r="AO164" s="741"/>
      <c r="AP164" s="741"/>
      <c r="AQ164" s="741"/>
      <c r="AR164" s="741"/>
    </row>
    <row r="165" spans="1:44">
      <c r="A165" s="741"/>
      <c r="B165" s="741"/>
      <c r="C165" s="741"/>
      <c r="D165" s="741"/>
      <c r="E165" s="741"/>
      <c r="F165" s="741"/>
      <c r="G165" s="741"/>
      <c r="H165" s="741"/>
      <c r="I165" s="741"/>
      <c r="J165" s="741"/>
      <c r="K165" s="741"/>
      <c r="L165" s="741"/>
      <c r="M165" s="741"/>
      <c r="N165" s="741"/>
      <c r="O165" s="741"/>
      <c r="P165" s="741"/>
      <c r="Q165" s="741"/>
      <c r="R165" s="741"/>
      <c r="S165" s="741"/>
      <c r="T165" s="741"/>
      <c r="U165" s="741"/>
      <c r="V165" s="741"/>
      <c r="W165" s="741"/>
      <c r="X165" s="741"/>
      <c r="Y165" s="741"/>
      <c r="Z165" s="741"/>
      <c r="AA165" s="741"/>
      <c r="AB165" s="741"/>
      <c r="AC165" s="741"/>
      <c r="AD165" s="741"/>
      <c r="AE165" s="741"/>
      <c r="AF165" s="741"/>
      <c r="AG165" s="741"/>
      <c r="AH165" s="741"/>
      <c r="AI165" s="741"/>
      <c r="AJ165" s="741"/>
      <c r="AK165" s="741"/>
      <c r="AL165" s="741"/>
      <c r="AM165" s="741"/>
      <c r="AN165" s="741"/>
      <c r="AO165" s="741"/>
      <c r="AP165" s="741"/>
      <c r="AQ165" s="741"/>
      <c r="AR165" s="741"/>
    </row>
    <row r="166" spans="1:44">
      <c r="A166" s="741"/>
      <c r="B166" s="741"/>
      <c r="C166" s="741"/>
      <c r="D166" s="741"/>
      <c r="E166" s="741"/>
      <c r="F166" s="741"/>
      <c r="G166" s="741"/>
      <c r="H166" s="741"/>
      <c r="I166" s="741"/>
      <c r="J166" s="741"/>
      <c r="K166" s="741"/>
      <c r="L166" s="741"/>
      <c r="M166" s="741"/>
      <c r="N166" s="741"/>
      <c r="O166" s="741"/>
      <c r="P166" s="741"/>
      <c r="Q166" s="741"/>
      <c r="R166" s="741"/>
      <c r="S166" s="741"/>
      <c r="T166" s="741"/>
      <c r="U166" s="741"/>
      <c r="V166" s="741"/>
      <c r="W166" s="741"/>
      <c r="X166" s="741"/>
      <c r="Y166" s="741"/>
      <c r="Z166" s="741"/>
      <c r="AA166" s="741"/>
      <c r="AB166" s="741"/>
      <c r="AC166" s="741"/>
      <c r="AD166" s="741"/>
      <c r="AE166" s="741"/>
      <c r="AF166" s="741"/>
      <c r="AG166" s="741"/>
      <c r="AH166" s="741"/>
      <c r="AI166" s="741"/>
      <c r="AJ166" s="741"/>
      <c r="AK166" s="741"/>
      <c r="AL166" s="741"/>
      <c r="AM166" s="741"/>
      <c r="AN166" s="741"/>
      <c r="AO166" s="741"/>
      <c r="AP166" s="741"/>
      <c r="AQ166" s="741"/>
      <c r="AR166" s="741"/>
    </row>
    <row r="167" spans="1:44">
      <c r="A167" s="741"/>
      <c r="B167" s="741"/>
      <c r="C167" s="741"/>
      <c r="D167" s="741"/>
      <c r="E167" s="741"/>
      <c r="F167" s="741"/>
      <c r="G167" s="741"/>
      <c r="H167" s="741"/>
      <c r="I167" s="741"/>
      <c r="J167" s="741"/>
      <c r="K167" s="741"/>
      <c r="L167" s="741"/>
      <c r="M167" s="741"/>
      <c r="N167" s="741"/>
      <c r="O167" s="741"/>
      <c r="P167" s="741"/>
      <c r="Q167" s="741"/>
      <c r="R167" s="741"/>
      <c r="S167" s="741"/>
      <c r="T167" s="741"/>
      <c r="U167" s="741"/>
      <c r="V167" s="741"/>
      <c r="W167" s="741"/>
      <c r="X167" s="741"/>
      <c r="Y167" s="741"/>
      <c r="Z167" s="741"/>
      <c r="AA167" s="741"/>
      <c r="AB167" s="741"/>
      <c r="AC167" s="741"/>
      <c r="AD167" s="741"/>
      <c r="AE167" s="741"/>
      <c r="AF167" s="741"/>
      <c r="AG167" s="741"/>
      <c r="AH167" s="741"/>
      <c r="AI167" s="741"/>
      <c r="AJ167" s="741"/>
      <c r="AK167" s="741"/>
      <c r="AL167" s="741"/>
      <c r="AM167" s="741"/>
      <c r="AN167" s="741"/>
      <c r="AO167" s="741"/>
      <c r="AP167" s="741"/>
      <c r="AQ167" s="741"/>
      <c r="AR167" s="741"/>
    </row>
    <row r="168" spans="1:44">
      <c r="A168" s="741"/>
      <c r="B168" s="741"/>
      <c r="C168" s="741"/>
      <c r="D168" s="741"/>
      <c r="E168" s="741"/>
      <c r="F168" s="741"/>
      <c r="G168" s="741"/>
      <c r="H168" s="741"/>
      <c r="I168" s="741"/>
      <c r="J168" s="741"/>
      <c r="K168" s="741"/>
      <c r="L168" s="741"/>
      <c r="M168" s="741"/>
      <c r="N168" s="741"/>
      <c r="O168" s="741"/>
      <c r="P168" s="741"/>
      <c r="Q168" s="741"/>
      <c r="R168" s="741"/>
      <c r="S168" s="741"/>
      <c r="T168" s="741"/>
      <c r="U168" s="741"/>
      <c r="V168" s="741"/>
      <c r="W168" s="741"/>
      <c r="X168" s="741"/>
      <c r="Y168" s="741"/>
      <c r="Z168" s="741"/>
      <c r="AA168" s="741"/>
      <c r="AB168" s="741"/>
      <c r="AC168" s="741"/>
      <c r="AD168" s="741"/>
      <c r="AE168" s="741"/>
      <c r="AF168" s="741"/>
      <c r="AG168" s="741"/>
      <c r="AH168" s="741"/>
      <c r="AI168" s="741"/>
      <c r="AJ168" s="741"/>
      <c r="AK168" s="741"/>
      <c r="AL168" s="741"/>
      <c r="AM168" s="741"/>
      <c r="AN168" s="741"/>
      <c r="AO168" s="741"/>
      <c r="AP168" s="741"/>
      <c r="AQ168" s="741"/>
      <c r="AR168" s="741"/>
    </row>
    <row r="169" spans="1:44">
      <c r="A169" s="741"/>
      <c r="B169" s="741"/>
      <c r="C169" s="741"/>
      <c r="D169" s="741"/>
      <c r="E169" s="741"/>
      <c r="F169" s="741"/>
      <c r="G169" s="741"/>
      <c r="H169" s="741"/>
      <c r="I169" s="741"/>
      <c r="J169" s="741"/>
      <c r="K169" s="741"/>
      <c r="L169" s="741"/>
      <c r="M169" s="741"/>
      <c r="N169" s="741"/>
      <c r="O169" s="741"/>
      <c r="P169" s="741"/>
      <c r="Q169" s="741"/>
      <c r="R169" s="741"/>
      <c r="S169" s="741"/>
      <c r="T169" s="741"/>
      <c r="U169" s="741"/>
      <c r="V169" s="741"/>
      <c r="W169" s="741"/>
      <c r="X169" s="741"/>
      <c r="Y169" s="741"/>
      <c r="Z169" s="741"/>
      <c r="AA169" s="741"/>
      <c r="AB169" s="741"/>
      <c r="AC169" s="741"/>
      <c r="AD169" s="741"/>
      <c r="AE169" s="741"/>
      <c r="AF169" s="741"/>
      <c r="AG169" s="741"/>
      <c r="AH169" s="741"/>
      <c r="AI169" s="741"/>
      <c r="AJ169" s="741"/>
      <c r="AK169" s="741"/>
      <c r="AL169" s="741"/>
      <c r="AM169" s="741"/>
      <c r="AN169" s="741"/>
      <c r="AO169" s="741"/>
      <c r="AP169" s="741"/>
      <c r="AQ169" s="741"/>
      <c r="AR169" s="741"/>
    </row>
    <row r="170" spans="1:44">
      <c r="A170" s="741"/>
      <c r="B170" s="741"/>
      <c r="C170" s="741"/>
      <c r="D170" s="741"/>
      <c r="E170" s="741"/>
      <c r="F170" s="741"/>
      <c r="G170" s="741"/>
      <c r="H170" s="741"/>
      <c r="I170" s="741"/>
      <c r="J170" s="741"/>
      <c r="K170" s="741"/>
      <c r="L170" s="741"/>
      <c r="M170" s="741"/>
      <c r="N170" s="741"/>
      <c r="O170" s="741"/>
      <c r="P170" s="741"/>
      <c r="Q170" s="741"/>
      <c r="R170" s="741"/>
      <c r="S170" s="741"/>
      <c r="T170" s="741"/>
      <c r="U170" s="741"/>
      <c r="V170" s="741"/>
      <c r="W170" s="741"/>
      <c r="X170" s="741"/>
      <c r="Y170" s="741"/>
      <c r="Z170" s="741"/>
      <c r="AA170" s="741"/>
      <c r="AB170" s="741"/>
      <c r="AC170" s="741"/>
      <c r="AD170" s="741"/>
      <c r="AE170" s="741"/>
      <c r="AF170" s="741"/>
      <c r="AG170" s="741"/>
      <c r="AH170" s="741"/>
      <c r="AI170" s="741"/>
      <c r="AJ170" s="741"/>
      <c r="AK170" s="741"/>
      <c r="AL170" s="741"/>
      <c r="AM170" s="741"/>
      <c r="AN170" s="741"/>
      <c r="AO170" s="741"/>
      <c r="AP170" s="741"/>
      <c r="AQ170" s="741"/>
      <c r="AR170" s="741"/>
    </row>
    <row r="171" spans="1:44">
      <c r="A171" s="741"/>
      <c r="B171" s="741"/>
      <c r="C171" s="741"/>
      <c r="D171" s="741"/>
      <c r="E171" s="741"/>
      <c r="F171" s="741"/>
      <c r="G171" s="741"/>
      <c r="H171" s="741"/>
      <c r="I171" s="741"/>
      <c r="J171" s="741"/>
      <c r="K171" s="741"/>
      <c r="L171" s="741"/>
      <c r="M171" s="741"/>
      <c r="N171" s="741"/>
      <c r="O171" s="741"/>
      <c r="P171" s="741"/>
      <c r="Q171" s="741"/>
      <c r="R171" s="741"/>
      <c r="S171" s="741"/>
      <c r="T171" s="741"/>
      <c r="U171" s="741"/>
      <c r="V171" s="741"/>
      <c r="W171" s="741"/>
      <c r="X171" s="741"/>
      <c r="Y171" s="741"/>
      <c r="Z171" s="741"/>
      <c r="AA171" s="741"/>
      <c r="AB171" s="741"/>
      <c r="AC171" s="741"/>
      <c r="AD171" s="741"/>
      <c r="AE171" s="741"/>
      <c r="AF171" s="741"/>
      <c r="AG171" s="741"/>
      <c r="AH171" s="741"/>
      <c r="AI171" s="741"/>
      <c r="AJ171" s="741"/>
      <c r="AK171" s="741"/>
      <c r="AL171" s="741"/>
      <c r="AM171" s="741"/>
      <c r="AN171" s="741"/>
      <c r="AO171" s="741"/>
      <c r="AP171" s="741"/>
      <c r="AQ171" s="741"/>
      <c r="AR171" s="741"/>
    </row>
    <row r="172" spans="1:44">
      <c r="A172" s="741"/>
      <c r="B172" s="741"/>
      <c r="C172" s="741"/>
      <c r="D172" s="741"/>
      <c r="E172" s="741"/>
      <c r="F172" s="741"/>
      <c r="G172" s="741"/>
      <c r="H172" s="741"/>
      <c r="I172" s="741"/>
      <c r="J172" s="741"/>
      <c r="K172" s="741"/>
      <c r="L172" s="741"/>
      <c r="M172" s="741"/>
      <c r="N172" s="741"/>
      <c r="O172" s="741"/>
      <c r="P172" s="741"/>
      <c r="Q172" s="741"/>
      <c r="R172" s="741"/>
      <c r="S172" s="741"/>
      <c r="T172" s="741"/>
      <c r="U172" s="741"/>
      <c r="V172" s="741"/>
      <c r="W172" s="741"/>
      <c r="X172" s="741"/>
      <c r="Y172" s="741"/>
      <c r="Z172" s="741"/>
      <c r="AA172" s="741"/>
      <c r="AB172" s="741"/>
      <c r="AC172" s="741"/>
      <c r="AD172" s="741"/>
      <c r="AE172" s="741"/>
      <c r="AF172" s="741"/>
      <c r="AG172" s="741"/>
      <c r="AH172" s="741"/>
      <c r="AI172" s="741"/>
      <c r="AJ172" s="741"/>
      <c r="AK172" s="741"/>
      <c r="AL172" s="741"/>
      <c r="AM172" s="741"/>
      <c r="AN172" s="741"/>
      <c r="AO172" s="741"/>
      <c r="AP172" s="741"/>
      <c r="AQ172" s="741"/>
      <c r="AR172" s="741"/>
    </row>
    <row r="173" spans="1:44">
      <c r="A173" s="741"/>
      <c r="B173" s="741"/>
      <c r="C173" s="741"/>
      <c r="D173" s="741"/>
      <c r="E173" s="741"/>
      <c r="F173" s="741"/>
      <c r="G173" s="741"/>
      <c r="H173" s="741"/>
      <c r="I173" s="741"/>
      <c r="J173" s="741"/>
      <c r="K173" s="741"/>
      <c r="L173" s="741"/>
      <c r="M173" s="741"/>
      <c r="N173" s="741"/>
      <c r="O173" s="741"/>
      <c r="P173" s="741"/>
      <c r="Q173" s="741"/>
      <c r="R173" s="741"/>
      <c r="S173" s="741"/>
      <c r="T173" s="741"/>
      <c r="U173" s="741"/>
      <c r="V173" s="741"/>
      <c r="W173" s="741"/>
      <c r="X173" s="741"/>
      <c r="Y173" s="741"/>
      <c r="Z173" s="741"/>
      <c r="AA173" s="741"/>
      <c r="AB173" s="741"/>
      <c r="AC173" s="741"/>
      <c r="AD173" s="741"/>
      <c r="AE173" s="741"/>
      <c r="AF173" s="741"/>
      <c r="AG173" s="741"/>
      <c r="AH173" s="741"/>
      <c r="AI173" s="741"/>
      <c r="AJ173" s="741"/>
      <c r="AK173" s="741"/>
      <c r="AL173" s="741"/>
      <c r="AM173" s="741"/>
      <c r="AN173" s="741"/>
      <c r="AO173" s="741"/>
      <c r="AP173" s="741"/>
      <c r="AQ173" s="741"/>
      <c r="AR173" s="741"/>
    </row>
    <row r="174" spans="1:44">
      <c r="A174" s="741"/>
      <c r="B174" s="741"/>
      <c r="C174" s="741"/>
      <c r="D174" s="741"/>
      <c r="E174" s="741"/>
      <c r="F174" s="741"/>
      <c r="G174" s="741"/>
      <c r="H174" s="741"/>
      <c r="I174" s="741"/>
      <c r="J174" s="741"/>
      <c r="K174" s="741"/>
      <c r="L174" s="741"/>
      <c r="M174" s="741"/>
      <c r="N174" s="741"/>
      <c r="O174" s="741"/>
      <c r="P174" s="741"/>
      <c r="Q174" s="741"/>
      <c r="R174" s="741"/>
      <c r="S174" s="741"/>
      <c r="T174" s="741"/>
      <c r="U174" s="741"/>
      <c r="V174" s="741"/>
      <c r="W174" s="741"/>
      <c r="X174" s="741"/>
      <c r="Y174" s="741"/>
      <c r="Z174" s="741"/>
      <c r="AA174" s="741"/>
      <c r="AB174" s="741"/>
      <c r="AC174" s="741"/>
      <c r="AD174" s="741"/>
      <c r="AE174" s="741"/>
      <c r="AF174" s="741"/>
      <c r="AG174" s="741"/>
      <c r="AH174" s="741"/>
      <c r="AI174" s="741"/>
      <c r="AJ174" s="741"/>
      <c r="AK174" s="741"/>
      <c r="AL174" s="741"/>
      <c r="AM174" s="741"/>
      <c r="AN174" s="741"/>
      <c r="AO174" s="741"/>
      <c r="AP174" s="741"/>
      <c r="AQ174" s="741"/>
      <c r="AR174" s="741"/>
    </row>
    <row r="175" spans="1:44">
      <c r="A175" s="741"/>
      <c r="B175" s="741"/>
      <c r="C175" s="741"/>
      <c r="D175" s="741"/>
      <c r="E175" s="741"/>
      <c r="F175" s="741"/>
      <c r="G175" s="741"/>
      <c r="H175" s="741"/>
      <c r="I175" s="741"/>
      <c r="J175" s="741"/>
      <c r="K175" s="741"/>
      <c r="L175" s="741"/>
      <c r="M175" s="741"/>
      <c r="N175" s="741"/>
      <c r="O175" s="741"/>
      <c r="P175" s="741"/>
      <c r="Q175" s="741"/>
      <c r="R175" s="741"/>
      <c r="S175" s="741"/>
      <c r="T175" s="741"/>
      <c r="U175" s="741"/>
      <c r="V175" s="741"/>
      <c r="W175" s="741"/>
      <c r="X175" s="741"/>
      <c r="Y175" s="741"/>
      <c r="Z175" s="741"/>
      <c r="AA175" s="741"/>
      <c r="AB175" s="741"/>
      <c r="AC175" s="741"/>
      <c r="AD175" s="741"/>
      <c r="AE175" s="741"/>
      <c r="AF175" s="741"/>
      <c r="AG175" s="741"/>
      <c r="AH175" s="741"/>
      <c r="AI175" s="741"/>
      <c r="AJ175" s="741"/>
      <c r="AK175" s="741"/>
      <c r="AL175" s="741"/>
      <c r="AM175" s="741"/>
      <c r="AN175" s="741"/>
      <c r="AO175" s="741"/>
      <c r="AP175" s="741"/>
      <c r="AQ175" s="741"/>
      <c r="AR175" s="741"/>
    </row>
    <row r="176" spans="1:44">
      <c r="A176" s="741"/>
      <c r="B176" s="741"/>
      <c r="C176" s="741"/>
      <c r="D176" s="741"/>
      <c r="E176" s="741"/>
      <c r="F176" s="741"/>
      <c r="G176" s="741"/>
      <c r="H176" s="741"/>
      <c r="I176" s="741"/>
      <c r="J176" s="741"/>
      <c r="K176" s="741"/>
      <c r="L176" s="741"/>
      <c r="M176" s="741"/>
      <c r="N176" s="741"/>
      <c r="O176" s="741"/>
      <c r="P176" s="741"/>
      <c r="Q176" s="741"/>
      <c r="R176" s="741"/>
      <c r="S176" s="741"/>
      <c r="T176" s="741"/>
      <c r="U176" s="741"/>
      <c r="V176" s="741"/>
      <c r="W176" s="741"/>
      <c r="X176" s="741"/>
      <c r="Y176" s="741"/>
      <c r="Z176" s="741"/>
      <c r="AA176" s="741"/>
      <c r="AB176" s="741"/>
      <c r="AC176" s="741"/>
      <c r="AD176" s="741"/>
      <c r="AE176" s="741"/>
      <c r="AF176" s="741"/>
      <c r="AG176" s="741"/>
      <c r="AH176" s="741"/>
      <c r="AI176" s="741"/>
      <c r="AJ176" s="741"/>
      <c r="AK176" s="741"/>
      <c r="AL176" s="741"/>
      <c r="AM176" s="741"/>
      <c r="AN176" s="741"/>
      <c r="AO176" s="741"/>
      <c r="AP176" s="741"/>
      <c r="AQ176" s="741"/>
      <c r="AR176" s="741"/>
    </row>
    <row r="177" spans="1:44">
      <c r="A177" s="741"/>
      <c r="B177" s="741"/>
      <c r="C177" s="741"/>
      <c r="D177" s="741"/>
      <c r="E177" s="741"/>
      <c r="F177" s="741"/>
      <c r="G177" s="741"/>
      <c r="H177" s="741"/>
      <c r="I177" s="741"/>
      <c r="J177" s="741"/>
      <c r="K177" s="741"/>
      <c r="L177" s="741"/>
      <c r="M177" s="741"/>
      <c r="N177" s="741"/>
      <c r="O177" s="741"/>
      <c r="P177" s="741"/>
      <c r="Q177" s="741"/>
      <c r="R177" s="741"/>
      <c r="S177" s="741"/>
      <c r="T177" s="741"/>
      <c r="U177" s="741"/>
      <c r="V177" s="741"/>
      <c r="W177" s="741"/>
      <c r="X177" s="741"/>
      <c r="Y177" s="741"/>
      <c r="Z177" s="741"/>
      <c r="AA177" s="741"/>
      <c r="AB177" s="741"/>
      <c r="AC177" s="741"/>
      <c r="AD177" s="741"/>
      <c r="AE177" s="741"/>
      <c r="AF177" s="741"/>
      <c r="AG177" s="741"/>
      <c r="AH177" s="741"/>
      <c r="AI177" s="741"/>
      <c r="AJ177" s="741"/>
      <c r="AK177" s="741"/>
      <c r="AL177" s="741"/>
      <c r="AM177" s="741"/>
      <c r="AN177" s="741"/>
      <c r="AO177" s="741"/>
      <c r="AP177" s="741"/>
      <c r="AQ177" s="741"/>
      <c r="AR177" s="741"/>
    </row>
    <row r="178" spans="1:44">
      <c r="A178" s="741"/>
      <c r="B178" s="741"/>
      <c r="C178" s="741"/>
      <c r="D178" s="741"/>
      <c r="E178" s="741"/>
      <c r="F178" s="741"/>
      <c r="G178" s="741"/>
      <c r="H178" s="741"/>
      <c r="I178" s="741"/>
      <c r="J178" s="741"/>
      <c r="K178" s="741"/>
      <c r="L178" s="741"/>
      <c r="M178" s="741"/>
      <c r="N178" s="741"/>
      <c r="O178" s="741"/>
      <c r="P178" s="741"/>
      <c r="Q178" s="741"/>
      <c r="R178" s="741"/>
      <c r="S178" s="741"/>
      <c r="T178" s="741"/>
      <c r="U178" s="741"/>
      <c r="V178" s="741"/>
      <c r="W178" s="741"/>
      <c r="X178" s="741"/>
      <c r="Y178" s="741"/>
      <c r="Z178" s="741"/>
      <c r="AA178" s="741"/>
      <c r="AB178" s="741"/>
      <c r="AC178" s="741"/>
      <c r="AD178" s="741"/>
      <c r="AE178" s="741"/>
      <c r="AF178" s="741"/>
      <c r="AG178" s="741"/>
      <c r="AH178" s="741"/>
      <c r="AI178" s="741"/>
      <c r="AJ178" s="741"/>
      <c r="AK178" s="741"/>
      <c r="AL178" s="741"/>
      <c r="AM178" s="741"/>
      <c r="AN178" s="741"/>
      <c r="AO178" s="741"/>
      <c r="AP178" s="741"/>
      <c r="AQ178" s="741"/>
      <c r="AR178" s="741"/>
    </row>
    <row r="179" spans="1:44">
      <c r="A179" s="741"/>
      <c r="B179" s="741"/>
      <c r="C179" s="741"/>
      <c r="D179" s="741"/>
      <c r="E179" s="741"/>
      <c r="F179" s="741"/>
      <c r="G179" s="741"/>
      <c r="H179" s="741"/>
      <c r="I179" s="741"/>
      <c r="J179" s="741"/>
      <c r="K179" s="741"/>
      <c r="L179" s="741"/>
      <c r="M179" s="741"/>
      <c r="N179" s="741"/>
      <c r="O179" s="741"/>
      <c r="P179" s="741"/>
      <c r="Q179" s="741"/>
      <c r="R179" s="741"/>
      <c r="S179" s="741"/>
      <c r="T179" s="741"/>
      <c r="U179" s="741"/>
      <c r="V179" s="741"/>
      <c r="W179" s="741"/>
      <c r="X179" s="741"/>
      <c r="Y179" s="741"/>
      <c r="Z179" s="741"/>
      <c r="AA179" s="741"/>
      <c r="AB179" s="741"/>
      <c r="AC179" s="741"/>
      <c r="AD179" s="741"/>
      <c r="AE179" s="741"/>
      <c r="AF179" s="741"/>
      <c r="AG179" s="741"/>
      <c r="AH179" s="741"/>
      <c r="AI179" s="741"/>
      <c r="AJ179" s="741"/>
      <c r="AK179" s="741"/>
      <c r="AL179" s="741"/>
      <c r="AM179" s="741"/>
      <c r="AN179" s="741"/>
      <c r="AO179" s="741"/>
      <c r="AP179" s="741"/>
      <c r="AQ179" s="741"/>
      <c r="AR179" s="741"/>
    </row>
    <row r="180" spans="1:44">
      <c r="A180" s="741"/>
      <c r="B180" s="741"/>
      <c r="C180" s="741"/>
      <c r="D180" s="741"/>
      <c r="E180" s="741"/>
      <c r="F180" s="741"/>
      <c r="G180" s="741"/>
      <c r="H180" s="741"/>
      <c r="I180" s="741"/>
      <c r="J180" s="741"/>
      <c r="K180" s="741"/>
      <c r="L180" s="741"/>
      <c r="M180" s="741"/>
      <c r="N180" s="741"/>
      <c r="O180" s="741"/>
      <c r="P180" s="741"/>
      <c r="Q180" s="741"/>
      <c r="R180" s="741"/>
      <c r="S180" s="741"/>
      <c r="T180" s="741"/>
      <c r="U180" s="741"/>
      <c r="V180" s="741"/>
      <c r="W180" s="741"/>
      <c r="X180" s="741"/>
      <c r="Y180" s="741"/>
      <c r="Z180" s="741"/>
      <c r="AA180" s="741"/>
      <c r="AB180" s="741"/>
      <c r="AC180" s="741"/>
      <c r="AD180" s="741"/>
      <c r="AE180" s="741"/>
      <c r="AF180" s="741"/>
      <c r="AG180" s="741"/>
      <c r="AH180" s="741"/>
      <c r="AI180" s="741"/>
      <c r="AJ180" s="741"/>
      <c r="AK180" s="741"/>
      <c r="AL180" s="741"/>
      <c r="AM180" s="741"/>
      <c r="AN180" s="741"/>
      <c r="AO180" s="741"/>
      <c r="AP180" s="741"/>
      <c r="AQ180" s="741"/>
      <c r="AR180" s="741"/>
    </row>
    <row r="181" spans="1:44">
      <c r="A181" s="741"/>
      <c r="B181" s="741"/>
      <c r="C181" s="741"/>
      <c r="D181" s="741"/>
      <c r="E181" s="741"/>
      <c r="F181" s="741"/>
      <c r="G181" s="741"/>
      <c r="H181" s="741"/>
      <c r="I181" s="741"/>
      <c r="J181" s="741"/>
      <c r="K181" s="741"/>
      <c r="L181" s="741"/>
      <c r="M181" s="741"/>
      <c r="N181" s="741"/>
      <c r="O181" s="741"/>
      <c r="P181" s="741"/>
      <c r="Q181" s="741"/>
      <c r="R181" s="741"/>
      <c r="S181" s="741"/>
      <c r="T181" s="741"/>
      <c r="U181" s="741"/>
      <c r="V181" s="741"/>
      <c r="W181" s="741"/>
      <c r="X181" s="741"/>
      <c r="Y181" s="741"/>
      <c r="Z181" s="741"/>
      <c r="AA181" s="741"/>
      <c r="AB181" s="741"/>
      <c r="AC181" s="741"/>
      <c r="AD181" s="741"/>
      <c r="AE181" s="741"/>
      <c r="AF181" s="741"/>
      <c r="AG181" s="741"/>
      <c r="AH181" s="741"/>
      <c r="AI181" s="741"/>
      <c r="AJ181" s="741"/>
      <c r="AK181" s="741"/>
      <c r="AL181" s="741"/>
      <c r="AM181" s="741"/>
      <c r="AN181" s="741"/>
      <c r="AO181" s="741"/>
      <c r="AP181" s="741"/>
      <c r="AQ181" s="741"/>
      <c r="AR181" s="741"/>
    </row>
    <row r="182" spans="1:44">
      <c r="A182" s="741"/>
      <c r="B182" s="741"/>
      <c r="C182" s="741"/>
      <c r="D182" s="741"/>
      <c r="E182" s="741"/>
      <c r="F182" s="741"/>
      <c r="G182" s="741"/>
      <c r="H182" s="741"/>
      <c r="I182" s="741"/>
      <c r="J182" s="741"/>
      <c r="K182" s="741"/>
      <c r="L182" s="741"/>
      <c r="M182" s="741"/>
      <c r="N182" s="741"/>
      <c r="O182" s="741"/>
      <c r="P182" s="741"/>
      <c r="Q182" s="741"/>
      <c r="R182" s="741"/>
      <c r="S182" s="741"/>
      <c r="T182" s="741"/>
      <c r="U182" s="741"/>
      <c r="V182" s="741"/>
      <c r="W182" s="741"/>
      <c r="X182" s="741"/>
      <c r="Y182" s="741"/>
      <c r="Z182" s="741"/>
      <c r="AA182" s="741"/>
      <c r="AB182" s="741"/>
      <c r="AC182" s="741"/>
      <c r="AD182" s="741"/>
      <c r="AE182" s="741"/>
      <c r="AF182" s="741"/>
      <c r="AG182" s="741"/>
      <c r="AH182" s="741"/>
      <c r="AI182" s="741"/>
      <c r="AJ182" s="741"/>
      <c r="AK182" s="741"/>
      <c r="AL182" s="741"/>
      <c r="AM182" s="741"/>
      <c r="AN182" s="741"/>
      <c r="AO182" s="741"/>
      <c r="AP182" s="741"/>
      <c r="AQ182" s="741"/>
      <c r="AR182" s="741"/>
    </row>
    <row r="183" spans="1:44">
      <c r="A183" s="741"/>
      <c r="B183" s="741"/>
      <c r="C183" s="741"/>
      <c r="D183" s="741"/>
      <c r="E183" s="741"/>
      <c r="F183" s="741"/>
      <c r="G183" s="741"/>
      <c r="H183" s="741"/>
      <c r="I183" s="741"/>
      <c r="J183" s="741"/>
      <c r="K183" s="741"/>
      <c r="L183" s="741"/>
      <c r="M183" s="741"/>
      <c r="N183" s="741"/>
      <c r="O183" s="741"/>
      <c r="P183" s="741"/>
      <c r="Q183" s="741"/>
      <c r="R183" s="741"/>
      <c r="S183" s="741"/>
      <c r="T183" s="741"/>
      <c r="U183" s="741"/>
      <c r="V183" s="741"/>
      <c r="W183" s="741"/>
      <c r="X183" s="741"/>
      <c r="Y183" s="741"/>
      <c r="Z183" s="741"/>
      <c r="AA183" s="741"/>
      <c r="AB183" s="741"/>
      <c r="AC183" s="741"/>
      <c r="AD183" s="741"/>
      <c r="AE183" s="741"/>
      <c r="AF183" s="741"/>
      <c r="AG183" s="741"/>
      <c r="AH183" s="741"/>
      <c r="AI183" s="741"/>
      <c r="AJ183" s="741"/>
      <c r="AK183" s="741"/>
      <c r="AL183" s="741"/>
      <c r="AM183" s="741"/>
      <c r="AN183" s="741"/>
      <c r="AO183" s="741"/>
      <c r="AP183" s="741"/>
      <c r="AQ183" s="741"/>
      <c r="AR183" s="741"/>
    </row>
    <row r="184" spans="1:44">
      <c r="A184" s="741"/>
      <c r="B184" s="741"/>
      <c r="C184" s="741"/>
      <c r="D184" s="741"/>
      <c r="E184" s="741"/>
      <c r="F184" s="741"/>
      <c r="G184" s="741"/>
      <c r="H184" s="741"/>
      <c r="I184" s="741"/>
      <c r="J184" s="741"/>
      <c r="K184" s="741"/>
      <c r="L184" s="741"/>
      <c r="M184" s="741"/>
      <c r="N184" s="741"/>
      <c r="O184" s="741"/>
      <c r="P184" s="741"/>
      <c r="Q184" s="741"/>
      <c r="R184" s="741"/>
      <c r="S184" s="741"/>
      <c r="T184" s="741"/>
      <c r="U184" s="741"/>
      <c r="V184" s="741"/>
      <c r="W184" s="741"/>
      <c r="X184" s="741"/>
      <c r="Y184" s="741"/>
      <c r="Z184" s="741"/>
      <c r="AA184" s="741"/>
      <c r="AB184" s="741"/>
      <c r="AC184" s="741"/>
      <c r="AD184" s="741"/>
      <c r="AE184" s="741"/>
      <c r="AF184" s="741"/>
      <c r="AG184" s="741"/>
      <c r="AH184" s="741"/>
      <c r="AI184" s="741"/>
      <c r="AJ184" s="741"/>
      <c r="AK184" s="741"/>
      <c r="AL184" s="741"/>
      <c r="AM184" s="741"/>
      <c r="AN184" s="741"/>
      <c r="AO184" s="741"/>
      <c r="AP184" s="741"/>
      <c r="AQ184" s="741"/>
      <c r="AR184" s="741"/>
    </row>
    <row r="185" spans="1:44">
      <c r="A185" s="741"/>
      <c r="B185" s="741"/>
      <c r="C185" s="741"/>
      <c r="D185" s="741"/>
      <c r="E185" s="741"/>
      <c r="F185" s="741"/>
      <c r="G185" s="741"/>
      <c r="H185" s="741"/>
      <c r="I185" s="741"/>
      <c r="J185" s="741"/>
      <c r="K185" s="741"/>
      <c r="L185" s="741"/>
      <c r="M185" s="741"/>
      <c r="N185" s="741"/>
      <c r="O185" s="741"/>
      <c r="P185" s="741"/>
      <c r="Q185" s="741"/>
      <c r="R185" s="741"/>
      <c r="S185" s="741"/>
      <c r="T185" s="741"/>
      <c r="U185" s="741"/>
      <c r="V185" s="741"/>
      <c r="W185" s="741"/>
      <c r="X185" s="741"/>
      <c r="Y185" s="741"/>
      <c r="Z185" s="741"/>
      <c r="AA185" s="741"/>
      <c r="AB185" s="741"/>
      <c r="AC185" s="741"/>
      <c r="AD185" s="741"/>
      <c r="AE185" s="741"/>
      <c r="AF185" s="741"/>
      <c r="AG185" s="741"/>
      <c r="AH185" s="741"/>
      <c r="AI185" s="741"/>
      <c r="AJ185" s="741"/>
      <c r="AK185" s="741"/>
      <c r="AL185" s="741"/>
      <c r="AM185" s="741"/>
      <c r="AN185" s="741"/>
      <c r="AO185" s="741"/>
      <c r="AP185" s="741"/>
      <c r="AQ185" s="741"/>
      <c r="AR185" s="741"/>
    </row>
    <row r="186" spans="1:44">
      <c r="A186" s="741"/>
      <c r="B186" s="741"/>
      <c r="C186" s="741"/>
      <c r="D186" s="741"/>
      <c r="E186" s="741"/>
      <c r="F186" s="741"/>
      <c r="G186" s="741"/>
      <c r="H186" s="741"/>
      <c r="I186" s="741"/>
      <c r="J186" s="741"/>
      <c r="K186" s="741"/>
      <c r="L186" s="741"/>
      <c r="M186" s="741"/>
      <c r="N186" s="741"/>
      <c r="O186" s="741"/>
      <c r="P186" s="741"/>
      <c r="Q186" s="741"/>
      <c r="R186" s="741"/>
      <c r="S186" s="741"/>
      <c r="T186" s="741"/>
      <c r="U186" s="741"/>
      <c r="V186" s="741"/>
      <c r="W186" s="741"/>
      <c r="X186" s="741"/>
      <c r="Y186" s="741"/>
      <c r="Z186" s="741"/>
      <c r="AA186" s="741"/>
      <c r="AB186" s="741"/>
      <c r="AC186" s="741"/>
      <c r="AD186" s="741"/>
      <c r="AE186" s="741"/>
      <c r="AF186" s="741"/>
      <c r="AG186" s="741"/>
      <c r="AH186" s="741"/>
      <c r="AI186" s="741"/>
      <c r="AJ186" s="741"/>
      <c r="AK186" s="741"/>
      <c r="AL186" s="741"/>
      <c r="AM186" s="741"/>
      <c r="AN186" s="741"/>
      <c r="AO186" s="741"/>
      <c r="AP186" s="741"/>
      <c r="AQ186" s="741"/>
      <c r="AR186" s="741"/>
    </row>
    <row r="187" spans="1:44">
      <c r="A187" s="741"/>
      <c r="B187" s="741"/>
      <c r="C187" s="741"/>
      <c r="D187" s="741"/>
      <c r="E187" s="741"/>
      <c r="F187" s="741"/>
      <c r="G187" s="741"/>
      <c r="H187" s="741"/>
      <c r="I187" s="741"/>
      <c r="J187" s="741"/>
      <c r="K187" s="741"/>
      <c r="L187" s="741"/>
      <c r="M187" s="741"/>
      <c r="N187" s="741"/>
      <c r="O187" s="741"/>
      <c r="P187" s="741"/>
      <c r="Q187" s="741"/>
      <c r="R187" s="741"/>
      <c r="S187" s="741"/>
      <c r="T187" s="741"/>
      <c r="U187" s="741"/>
      <c r="V187" s="741"/>
      <c r="W187" s="741"/>
      <c r="X187" s="741"/>
      <c r="Y187" s="741"/>
      <c r="Z187" s="741"/>
      <c r="AA187" s="741"/>
      <c r="AB187" s="741"/>
      <c r="AC187" s="741"/>
      <c r="AD187" s="741"/>
      <c r="AE187" s="741"/>
      <c r="AF187" s="741"/>
      <c r="AG187" s="741"/>
      <c r="AH187" s="741"/>
      <c r="AI187" s="741"/>
      <c r="AJ187" s="741"/>
      <c r="AK187" s="741"/>
      <c r="AL187" s="741"/>
      <c r="AM187" s="741"/>
      <c r="AN187" s="741"/>
      <c r="AO187" s="741"/>
      <c r="AP187" s="741"/>
      <c r="AQ187" s="741"/>
      <c r="AR187" s="741"/>
    </row>
    <row r="188" spans="1:44">
      <c r="A188" s="741"/>
      <c r="B188" s="741"/>
      <c r="C188" s="741"/>
      <c r="D188" s="741"/>
      <c r="E188" s="741"/>
      <c r="F188" s="741"/>
      <c r="G188" s="741"/>
      <c r="H188" s="741"/>
      <c r="I188" s="741"/>
      <c r="J188" s="741"/>
      <c r="K188" s="741"/>
      <c r="L188" s="741"/>
      <c r="M188" s="741"/>
      <c r="N188" s="741"/>
      <c r="O188" s="741"/>
      <c r="P188" s="741"/>
      <c r="Q188" s="741"/>
      <c r="R188" s="741"/>
      <c r="S188" s="741"/>
      <c r="T188" s="741"/>
      <c r="U188" s="741"/>
      <c r="V188" s="741"/>
      <c r="W188" s="741"/>
      <c r="X188" s="741"/>
      <c r="Y188" s="741"/>
      <c r="Z188" s="741"/>
      <c r="AA188" s="741"/>
      <c r="AB188" s="741"/>
      <c r="AC188" s="741"/>
      <c r="AD188" s="741"/>
      <c r="AE188" s="741"/>
      <c r="AF188" s="741"/>
      <c r="AG188" s="741"/>
      <c r="AH188" s="741"/>
      <c r="AI188" s="741"/>
      <c r="AJ188" s="741"/>
      <c r="AK188" s="741"/>
      <c r="AL188" s="741"/>
      <c r="AM188" s="741"/>
      <c r="AN188" s="741"/>
      <c r="AO188" s="741"/>
      <c r="AP188" s="741"/>
      <c r="AQ188" s="741"/>
      <c r="AR188" s="741"/>
    </row>
    <row r="189" spans="1:44">
      <c r="A189" s="741"/>
      <c r="B189" s="741"/>
      <c r="C189" s="741"/>
      <c r="D189" s="741"/>
      <c r="E189" s="741"/>
      <c r="F189" s="741"/>
      <c r="G189" s="741"/>
      <c r="H189" s="741"/>
      <c r="I189" s="741"/>
      <c r="J189" s="741"/>
      <c r="K189" s="741"/>
      <c r="L189" s="741"/>
      <c r="M189" s="741"/>
      <c r="N189" s="741"/>
      <c r="O189" s="741"/>
      <c r="P189" s="741"/>
      <c r="Q189" s="741"/>
      <c r="R189" s="741"/>
      <c r="S189" s="741"/>
      <c r="T189" s="741"/>
      <c r="U189" s="741"/>
      <c r="V189" s="741"/>
      <c r="W189" s="741"/>
      <c r="X189" s="741"/>
      <c r="Y189" s="741"/>
      <c r="Z189" s="741"/>
      <c r="AA189" s="741"/>
      <c r="AB189" s="741"/>
      <c r="AC189" s="741"/>
      <c r="AD189" s="741"/>
      <c r="AE189" s="741"/>
      <c r="AF189" s="741"/>
      <c r="AG189" s="741"/>
      <c r="AH189" s="741"/>
      <c r="AI189" s="741"/>
      <c r="AJ189" s="741"/>
      <c r="AK189" s="741"/>
      <c r="AL189" s="741"/>
      <c r="AM189" s="741"/>
      <c r="AN189" s="741"/>
      <c r="AO189" s="741"/>
      <c r="AP189" s="741"/>
      <c r="AQ189" s="741"/>
      <c r="AR189" s="741"/>
    </row>
    <row r="190" spans="1:44">
      <c r="A190" s="741"/>
      <c r="B190" s="741"/>
      <c r="C190" s="741"/>
      <c r="D190" s="741"/>
      <c r="E190" s="741"/>
      <c r="F190" s="741"/>
      <c r="G190" s="741"/>
      <c r="H190" s="741"/>
      <c r="I190" s="741"/>
      <c r="J190" s="741"/>
      <c r="K190" s="741"/>
      <c r="L190" s="741"/>
      <c r="M190" s="741"/>
      <c r="N190" s="741"/>
      <c r="O190" s="741"/>
      <c r="P190" s="741"/>
      <c r="Q190" s="741"/>
      <c r="R190" s="741"/>
      <c r="S190" s="741"/>
      <c r="T190" s="741"/>
      <c r="U190" s="741"/>
      <c r="V190" s="741"/>
      <c r="W190" s="741"/>
      <c r="X190" s="741"/>
      <c r="Y190" s="741"/>
      <c r="Z190" s="741"/>
      <c r="AA190" s="741"/>
      <c r="AB190" s="741"/>
      <c r="AC190" s="741"/>
      <c r="AD190" s="741"/>
      <c r="AE190" s="741"/>
      <c r="AF190" s="741"/>
      <c r="AG190" s="741"/>
      <c r="AH190" s="741"/>
      <c r="AI190" s="741"/>
      <c r="AJ190" s="741"/>
      <c r="AK190" s="741"/>
      <c r="AL190" s="741"/>
      <c r="AM190" s="741"/>
      <c r="AN190" s="741"/>
      <c r="AO190" s="741"/>
      <c r="AP190" s="741"/>
      <c r="AQ190" s="741"/>
      <c r="AR190" s="741"/>
    </row>
    <row r="191" spans="1:44">
      <c r="A191" s="741"/>
      <c r="B191" s="741"/>
      <c r="C191" s="741"/>
      <c r="D191" s="741"/>
      <c r="E191" s="741"/>
      <c r="F191" s="741"/>
      <c r="G191" s="741"/>
      <c r="H191" s="741"/>
      <c r="I191" s="741"/>
      <c r="J191" s="741"/>
      <c r="K191" s="741"/>
      <c r="L191" s="741"/>
      <c r="M191" s="741"/>
      <c r="N191" s="741"/>
      <c r="O191" s="741"/>
      <c r="P191" s="741"/>
      <c r="Q191" s="741"/>
      <c r="R191" s="741"/>
      <c r="S191" s="741"/>
      <c r="T191" s="741"/>
      <c r="U191" s="741"/>
      <c r="V191" s="741"/>
      <c r="W191" s="741"/>
      <c r="X191" s="741"/>
      <c r="Y191" s="741"/>
      <c r="Z191" s="741"/>
      <c r="AA191" s="741"/>
      <c r="AB191" s="741"/>
      <c r="AC191" s="741"/>
      <c r="AD191" s="741"/>
      <c r="AE191" s="741"/>
      <c r="AF191" s="741"/>
      <c r="AG191" s="741"/>
      <c r="AH191" s="741"/>
      <c r="AI191" s="741"/>
      <c r="AJ191" s="741"/>
      <c r="AK191" s="741"/>
      <c r="AL191" s="741"/>
      <c r="AM191" s="741"/>
      <c r="AN191" s="741"/>
      <c r="AO191" s="741"/>
      <c r="AP191" s="741"/>
      <c r="AQ191" s="741"/>
      <c r="AR191" s="741"/>
    </row>
    <row r="192" spans="1:44">
      <c r="A192" s="741"/>
      <c r="B192" s="741"/>
      <c r="C192" s="741"/>
      <c r="D192" s="741"/>
      <c r="E192" s="741"/>
      <c r="F192" s="741"/>
      <c r="G192" s="741"/>
      <c r="H192" s="741"/>
      <c r="I192" s="741"/>
      <c r="J192" s="741"/>
      <c r="K192" s="741"/>
      <c r="L192" s="741"/>
      <c r="M192" s="741"/>
      <c r="N192" s="741"/>
      <c r="O192" s="741"/>
      <c r="P192" s="741"/>
      <c r="Q192" s="741"/>
      <c r="R192" s="741"/>
      <c r="S192" s="741"/>
      <c r="T192" s="741"/>
      <c r="U192" s="741"/>
      <c r="V192" s="741"/>
      <c r="W192" s="741"/>
      <c r="X192" s="741"/>
      <c r="Y192" s="741"/>
      <c r="Z192" s="741"/>
      <c r="AA192" s="741"/>
      <c r="AB192" s="741"/>
      <c r="AC192" s="741"/>
      <c r="AD192" s="741"/>
      <c r="AE192" s="741"/>
      <c r="AF192" s="741"/>
      <c r="AG192" s="741"/>
      <c r="AH192" s="741"/>
      <c r="AI192" s="741"/>
      <c r="AJ192" s="741"/>
      <c r="AK192" s="741"/>
      <c r="AL192" s="741"/>
      <c r="AM192" s="741"/>
      <c r="AN192" s="741"/>
      <c r="AO192" s="741"/>
      <c r="AP192" s="741"/>
      <c r="AQ192" s="741"/>
      <c r="AR192" s="741"/>
    </row>
    <row r="193" spans="1:44">
      <c r="A193" s="741"/>
      <c r="B193" s="741"/>
      <c r="C193" s="741"/>
      <c r="D193" s="741"/>
      <c r="E193" s="741"/>
      <c r="F193" s="741"/>
      <c r="G193" s="741"/>
      <c r="H193" s="741"/>
      <c r="I193" s="741"/>
      <c r="J193" s="741"/>
      <c r="K193" s="741"/>
      <c r="L193" s="741"/>
      <c r="M193" s="741"/>
      <c r="N193" s="741"/>
      <c r="O193" s="741"/>
      <c r="P193" s="741"/>
      <c r="Q193" s="741"/>
      <c r="R193" s="741"/>
      <c r="S193" s="741"/>
      <c r="T193" s="741"/>
      <c r="U193" s="741"/>
      <c r="V193" s="741"/>
      <c r="W193" s="741"/>
      <c r="X193" s="741"/>
      <c r="Y193" s="741"/>
      <c r="Z193" s="741"/>
      <c r="AA193" s="741"/>
      <c r="AB193" s="741"/>
      <c r="AC193" s="741"/>
      <c r="AD193" s="741"/>
      <c r="AE193" s="741"/>
      <c r="AF193" s="741"/>
      <c r="AG193" s="741"/>
      <c r="AH193" s="741"/>
      <c r="AI193" s="741"/>
      <c r="AJ193" s="741"/>
      <c r="AK193" s="741"/>
      <c r="AL193" s="741"/>
      <c r="AM193" s="741"/>
      <c r="AN193" s="741"/>
      <c r="AO193" s="741"/>
      <c r="AP193" s="741"/>
      <c r="AQ193" s="741"/>
      <c r="AR193" s="741"/>
    </row>
    <row r="194" spans="1:44">
      <c r="A194" s="741"/>
      <c r="B194" s="741"/>
      <c r="C194" s="741"/>
      <c r="D194" s="741"/>
      <c r="E194" s="741"/>
      <c r="F194" s="741"/>
      <c r="G194" s="741"/>
      <c r="H194" s="741"/>
      <c r="I194" s="741"/>
      <c r="J194" s="741"/>
      <c r="K194" s="741"/>
      <c r="L194" s="741"/>
      <c r="M194" s="741"/>
      <c r="N194" s="741"/>
      <c r="O194" s="741"/>
      <c r="P194" s="741"/>
      <c r="Q194" s="741"/>
      <c r="R194" s="741"/>
      <c r="S194" s="741"/>
      <c r="T194" s="741"/>
      <c r="U194" s="741"/>
      <c r="V194" s="741"/>
      <c r="W194" s="741"/>
      <c r="X194" s="741"/>
      <c r="Y194" s="741"/>
      <c r="Z194" s="741"/>
      <c r="AA194" s="741"/>
      <c r="AB194" s="741"/>
      <c r="AC194" s="741"/>
      <c r="AD194" s="741"/>
      <c r="AE194" s="741"/>
      <c r="AF194" s="741"/>
      <c r="AG194" s="741"/>
      <c r="AH194" s="741"/>
      <c r="AI194" s="741"/>
      <c r="AJ194" s="741"/>
      <c r="AK194" s="741"/>
      <c r="AL194" s="741"/>
      <c r="AM194" s="741"/>
      <c r="AN194" s="741"/>
      <c r="AO194" s="741"/>
      <c r="AP194" s="741"/>
      <c r="AQ194" s="741"/>
      <c r="AR194" s="741"/>
    </row>
    <row r="195" spans="1:44">
      <c r="A195" s="741"/>
      <c r="B195" s="741"/>
      <c r="C195" s="741"/>
      <c r="D195" s="741"/>
      <c r="E195" s="741"/>
      <c r="F195" s="741"/>
      <c r="G195" s="741"/>
      <c r="H195" s="741"/>
      <c r="I195" s="741"/>
      <c r="J195" s="741"/>
      <c r="K195" s="741"/>
      <c r="L195" s="741"/>
      <c r="M195" s="741"/>
      <c r="N195" s="741"/>
      <c r="O195" s="741"/>
      <c r="P195" s="741"/>
      <c r="Q195" s="741"/>
      <c r="R195" s="741"/>
      <c r="S195" s="741"/>
      <c r="T195" s="741"/>
      <c r="U195" s="741"/>
      <c r="V195" s="741"/>
      <c r="W195" s="741"/>
      <c r="X195" s="741"/>
      <c r="Y195" s="741"/>
      <c r="Z195" s="741"/>
      <c r="AA195" s="741"/>
      <c r="AB195" s="741"/>
      <c r="AC195" s="741"/>
      <c r="AD195" s="741"/>
      <c r="AE195" s="741"/>
      <c r="AF195" s="741"/>
      <c r="AG195" s="741"/>
      <c r="AH195" s="741"/>
      <c r="AI195" s="741"/>
      <c r="AJ195" s="741"/>
      <c r="AK195" s="741"/>
      <c r="AL195" s="741"/>
      <c r="AM195" s="741"/>
      <c r="AN195" s="741"/>
      <c r="AO195" s="741"/>
      <c r="AP195" s="741"/>
      <c r="AQ195" s="741"/>
      <c r="AR195" s="741"/>
    </row>
    <row r="196" spans="1:44">
      <c r="A196" s="741"/>
      <c r="B196" s="741"/>
      <c r="C196" s="741"/>
      <c r="D196" s="741"/>
      <c r="E196" s="741"/>
      <c r="F196" s="741"/>
      <c r="G196" s="741"/>
      <c r="H196" s="741"/>
      <c r="I196" s="741"/>
      <c r="J196" s="741"/>
      <c r="K196" s="741"/>
      <c r="L196" s="741"/>
      <c r="M196" s="741"/>
      <c r="N196" s="741"/>
      <c r="O196" s="741"/>
      <c r="P196" s="741"/>
      <c r="Q196" s="741"/>
      <c r="R196" s="741"/>
      <c r="S196" s="741"/>
      <c r="T196" s="741"/>
      <c r="U196" s="741"/>
      <c r="V196" s="741"/>
      <c r="W196" s="741"/>
      <c r="X196" s="741"/>
      <c r="Y196" s="741"/>
      <c r="Z196" s="741"/>
      <c r="AA196" s="741"/>
      <c r="AB196" s="741"/>
      <c r="AC196" s="741"/>
      <c r="AD196" s="741"/>
      <c r="AE196" s="741"/>
      <c r="AF196" s="741"/>
      <c r="AG196" s="741"/>
      <c r="AH196" s="741"/>
      <c r="AI196" s="741"/>
      <c r="AJ196" s="741"/>
      <c r="AK196" s="741"/>
      <c r="AL196" s="741"/>
      <c r="AM196" s="741"/>
      <c r="AN196" s="741"/>
      <c r="AO196" s="741"/>
      <c r="AP196" s="741"/>
      <c r="AQ196" s="741"/>
      <c r="AR196" s="741"/>
    </row>
    <row r="197" spans="1:44">
      <c r="A197" s="741"/>
      <c r="B197" s="741"/>
      <c r="C197" s="741"/>
      <c r="D197" s="741"/>
      <c r="E197" s="741"/>
      <c r="F197" s="741"/>
      <c r="G197" s="741"/>
      <c r="H197" s="741"/>
      <c r="I197" s="741"/>
      <c r="J197" s="741"/>
      <c r="K197" s="741"/>
      <c r="L197" s="741"/>
      <c r="M197" s="741"/>
      <c r="N197" s="741"/>
      <c r="O197" s="741"/>
      <c r="P197" s="741"/>
      <c r="Q197" s="741"/>
      <c r="R197" s="741"/>
      <c r="S197" s="741"/>
      <c r="T197" s="741"/>
      <c r="U197" s="741"/>
      <c r="V197" s="741"/>
      <c r="W197" s="741"/>
      <c r="X197" s="741"/>
      <c r="Y197" s="741"/>
      <c r="Z197" s="741"/>
      <c r="AA197" s="741"/>
      <c r="AB197" s="741"/>
      <c r="AC197" s="741"/>
      <c r="AD197" s="741"/>
      <c r="AE197" s="741"/>
      <c r="AF197" s="741"/>
      <c r="AG197" s="741"/>
      <c r="AH197" s="741"/>
      <c r="AI197" s="741"/>
      <c r="AJ197" s="741"/>
      <c r="AK197" s="741"/>
      <c r="AL197" s="741"/>
      <c r="AM197" s="741"/>
      <c r="AN197" s="741"/>
      <c r="AO197" s="741"/>
      <c r="AP197" s="741"/>
      <c r="AQ197" s="741"/>
      <c r="AR197" s="741"/>
    </row>
    <row r="198" spans="1:44">
      <c r="A198" s="741"/>
      <c r="B198" s="741"/>
      <c r="C198" s="741"/>
      <c r="D198" s="741"/>
      <c r="E198" s="741"/>
      <c r="F198" s="741"/>
      <c r="G198" s="741"/>
      <c r="H198" s="741"/>
      <c r="I198" s="741"/>
      <c r="J198" s="741"/>
      <c r="K198" s="741"/>
      <c r="L198" s="741"/>
      <c r="M198" s="741"/>
      <c r="N198" s="741"/>
      <c r="O198" s="741"/>
      <c r="P198" s="741"/>
      <c r="Q198" s="741"/>
      <c r="R198" s="741"/>
      <c r="S198" s="741"/>
      <c r="T198" s="741"/>
      <c r="U198" s="741"/>
      <c r="V198" s="741"/>
      <c r="W198" s="741"/>
      <c r="X198" s="741"/>
      <c r="Y198" s="741"/>
      <c r="Z198" s="741"/>
      <c r="AA198" s="741"/>
      <c r="AB198" s="741"/>
      <c r="AC198" s="741"/>
      <c r="AD198" s="741"/>
      <c r="AE198" s="741"/>
      <c r="AF198" s="741"/>
      <c r="AG198" s="741"/>
      <c r="AH198" s="741"/>
      <c r="AI198" s="741"/>
      <c r="AJ198" s="741"/>
      <c r="AK198" s="741"/>
      <c r="AL198" s="741"/>
      <c r="AM198" s="741"/>
      <c r="AN198" s="741"/>
      <c r="AO198" s="741"/>
      <c r="AP198" s="741"/>
      <c r="AQ198" s="741"/>
      <c r="AR198" s="741"/>
    </row>
    <row r="199" spans="1:44">
      <c r="A199" s="741"/>
      <c r="B199" s="741"/>
      <c r="C199" s="741"/>
      <c r="D199" s="741"/>
      <c r="E199" s="741"/>
      <c r="F199" s="741"/>
      <c r="G199" s="741"/>
      <c r="H199" s="741"/>
      <c r="I199" s="741"/>
      <c r="J199" s="741"/>
      <c r="K199" s="741"/>
      <c r="L199" s="741"/>
      <c r="M199" s="741"/>
      <c r="N199" s="741"/>
      <c r="O199" s="741"/>
      <c r="P199" s="741"/>
      <c r="Q199" s="741"/>
      <c r="R199" s="741"/>
      <c r="S199" s="741"/>
      <c r="T199" s="741"/>
      <c r="U199" s="741"/>
      <c r="V199" s="741"/>
      <c r="W199" s="741"/>
      <c r="X199" s="741"/>
      <c r="Y199" s="741"/>
      <c r="Z199" s="741"/>
      <c r="AA199" s="741"/>
      <c r="AB199" s="741"/>
      <c r="AC199" s="741"/>
      <c r="AD199" s="741"/>
      <c r="AE199" s="741"/>
      <c r="AF199" s="741"/>
      <c r="AG199" s="741"/>
      <c r="AH199" s="741"/>
      <c r="AI199" s="741"/>
      <c r="AJ199" s="741"/>
      <c r="AK199" s="741"/>
      <c r="AL199" s="741"/>
      <c r="AM199" s="741"/>
      <c r="AN199" s="741"/>
      <c r="AO199" s="741"/>
      <c r="AP199" s="741"/>
      <c r="AQ199" s="741"/>
      <c r="AR199" s="741"/>
    </row>
    <row r="200" spans="1:44">
      <c r="A200" s="741"/>
      <c r="B200" s="741"/>
      <c r="C200" s="741"/>
      <c r="D200" s="741"/>
      <c r="E200" s="741"/>
      <c r="F200" s="741"/>
      <c r="G200" s="741"/>
      <c r="H200" s="741"/>
      <c r="I200" s="741"/>
      <c r="J200" s="741"/>
      <c r="K200" s="741"/>
      <c r="L200" s="741"/>
      <c r="M200" s="741"/>
      <c r="N200" s="741"/>
      <c r="O200" s="741"/>
      <c r="P200" s="741"/>
      <c r="Q200" s="741"/>
      <c r="R200" s="741"/>
      <c r="S200" s="741"/>
      <c r="T200" s="741"/>
      <c r="U200" s="741"/>
      <c r="V200" s="741"/>
      <c r="W200" s="741"/>
      <c r="X200" s="741"/>
      <c r="Y200" s="741"/>
      <c r="Z200" s="741"/>
      <c r="AA200" s="741"/>
      <c r="AB200" s="741"/>
      <c r="AC200" s="741"/>
      <c r="AD200" s="741"/>
      <c r="AE200" s="741"/>
      <c r="AF200" s="741"/>
      <c r="AG200" s="741"/>
      <c r="AH200" s="741"/>
      <c r="AI200" s="741"/>
      <c r="AJ200" s="741"/>
      <c r="AK200" s="741"/>
      <c r="AL200" s="741"/>
      <c r="AM200" s="741"/>
      <c r="AN200" s="741"/>
      <c r="AO200" s="741"/>
      <c r="AP200" s="741"/>
      <c r="AQ200" s="741"/>
      <c r="AR200" s="741"/>
    </row>
    <row r="201" spans="1:44">
      <c r="A201" s="741"/>
      <c r="B201" s="741"/>
      <c r="C201" s="741"/>
      <c r="D201" s="741"/>
      <c r="E201" s="741"/>
      <c r="F201" s="741"/>
      <c r="G201" s="741"/>
      <c r="H201" s="741"/>
      <c r="I201" s="741"/>
      <c r="J201" s="741"/>
      <c r="K201" s="741"/>
      <c r="L201" s="741"/>
      <c r="M201" s="741"/>
      <c r="N201" s="741"/>
      <c r="O201" s="741"/>
      <c r="P201" s="741"/>
      <c r="Q201" s="741"/>
      <c r="R201" s="741"/>
      <c r="S201" s="741"/>
      <c r="T201" s="741"/>
      <c r="U201" s="741"/>
      <c r="V201" s="741"/>
      <c r="W201" s="741"/>
      <c r="X201" s="741"/>
      <c r="Y201" s="741"/>
      <c r="Z201" s="741"/>
      <c r="AA201" s="741"/>
      <c r="AB201" s="741"/>
      <c r="AC201" s="741"/>
      <c r="AD201" s="741"/>
      <c r="AE201" s="741"/>
      <c r="AF201" s="741"/>
      <c r="AG201" s="741"/>
      <c r="AH201" s="741"/>
      <c r="AI201" s="741"/>
      <c r="AJ201" s="741"/>
      <c r="AK201" s="741"/>
      <c r="AL201" s="741"/>
      <c r="AM201" s="741"/>
      <c r="AN201" s="741"/>
      <c r="AO201" s="741"/>
      <c r="AP201" s="741"/>
      <c r="AQ201" s="741"/>
      <c r="AR201" s="741"/>
    </row>
    <row r="202" spans="1:44">
      <c r="A202" s="741"/>
      <c r="B202" s="741"/>
      <c r="C202" s="741"/>
      <c r="D202" s="741"/>
      <c r="E202" s="741"/>
      <c r="F202" s="741"/>
      <c r="G202" s="741"/>
      <c r="H202" s="741"/>
      <c r="I202" s="741"/>
      <c r="J202" s="741"/>
      <c r="K202" s="741"/>
      <c r="L202" s="741"/>
      <c r="M202" s="741"/>
      <c r="N202" s="741"/>
      <c r="O202" s="741"/>
      <c r="P202" s="741"/>
      <c r="Q202" s="741"/>
      <c r="R202" s="741"/>
      <c r="S202" s="741"/>
      <c r="T202" s="741"/>
      <c r="U202" s="741"/>
      <c r="V202" s="741"/>
      <c r="W202" s="741"/>
      <c r="X202" s="741"/>
      <c r="Y202" s="741"/>
      <c r="Z202" s="741"/>
      <c r="AA202" s="741"/>
      <c r="AB202" s="741"/>
      <c r="AC202" s="741"/>
      <c r="AD202" s="741"/>
      <c r="AE202" s="741"/>
      <c r="AF202" s="741"/>
      <c r="AG202" s="741"/>
      <c r="AH202" s="741"/>
      <c r="AI202" s="741"/>
      <c r="AJ202" s="741"/>
      <c r="AK202" s="741"/>
      <c r="AL202" s="741"/>
      <c r="AM202" s="741"/>
      <c r="AN202" s="741"/>
      <c r="AO202" s="741"/>
      <c r="AP202" s="741"/>
      <c r="AQ202" s="741"/>
      <c r="AR202" s="741"/>
    </row>
    <row r="203" spans="1:44">
      <c r="A203" s="741"/>
      <c r="B203" s="741"/>
      <c r="C203" s="741"/>
      <c r="D203" s="741"/>
      <c r="E203" s="741"/>
      <c r="F203" s="741"/>
      <c r="G203" s="741"/>
      <c r="H203" s="741"/>
      <c r="I203" s="741"/>
      <c r="J203" s="741"/>
      <c r="K203" s="741"/>
      <c r="L203" s="741"/>
      <c r="M203" s="741"/>
      <c r="N203" s="741"/>
      <c r="O203" s="741"/>
      <c r="P203" s="741"/>
      <c r="Q203" s="741"/>
      <c r="R203" s="741"/>
      <c r="S203" s="741"/>
      <c r="T203" s="741"/>
      <c r="U203" s="741"/>
      <c r="V203" s="741"/>
      <c r="W203" s="741"/>
      <c r="X203" s="741"/>
      <c r="Y203" s="741"/>
      <c r="Z203" s="741"/>
      <c r="AA203" s="741"/>
      <c r="AB203" s="741"/>
      <c r="AC203" s="741"/>
      <c r="AD203" s="741"/>
      <c r="AE203" s="741"/>
      <c r="AF203" s="741"/>
      <c r="AG203" s="741"/>
      <c r="AH203" s="741"/>
      <c r="AI203" s="741"/>
      <c r="AJ203" s="741"/>
      <c r="AK203" s="741"/>
      <c r="AL203" s="741"/>
      <c r="AM203" s="741"/>
      <c r="AN203" s="741"/>
      <c r="AO203" s="741"/>
      <c r="AP203" s="741"/>
      <c r="AQ203" s="741"/>
      <c r="AR203" s="741"/>
    </row>
    <row r="204" spans="1:44">
      <c r="A204" s="741"/>
      <c r="B204" s="741"/>
      <c r="C204" s="741"/>
      <c r="D204" s="741"/>
      <c r="E204" s="741"/>
      <c r="F204" s="741"/>
      <c r="G204" s="741"/>
      <c r="H204" s="741"/>
      <c r="I204" s="741"/>
      <c r="J204" s="741"/>
      <c r="K204" s="741"/>
      <c r="L204" s="741"/>
      <c r="M204" s="741"/>
      <c r="N204" s="741"/>
      <c r="O204" s="741"/>
      <c r="P204" s="741"/>
      <c r="Q204" s="741"/>
      <c r="R204" s="741"/>
      <c r="S204" s="741"/>
      <c r="T204" s="741"/>
      <c r="U204" s="741"/>
      <c r="V204" s="741"/>
      <c r="W204" s="741"/>
      <c r="X204" s="741"/>
      <c r="Y204" s="741"/>
      <c r="Z204" s="741"/>
      <c r="AA204" s="741"/>
      <c r="AB204" s="741"/>
      <c r="AC204" s="741"/>
      <c r="AD204" s="741"/>
      <c r="AE204" s="741"/>
      <c r="AF204" s="741"/>
      <c r="AG204" s="741"/>
      <c r="AH204" s="741"/>
      <c r="AI204" s="741"/>
      <c r="AJ204" s="741"/>
      <c r="AK204" s="741"/>
      <c r="AL204" s="741"/>
      <c r="AM204" s="741"/>
      <c r="AN204" s="741"/>
      <c r="AO204" s="741"/>
      <c r="AP204" s="741"/>
      <c r="AQ204" s="741"/>
      <c r="AR204" s="741"/>
    </row>
    <row r="205" spans="1:44">
      <c r="A205" s="741"/>
      <c r="B205" s="741"/>
      <c r="C205" s="741"/>
      <c r="D205" s="741"/>
      <c r="E205" s="741"/>
      <c r="F205" s="741"/>
      <c r="G205" s="741"/>
      <c r="H205" s="741"/>
      <c r="I205" s="741"/>
      <c r="J205" s="741"/>
      <c r="K205" s="741"/>
      <c r="L205" s="741"/>
      <c r="M205" s="741"/>
      <c r="N205" s="741"/>
      <c r="O205" s="741"/>
      <c r="P205" s="741"/>
      <c r="Q205" s="741"/>
      <c r="R205" s="741"/>
      <c r="S205" s="741"/>
      <c r="T205" s="741"/>
      <c r="U205" s="741"/>
      <c r="V205" s="741"/>
      <c r="W205" s="741"/>
      <c r="X205" s="741"/>
      <c r="Y205" s="741"/>
      <c r="Z205" s="741"/>
      <c r="AA205" s="741"/>
      <c r="AB205" s="741"/>
      <c r="AC205" s="741"/>
      <c r="AD205" s="741"/>
      <c r="AE205" s="741"/>
      <c r="AF205" s="741"/>
      <c r="AG205" s="741"/>
      <c r="AH205" s="741"/>
      <c r="AI205" s="741"/>
      <c r="AJ205" s="741"/>
      <c r="AK205" s="741"/>
      <c r="AL205" s="741"/>
      <c r="AM205" s="741"/>
      <c r="AN205" s="741"/>
      <c r="AO205" s="741"/>
      <c r="AP205" s="741"/>
      <c r="AQ205" s="741"/>
      <c r="AR205" s="741"/>
    </row>
    <row r="206" spans="1:44">
      <c r="A206" s="741"/>
      <c r="B206" s="741"/>
      <c r="C206" s="741"/>
      <c r="D206" s="741"/>
      <c r="E206" s="741"/>
      <c r="F206" s="741"/>
      <c r="G206" s="741"/>
      <c r="H206" s="741"/>
      <c r="I206" s="741"/>
      <c r="J206" s="741"/>
      <c r="K206" s="741"/>
      <c r="L206" s="741"/>
      <c r="M206" s="741"/>
      <c r="N206" s="741"/>
      <c r="O206" s="741"/>
      <c r="P206" s="741"/>
      <c r="Q206" s="741"/>
      <c r="R206" s="741"/>
      <c r="S206" s="741"/>
      <c r="T206" s="741"/>
      <c r="U206" s="741"/>
      <c r="V206" s="741"/>
      <c r="W206" s="741"/>
      <c r="X206" s="741"/>
      <c r="Y206" s="741"/>
      <c r="Z206" s="741"/>
      <c r="AA206" s="741"/>
      <c r="AB206" s="741"/>
      <c r="AC206" s="741"/>
      <c r="AD206" s="741"/>
      <c r="AE206" s="741"/>
      <c r="AF206" s="741"/>
      <c r="AG206" s="741"/>
      <c r="AH206" s="741"/>
      <c r="AI206" s="741"/>
      <c r="AJ206" s="741"/>
      <c r="AK206" s="741"/>
      <c r="AL206" s="741"/>
      <c r="AM206" s="741"/>
      <c r="AN206" s="741"/>
      <c r="AO206" s="741"/>
      <c r="AP206" s="741"/>
      <c r="AQ206" s="741"/>
      <c r="AR206" s="741"/>
    </row>
    <row r="207" spans="1:44">
      <c r="A207" s="741"/>
      <c r="B207" s="741"/>
      <c r="C207" s="741"/>
      <c r="D207" s="741"/>
      <c r="E207" s="741"/>
      <c r="F207" s="741"/>
      <c r="G207" s="741"/>
      <c r="H207" s="741"/>
      <c r="I207" s="741"/>
      <c r="J207" s="741"/>
      <c r="K207" s="741"/>
      <c r="L207" s="741"/>
      <c r="M207" s="741"/>
      <c r="N207" s="741"/>
      <c r="O207" s="741"/>
      <c r="P207" s="741"/>
      <c r="Q207" s="741"/>
      <c r="R207" s="741"/>
      <c r="S207" s="741"/>
      <c r="T207" s="741"/>
      <c r="U207" s="741"/>
      <c r="V207" s="741"/>
      <c r="W207" s="741"/>
      <c r="X207" s="741"/>
      <c r="Y207" s="741"/>
      <c r="Z207" s="741"/>
      <c r="AA207" s="741"/>
      <c r="AB207" s="741"/>
      <c r="AC207" s="741"/>
      <c r="AD207" s="741"/>
      <c r="AE207" s="741"/>
      <c r="AF207" s="741"/>
      <c r="AG207" s="741"/>
      <c r="AH207" s="741"/>
      <c r="AI207" s="741"/>
      <c r="AJ207" s="741"/>
      <c r="AK207" s="741"/>
      <c r="AL207" s="741"/>
      <c r="AM207" s="741"/>
      <c r="AN207" s="741"/>
      <c r="AO207" s="741"/>
      <c r="AP207" s="741"/>
      <c r="AQ207" s="741"/>
      <c r="AR207" s="741"/>
    </row>
    <row r="208" spans="1:44">
      <c r="A208" s="741"/>
      <c r="B208" s="741"/>
      <c r="C208" s="741"/>
      <c r="D208" s="741"/>
      <c r="E208" s="741"/>
      <c r="F208" s="741"/>
      <c r="G208" s="741"/>
      <c r="H208" s="741"/>
      <c r="I208" s="741"/>
      <c r="J208" s="741"/>
      <c r="K208" s="741"/>
      <c r="L208" s="741"/>
      <c r="M208" s="741"/>
      <c r="N208" s="741"/>
      <c r="O208" s="741"/>
      <c r="P208" s="741"/>
      <c r="Q208" s="741"/>
      <c r="R208" s="741"/>
      <c r="S208" s="741"/>
      <c r="T208" s="741"/>
      <c r="U208" s="741"/>
      <c r="V208" s="741"/>
      <c r="W208" s="741"/>
      <c r="X208" s="741"/>
      <c r="Y208" s="741"/>
      <c r="Z208" s="741"/>
      <c r="AA208" s="741"/>
      <c r="AB208" s="741"/>
      <c r="AC208" s="741"/>
      <c r="AD208" s="741"/>
      <c r="AE208" s="741"/>
      <c r="AF208" s="741"/>
      <c r="AG208" s="741"/>
      <c r="AH208" s="741"/>
      <c r="AI208" s="741"/>
      <c r="AJ208" s="741"/>
      <c r="AK208" s="741"/>
      <c r="AL208" s="741"/>
      <c r="AM208" s="741"/>
      <c r="AN208" s="741"/>
      <c r="AO208" s="741"/>
      <c r="AP208" s="741"/>
      <c r="AQ208" s="741"/>
      <c r="AR208" s="741"/>
    </row>
    <row r="209" spans="1:44">
      <c r="A209" s="741"/>
      <c r="B209" s="741"/>
      <c r="C209" s="741"/>
      <c r="D209" s="741"/>
      <c r="E209" s="741"/>
      <c r="F209" s="741"/>
      <c r="G209" s="741"/>
      <c r="H209" s="741"/>
      <c r="I209" s="741"/>
      <c r="J209" s="741"/>
      <c r="K209" s="741"/>
      <c r="L209" s="741"/>
      <c r="M209" s="741"/>
      <c r="N209" s="741"/>
      <c r="O209" s="741"/>
      <c r="P209" s="741"/>
      <c r="Q209" s="741"/>
      <c r="R209" s="741"/>
      <c r="S209" s="741"/>
      <c r="T209" s="741"/>
      <c r="U209" s="741"/>
      <c r="V209" s="741"/>
      <c r="W209" s="741"/>
      <c r="X209" s="741"/>
      <c r="Y209" s="741"/>
      <c r="Z209" s="741"/>
      <c r="AA209" s="741"/>
      <c r="AB209" s="741"/>
      <c r="AC209" s="741"/>
      <c r="AD209" s="741"/>
      <c r="AE209" s="741"/>
      <c r="AF209" s="741"/>
      <c r="AG209" s="741"/>
      <c r="AH209" s="741"/>
      <c r="AI209" s="741"/>
      <c r="AJ209" s="741"/>
      <c r="AK209" s="741"/>
      <c r="AL209" s="741"/>
      <c r="AM209" s="741"/>
      <c r="AN209" s="741"/>
      <c r="AO209" s="741"/>
      <c r="AP209" s="741"/>
      <c r="AQ209" s="741"/>
      <c r="AR209" s="741"/>
    </row>
    <row r="210" spans="1:44">
      <c r="A210" s="741"/>
      <c r="B210" s="741"/>
      <c r="C210" s="741"/>
      <c r="D210" s="741"/>
      <c r="E210" s="741"/>
      <c r="F210" s="741"/>
      <c r="G210" s="741"/>
      <c r="H210" s="741"/>
      <c r="I210" s="741"/>
      <c r="J210" s="741"/>
      <c r="K210" s="741"/>
      <c r="L210" s="741"/>
      <c r="M210" s="741"/>
      <c r="N210" s="741"/>
      <c r="O210" s="741"/>
      <c r="P210" s="741"/>
      <c r="Q210" s="741"/>
      <c r="R210" s="741"/>
      <c r="S210" s="741"/>
      <c r="T210" s="741"/>
      <c r="U210" s="741"/>
      <c r="V210" s="741"/>
      <c r="W210" s="741"/>
      <c r="X210" s="741"/>
      <c r="Y210" s="741"/>
      <c r="Z210" s="741"/>
      <c r="AA210" s="741"/>
      <c r="AB210" s="741"/>
      <c r="AC210" s="741"/>
      <c r="AD210" s="741"/>
      <c r="AE210" s="741"/>
      <c r="AF210" s="741"/>
      <c r="AG210" s="741"/>
      <c r="AH210" s="741"/>
      <c r="AI210" s="741"/>
      <c r="AJ210" s="741"/>
      <c r="AK210" s="741"/>
      <c r="AL210" s="741"/>
      <c r="AM210" s="741"/>
      <c r="AN210" s="741"/>
      <c r="AO210" s="741"/>
      <c r="AP210" s="741"/>
      <c r="AQ210" s="741"/>
      <c r="AR210" s="741"/>
    </row>
    <row r="211" spans="1:44">
      <c r="A211" s="741"/>
      <c r="B211" s="741"/>
      <c r="C211" s="741"/>
      <c r="D211" s="741"/>
      <c r="E211" s="741"/>
      <c r="F211" s="741"/>
      <c r="G211" s="741"/>
      <c r="H211" s="741"/>
      <c r="I211" s="741"/>
      <c r="J211" s="741"/>
      <c r="K211" s="741"/>
      <c r="L211" s="741"/>
      <c r="M211" s="741"/>
      <c r="N211" s="741"/>
      <c r="O211" s="741"/>
      <c r="P211" s="741"/>
      <c r="Q211" s="741"/>
      <c r="R211" s="741"/>
      <c r="S211" s="741"/>
      <c r="T211" s="741"/>
      <c r="U211" s="741"/>
      <c r="V211" s="741"/>
      <c r="W211" s="741"/>
      <c r="X211" s="741"/>
      <c r="Y211" s="741"/>
      <c r="Z211" s="741"/>
      <c r="AA211" s="741"/>
      <c r="AB211" s="741"/>
      <c r="AC211" s="741"/>
      <c r="AD211" s="741"/>
      <c r="AE211" s="741"/>
      <c r="AF211" s="741"/>
      <c r="AG211" s="741"/>
      <c r="AH211" s="741"/>
      <c r="AI211" s="741"/>
      <c r="AJ211" s="741"/>
      <c r="AK211" s="741"/>
      <c r="AL211" s="741"/>
      <c r="AM211" s="741"/>
      <c r="AN211" s="741"/>
      <c r="AO211" s="741"/>
      <c r="AP211" s="741"/>
      <c r="AQ211" s="741"/>
      <c r="AR211" s="741"/>
    </row>
    <row r="212" spans="1:44">
      <c r="A212" s="741"/>
      <c r="B212" s="741"/>
      <c r="C212" s="741"/>
      <c r="D212" s="741"/>
      <c r="E212" s="741"/>
      <c r="F212" s="741"/>
      <c r="G212" s="741"/>
      <c r="H212" s="741"/>
      <c r="I212" s="741"/>
      <c r="J212" s="741"/>
      <c r="K212" s="741"/>
      <c r="L212" s="741"/>
      <c r="M212" s="741"/>
      <c r="N212" s="741"/>
      <c r="O212" s="741"/>
      <c r="P212" s="741"/>
      <c r="Q212" s="741"/>
      <c r="R212" s="741"/>
      <c r="S212" s="741"/>
      <c r="T212" s="741"/>
      <c r="U212" s="741"/>
      <c r="V212" s="741"/>
      <c r="W212" s="741"/>
      <c r="X212" s="741"/>
      <c r="Y212" s="741"/>
      <c r="Z212" s="741"/>
      <c r="AA212" s="741"/>
      <c r="AB212" s="741"/>
      <c r="AC212" s="741"/>
      <c r="AD212" s="741"/>
      <c r="AE212" s="741"/>
      <c r="AF212" s="741"/>
      <c r="AG212" s="741"/>
      <c r="AH212" s="741"/>
      <c r="AI212" s="741"/>
      <c r="AJ212" s="741"/>
      <c r="AK212" s="741"/>
      <c r="AL212" s="741"/>
      <c r="AM212" s="741"/>
      <c r="AN212" s="741"/>
      <c r="AO212" s="741"/>
      <c r="AP212" s="741"/>
      <c r="AQ212" s="741"/>
      <c r="AR212" s="741"/>
    </row>
    <row r="213" spans="1:44">
      <c r="A213" s="741"/>
      <c r="B213" s="741"/>
      <c r="C213" s="741"/>
      <c r="D213" s="741"/>
      <c r="E213" s="741"/>
      <c r="F213" s="741"/>
      <c r="G213" s="741"/>
      <c r="H213" s="741"/>
      <c r="I213" s="741"/>
      <c r="J213" s="741"/>
      <c r="K213" s="741"/>
      <c r="L213" s="741"/>
      <c r="M213" s="741"/>
      <c r="N213" s="741"/>
      <c r="O213" s="741"/>
      <c r="P213" s="741"/>
      <c r="Q213" s="741"/>
      <c r="R213" s="741"/>
      <c r="S213" s="741"/>
      <c r="T213" s="741"/>
      <c r="U213" s="741"/>
      <c r="V213" s="741"/>
      <c r="W213" s="741"/>
      <c r="X213" s="741"/>
      <c r="Y213" s="741"/>
      <c r="Z213" s="741"/>
      <c r="AA213" s="741"/>
      <c r="AB213" s="741"/>
      <c r="AC213" s="741"/>
      <c r="AD213" s="741"/>
      <c r="AE213" s="741"/>
      <c r="AF213" s="741"/>
      <c r="AG213" s="741"/>
      <c r="AH213" s="741"/>
      <c r="AI213" s="741"/>
      <c r="AJ213" s="741"/>
      <c r="AK213" s="741"/>
      <c r="AL213" s="741"/>
      <c r="AM213" s="741"/>
      <c r="AN213" s="741"/>
      <c r="AO213" s="741"/>
      <c r="AP213" s="741"/>
      <c r="AQ213" s="741"/>
      <c r="AR213" s="741"/>
    </row>
    <row r="214" spans="1:44">
      <c r="A214" s="741"/>
      <c r="B214" s="741"/>
      <c r="C214" s="741"/>
      <c r="D214" s="741"/>
      <c r="E214" s="741"/>
      <c r="F214" s="741"/>
      <c r="G214" s="741"/>
      <c r="H214" s="741"/>
      <c r="I214" s="741"/>
      <c r="J214" s="741"/>
      <c r="K214" s="741"/>
      <c r="L214" s="741"/>
      <c r="M214" s="741"/>
      <c r="N214" s="741"/>
      <c r="O214" s="741"/>
      <c r="P214" s="741"/>
      <c r="Q214" s="741"/>
      <c r="R214" s="741"/>
      <c r="S214" s="741"/>
      <c r="T214" s="741"/>
      <c r="U214" s="741"/>
      <c r="V214" s="741"/>
      <c r="W214" s="741"/>
      <c r="X214" s="741"/>
      <c r="Y214" s="741"/>
      <c r="Z214" s="741"/>
      <c r="AA214" s="741"/>
      <c r="AB214" s="741"/>
      <c r="AC214" s="741"/>
      <c r="AD214" s="741"/>
      <c r="AE214" s="741"/>
      <c r="AF214" s="741"/>
      <c r="AG214" s="741"/>
      <c r="AH214" s="741"/>
      <c r="AI214" s="741"/>
      <c r="AJ214" s="741"/>
      <c r="AK214" s="741"/>
      <c r="AL214" s="741"/>
      <c r="AM214" s="741"/>
      <c r="AN214" s="741"/>
      <c r="AO214" s="741"/>
      <c r="AP214" s="741"/>
      <c r="AQ214" s="741"/>
      <c r="AR214" s="741"/>
    </row>
    <row r="215" spans="1:44">
      <c r="A215" s="741"/>
      <c r="B215" s="741"/>
      <c r="C215" s="741"/>
      <c r="D215" s="741"/>
      <c r="E215" s="741"/>
      <c r="F215" s="741"/>
      <c r="G215" s="741"/>
      <c r="H215" s="741"/>
      <c r="I215" s="741"/>
      <c r="J215" s="741"/>
      <c r="K215" s="741"/>
      <c r="L215" s="741"/>
      <c r="M215" s="741"/>
      <c r="N215" s="741"/>
      <c r="O215" s="741"/>
      <c r="P215" s="741"/>
      <c r="Q215" s="741"/>
      <c r="R215" s="741"/>
      <c r="S215" s="741"/>
      <c r="T215" s="741"/>
      <c r="U215" s="741"/>
      <c r="V215" s="741"/>
      <c r="W215" s="741"/>
      <c r="X215" s="741"/>
      <c r="Y215" s="741"/>
      <c r="Z215" s="741"/>
      <c r="AA215" s="741"/>
      <c r="AB215" s="741"/>
      <c r="AC215" s="741"/>
      <c r="AD215" s="741"/>
      <c r="AE215" s="741"/>
      <c r="AF215" s="741"/>
      <c r="AG215" s="741"/>
      <c r="AH215" s="741"/>
      <c r="AI215" s="741"/>
      <c r="AJ215" s="741"/>
      <c r="AK215" s="741"/>
      <c r="AL215" s="741"/>
      <c r="AM215" s="741"/>
      <c r="AN215" s="741"/>
      <c r="AO215" s="741"/>
      <c r="AP215" s="741"/>
      <c r="AQ215" s="741"/>
      <c r="AR215" s="741"/>
    </row>
    <row r="216" spans="1:44">
      <c r="A216" s="741"/>
      <c r="B216" s="741"/>
      <c r="C216" s="741"/>
      <c r="D216" s="741"/>
      <c r="E216" s="741"/>
      <c r="F216" s="741"/>
      <c r="G216" s="741"/>
      <c r="H216" s="741"/>
      <c r="I216" s="741"/>
      <c r="J216" s="741"/>
      <c r="K216" s="741"/>
      <c r="L216" s="741"/>
      <c r="M216" s="741"/>
      <c r="N216" s="741"/>
      <c r="O216" s="741"/>
      <c r="P216" s="741"/>
      <c r="Q216" s="741"/>
      <c r="R216" s="741"/>
      <c r="S216" s="741"/>
      <c r="T216" s="741"/>
      <c r="U216" s="741"/>
      <c r="V216" s="741"/>
      <c r="W216" s="741"/>
      <c r="X216" s="741"/>
      <c r="Y216" s="741"/>
      <c r="Z216" s="741"/>
      <c r="AA216" s="741"/>
      <c r="AB216" s="741"/>
      <c r="AC216" s="741"/>
      <c r="AD216" s="741"/>
      <c r="AE216" s="741"/>
      <c r="AF216" s="741"/>
      <c r="AG216" s="741"/>
      <c r="AH216" s="741"/>
      <c r="AI216" s="741"/>
      <c r="AJ216" s="741"/>
      <c r="AK216" s="741"/>
      <c r="AL216" s="741"/>
      <c r="AM216" s="741"/>
      <c r="AN216" s="741"/>
      <c r="AO216" s="741"/>
      <c r="AP216" s="741"/>
      <c r="AQ216" s="741"/>
      <c r="AR216" s="741"/>
    </row>
    <row r="217" spans="1:44">
      <c r="A217" s="741"/>
      <c r="B217" s="741"/>
      <c r="C217" s="741"/>
      <c r="D217" s="741"/>
      <c r="E217" s="741"/>
      <c r="F217" s="741"/>
      <c r="G217" s="741"/>
      <c r="H217" s="741"/>
      <c r="I217" s="741"/>
      <c r="J217" s="741"/>
      <c r="K217" s="741"/>
      <c r="L217" s="741"/>
      <c r="M217" s="741"/>
      <c r="N217" s="741"/>
      <c r="O217" s="741"/>
      <c r="P217" s="741"/>
      <c r="Q217" s="741"/>
      <c r="R217" s="741"/>
      <c r="S217" s="741"/>
      <c r="T217" s="741"/>
      <c r="U217" s="741"/>
      <c r="V217" s="741"/>
      <c r="W217" s="741"/>
      <c r="X217" s="741"/>
      <c r="Y217" s="741"/>
      <c r="Z217" s="741"/>
      <c r="AA217" s="741"/>
      <c r="AB217" s="741"/>
      <c r="AC217" s="741"/>
      <c r="AD217" s="741"/>
      <c r="AE217" s="741"/>
      <c r="AF217" s="741"/>
      <c r="AG217" s="741"/>
      <c r="AH217" s="741"/>
      <c r="AI217" s="741"/>
      <c r="AJ217" s="741"/>
      <c r="AK217" s="741"/>
      <c r="AL217" s="741"/>
      <c r="AM217" s="741"/>
      <c r="AN217" s="741"/>
      <c r="AO217" s="741"/>
      <c r="AP217" s="741"/>
      <c r="AQ217" s="741"/>
      <c r="AR217" s="741"/>
    </row>
    <row r="218" spans="1:44">
      <c r="A218" s="741"/>
      <c r="B218" s="741"/>
      <c r="C218" s="741"/>
      <c r="D218" s="741"/>
      <c r="E218" s="741"/>
      <c r="F218" s="741"/>
      <c r="G218" s="741"/>
      <c r="H218" s="741"/>
      <c r="I218" s="741"/>
      <c r="J218" s="741"/>
      <c r="K218" s="741"/>
      <c r="L218" s="741"/>
      <c r="M218" s="741"/>
      <c r="N218" s="741"/>
      <c r="O218" s="741"/>
      <c r="P218" s="741"/>
      <c r="Q218" s="741"/>
      <c r="R218" s="741"/>
      <c r="S218" s="741"/>
      <c r="T218" s="741"/>
      <c r="U218" s="741"/>
      <c r="V218" s="741"/>
      <c r="W218" s="741"/>
      <c r="X218" s="741"/>
      <c r="Y218" s="741"/>
      <c r="Z218" s="741"/>
      <c r="AA218" s="741"/>
      <c r="AB218" s="741"/>
      <c r="AC218" s="741"/>
      <c r="AD218" s="741"/>
      <c r="AE218" s="741"/>
      <c r="AF218" s="741"/>
      <c r="AG218" s="741"/>
      <c r="AH218" s="741"/>
      <c r="AI218" s="741"/>
      <c r="AJ218" s="741"/>
      <c r="AK218" s="741"/>
      <c r="AL218" s="741"/>
      <c r="AM218" s="741"/>
      <c r="AN218" s="741"/>
      <c r="AO218" s="741"/>
      <c r="AP218" s="741"/>
      <c r="AQ218" s="741"/>
      <c r="AR218" s="741"/>
    </row>
    <row r="219" spans="1:44">
      <c r="A219" s="741"/>
      <c r="B219" s="741"/>
      <c r="C219" s="741"/>
      <c r="D219" s="741"/>
      <c r="E219" s="741"/>
      <c r="F219" s="741"/>
      <c r="G219" s="741"/>
      <c r="H219" s="741"/>
      <c r="I219" s="741"/>
      <c r="J219" s="741"/>
      <c r="K219" s="741"/>
      <c r="L219" s="741"/>
      <c r="M219" s="741"/>
      <c r="N219" s="741"/>
      <c r="O219" s="741"/>
      <c r="P219" s="741"/>
      <c r="Q219" s="741"/>
      <c r="R219" s="741"/>
      <c r="S219" s="741"/>
      <c r="T219" s="741"/>
      <c r="U219" s="741"/>
      <c r="V219" s="741"/>
      <c r="W219" s="741"/>
      <c r="X219" s="741"/>
      <c r="Y219" s="741"/>
      <c r="Z219" s="741"/>
      <c r="AA219" s="741"/>
      <c r="AB219" s="741"/>
      <c r="AC219" s="741"/>
      <c r="AD219" s="741"/>
      <c r="AE219" s="741"/>
      <c r="AF219" s="741"/>
      <c r="AG219" s="741"/>
      <c r="AH219" s="741"/>
      <c r="AI219" s="741"/>
      <c r="AJ219" s="741"/>
      <c r="AK219" s="741"/>
      <c r="AL219" s="741"/>
      <c r="AM219" s="741"/>
      <c r="AN219" s="741"/>
      <c r="AO219" s="741"/>
      <c r="AP219" s="741"/>
      <c r="AQ219" s="741"/>
      <c r="AR219" s="741"/>
    </row>
    <row r="220" spans="1:44">
      <c r="A220" s="741"/>
      <c r="B220" s="741"/>
      <c r="C220" s="741"/>
      <c r="D220" s="741"/>
      <c r="E220" s="741"/>
      <c r="F220" s="741"/>
      <c r="G220" s="741"/>
      <c r="H220" s="741"/>
      <c r="I220" s="741"/>
      <c r="J220" s="741"/>
      <c r="K220" s="741"/>
      <c r="L220" s="741"/>
      <c r="M220" s="741"/>
      <c r="N220" s="741"/>
      <c r="O220" s="741"/>
      <c r="P220" s="741"/>
      <c r="Q220" s="741"/>
      <c r="R220" s="741"/>
      <c r="S220" s="741"/>
      <c r="T220" s="741"/>
      <c r="U220" s="741"/>
      <c r="V220" s="741"/>
      <c r="W220" s="741"/>
      <c r="X220" s="741"/>
      <c r="Y220" s="741"/>
      <c r="Z220" s="741"/>
      <c r="AA220" s="741"/>
      <c r="AB220" s="741"/>
      <c r="AC220" s="741"/>
      <c r="AD220" s="741"/>
      <c r="AE220" s="741"/>
      <c r="AF220" s="741"/>
      <c r="AG220" s="741"/>
      <c r="AH220" s="741"/>
      <c r="AI220" s="741"/>
      <c r="AJ220" s="741"/>
      <c r="AK220" s="741"/>
      <c r="AL220" s="741"/>
      <c r="AM220" s="741"/>
      <c r="AN220" s="741"/>
      <c r="AO220" s="741"/>
      <c r="AP220" s="741"/>
      <c r="AQ220" s="741"/>
      <c r="AR220" s="741"/>
    </row>
    <row r="221" spans="1:44">
      <c r="A221" s="741"/>
      <c r="B221" s="741"/>
      <c r="C221" s="741"/>
      <c r="D221" s="741"/>
      <c r="E221" s="741"/>
      <c r="F221" s="741"/>
      <c r="G221" s="741"/>
      <c r="H221" s="741"/>
      <c r="I221" s="741"/>
      <c r="J221" s="741"/>
      <c r="K221" s="741"/>
      <c r="L221" s="741"/>
      <c r="M221" s="741"/>
      <c r="N221" s="741"/>
      <c r="O221" s="741"/>
      <c r="P221" s="741"/>
      <c r="Q221" s="741"/>
      <c r="R221" s="741"/>
      <c r="S221" s="741"/>
      <c r="T221" s="741"/>
      <c r="U221" s="741"/>
      <c r="V221" s="741"/>
      <c r="W221" s="741"/>
      <c r="X221" s="741"/>
      <c r="Y221" s="741"/>
      <c r="Z221" s="741"/>
      <c r="AA221" s="741"/>
      <c r="AB221" s="741"/>
      <c r="AC221" s="741"/>
      <c r="AD221" s="741"/>
      <c r="AE221" s="741"/>
      <c r="AF221" s="741"/>
      <c r="AG221" s="741"/>
      <c r="AH221" s="741"/>
      <c r="AI221" s="741"/>
      <c r="AJ221" s="741"/>
      <c r="AK221" s="741"/>
      <c r="AL221" s="741"/>
      <c r="AM221" s="741"/>
      <c r="AN221" s="741"/>
      <c r="AO221" s="741"/>
      <c r="AP221" s="741"/>
      <c r="AQ221" s="741"/>
      <c r="AR221" s="741"/>
    </row>
    <row r="222" spans="1:44">
      <c r="A222" s="741"/>
      <c r="B222" s="741"/>
      <c r="C222" s="741"/>
      <c r="D222" s="741"/>
      <c r="E222" s="741"/>
      <c r="F222" s="741"/>
      <c r="G222" s="741"/>
      <c r="H222" s="741"/>
      <c r="I222" s="741"/>
      <c r="J222" s="741"/>
      <c r="K222" s="741"/>
      <c r="L222" s="741"/>
      <c r="M222" s="741"/>
      <c r="N222" s="741"/>
      <c r="O222" s="741"/>
      <c r="P222" s="741"/>
      <c r="Q222" s="741"/>
      <c r="R222" s="741"/>
      <c r="S222" s="741"/>
      <c r="T222" s="741"/>
      <c r="U222" s="741"/>
      <c r="V222" s="741"/>
      <c r="W222" s="741"/>
      <c r="X222" s="741"/>
      <c r="Y222" s="741"/>
      <c r="Z222" s="741"/>
      <c r="AA222" s="741"/>
      <c r="AB222" s="741"/>
      <c r="AC222" s="741"/>
      <c r="AD222" s="741"/>
      <c r="AE222" s="741"/>
      <c r="AF222" s="741"/>
      <c r="AG222" s="741"/>
      <c r="AH222" s="741"/>
      <c r="AI222" s="741"/>
      <c r="AJ222" s="741"/>
      <c r="AK222" s="741"/>
      <c r="AL222" s="741"/>
      <c r="AM222" s="741"/>
      <c r="AN222" s="741"/>
      <c r="AO222" s="741"/>
      <c r="AP222" s="741"/>
      <c r="AQ222" s="741"/>
      <c r="AR222" s="741"/>
    </row>
    <row r="223" spans="1:44">
      <c r="A223" s="741"/>
      <c r="B223" s="741"/>
      <c r="C223" s="741"/>
      <c r="D223" s="741"/>
      <c r="E223" s="741"/>
      <c r="F223" s="741"/>
      <c r="G223" s="741"/>
      <c r="H223" s="741"/>
      <c r="I223" s="741"/>
      <c r="J223" s="741"/>
      <c r="K223" s="741"/>
      <c r="L223" s="741"/>
      <c r="M223" s="741"/>
      <c r="N223" s="741"/>
      <c r="O223" s="741"/>
      <c r="P223" s="741"/>
      <c r="Q223" s="741"/>
      <c r="R223" s="741"/>
      <c r="S223" s="741"/>
      <c r="T223" s="741"/>
      <c r="U223" s="741"/>
      <c r="V223" s="741"/>
      <c r="W223" s="741"/>
      <c r="X223" s="741"/>
      <c r="Y223" s="741"/>
      <c r="Z223" s="741"/>
      <c r="AA223" s="741"/>
      <c r="AB223" s="741"/>
      <c r="AC223" s="741"/>
      <c r="AD223" s="741"/>
      <c r="AE223" s="741"/>
      <c r="AF223" s="741"/>
      <c r="AG223" s="741"/>
      <c r="AH223" s="741"/>
      <c r="AI223" s="741"/>
      <c r="AJ223" s="741"/>
      <c r="AK223" s="741"/>
      <c r="AL223" s="741"/>
      <c r="AM223" s="741"/>
      <c r="AN223" s="741"/>
      <c r="AO223" s="741"/>
      <c r="AP223" s="741"/>
      <c r="AQ223" s="741"/>
      <c r="AR223" s="741"/>
    </row>
    <row r="224" spans="1:44">
      <c r="A224" s="741"/>
      <c r="B224" s="741"/>
      <c r="C224" s="741"/>
      <c r="D224" s="741"/>
      <c r="E224" s="741"/>
      <c r="F224" s="741"/>
      <c r="G224" s="741"/>
      <c r="H224" s="741"/>
      <c r="I224" s="741"/>
      <c r="J224" s="741"/>
      <c r="K224" s="741"/>
      <c r="L224" s="741"/>
      <c r="M224" s="741"/>
      <c r="N224" s="741"/>
      <c r="O224" s="741"/>
      <c r="P224" s="741"/>
      <c r="Q224" s="741"/>
      <c r="R224" s="741"/>
      <c r="S224" s="741"/>
      <c r="T224" s="741"/>
      <c r="U224" s="741"/>
      <c r="V224" s="741"/>
      <c r="W224" s="741"/>
      <c r="X224" s="741"/>
      <c r="Y224" s="741"/>
      <c r="Z224" s="741"/>
      <c r="AA224" s="741"/>
      <c r="AB224" s="741"/>
      <c r="AC224" s="741"/>
      <c r="AD224" s="741"/>
      <c r="AE224" s="741"/>
      <c r="AF224" s="741"/>
      <c r="AG224" s="741"/>
      <c r="AH224" s="741"/>
      <c r="AI224" s="741"/>
      <c r="AJ224" s="741"/>
      <c r="AK224" s="741"/>
      <c r="AL224" s="741"/>
      <c r="AM224" s="741"/>
      <c r="AN224" s="741"/>
      <c r="AO224" s="741"/>
      <c r="AP224" s="741"/>
      <c r="AQ224" s="741"/>
      <c r="AR224" s="741"/>
    </row>
    <row r="225" spans="1:44">
      <c r="A225" s="741"/>
      <c r="B225" s="741"/>
      <c r="C225" s="741"/>
      <c r="D225" s="741"/>
      <c r="E225" s="741"/>
      <c r="F225" s="741"/>
      <c r="G225" s="741"/>
      <c r="H225" s="741"/>
      <c r="I225" s="741"/>
      <c r="J225" s="741"/>
      <c r="K225" s="741"/>
      <c r="L225" s="741"/>
      <c r="M225" s="741"/>
      <c r="N225" s="741"/>
      <c r="O225" s="741"/>
      <c r="P225" s="741"/>
      <c r="Q225" s="741"/>
      <c r="R225" s="741"/>
      <c r="S225" s="741"/>
      <c r="T225" s="741"/>
      <c r="U225" s="741"/>
      <c r="V225" s="741"/>
      <c r="W225" s="741"/>
      <c r="X225" s="741"/>
      <c r="Y225" s="741"/>
      <c r="Z225" s="741"/>
      <c r="AA225" s="741"/>
      <c r="AB225" s="741"/>
      <c r="AC225" s="741"/>
      <c r="AD225" s="741"/>
      <c r="AE225" s="741"/>
      <c r="AF225" s="741"/>
      <c r="AG225" s="741"/>
      <c r="AH225" s="741"/>
      <c r="AI225" s="741"/>
      <c r="AJ225" s="741"/>
      <c r="AK225" s="741"/>
      <c r="AL225" s="741"/>
      <c r="AM225" s="741"/>
      <c r="AN225" s="741"/>
      <c r="AO225" s="741"/>
      <c r="AP225" s="741"/>
      <c r="AQ225" s="741"/>
      <c r="AR225" s="741"/>
    </row>
    <row r="226" spans="1:44">
      <c r="A226" s="741"/>
      <c r="B226" s="741"/>
      <c r="C226" s="741"/>
      <c r="D226" s="741"/>
      <c r="E226" s="741"/>
      <c r="F226" s="741"/>
      <c r="G226" s="741"/>
      <c r="H226" s="741"/>
      <c r="I226" s="741"/>
      <c r="J226" s="741"/>
      <c r="K226" s="741"/>
      <c r="L226" s="741"/>
      <c r="M226" s="741"/>
      <c r="N226" s="741"/>
      <c r="O226" s="741"/>
      <c r="P226" s="741"/>
      <c r="Q226" s="741"/>
      <c r="R226" s="741"/>
      <c r="S226" s="741"/>
      <c r="T226" s="741"/>
      <c r="U226" s="741"/>
      <c r="V226" s="741"/>
      <c r="W226" s="741"/>
      <c r="X226" s="741"/>
      <c r="Y226" s="741"/>
      <c r="Z226" s="741"/>
      <c r="AA226" s="741"/>
      <c r="AB226" s="741"/>
      <c r="AC226" s="741"/>
      <c r="AD226" s="741"/>
      <c r="AE226" s="741"/>
      <c r="AF226" s="741"/>
      <c r="AG226" s="741"/>
      <c r="AH226" s="741"/>
      <c r="AI226" s="741"/>
      <c r="AJ226" s="741"/>
      <c r="AK226" s="741"/>
      <c r="AL226" s="741"/>
      <c r="AM226" s="741"/>
      <c r="AN226" s="741"/>
      <c r="AO226" s="741"/>
      <c r="AP226" s="741"/>
      <c r="AQ226" s="741"/>
      <c r="AR226" s="741"/>
    </row>
    <row r="227" spans="1:44">
      <c r="A227" s="741"/>
      <c r="B227" s="741"/>
      <c r="C227" s="741"/>
      <c r="D227" s="741"/>
      <c r="E227" s="741"/>
      <c r="F227" s="741"/>
      <c r="G227" s="741"/>
      <c r="H227" s="741"/>
      <c r="I227" s="741"/>
      <c r="J227" s="741"/>
      <c r="K227" s="741"/>
      <c r="L227" s="741"/>
      <c r="M227" s="741"/>
      <c r="N227" s="741"/>
      <c r="O227" s="741"/>
      <c r="P227" s="741"/>
      <c r="Q227" s="741"/>
      <c r="R227" s="741"/>
      <c r="S227" s="741"/>
      <c r="T227" s="741"/>
      <c r="U227" s="741"/>
      <c r="V227" s="741"/>
      <c r="W227" s="741"/>
      <c r="X227" s="741"/>
      <c r="Y227" s="741"/>
      <c r="Z227" s="741"/>
      <c r="AA227" s="741"/>
      <c r="AB227" s="741"/>
      <c r="AC227" s="741"/>
      <c r="AD227" s="741"/>
      <c r="AE227" s="741"/>
      <c r="AF227" s="741"/>
      <c r="AG227" s="741"/>
      <c r="AH227" s="741"/>
      <c r="AI227" s="741"/>
      <c r="AJ227" s="741"/>
      <c r="AK227" s="741"/>
      <c r="AL227" s="741"/>
      <c r="AM227" s="741"/>
      <c r="AN227" s="741"/>
      <c r="AO227" s="741"/>
      <c r="AP227" s="741"/>
      <c r="AQ227" s="741"/>
      <c r="AR227" s="741"/>
    </row>
    <row r="228" spans="1:44">
      <c r="A228" s="741"/>
      <c r="B228" s="741"/>
      <c r="C228" s="741"/>
      <c r="D228" s="741"/>
      <c r="E228" s="741"/>
      <c r="F228" s="741"/>
      <c r="G228" s="741"/>
      <c r="H228" s="741"/>
      <c r="I228" s="741"/>
      <c r="J228" s="741"/>
      <c r="K228" s="741"/>
      <c r="L228" s="741"/>
      <c r="M228" s="741"/>
      <c r="N228" s="741"/>
      <c r="O228" s="741"/>
      <c r="P228" s="741"/>
      <c r="Q228" s="741"/>
      <c r="R228" s="741"/>
      <c r="S228" s="741"/>
      <c r="T228" s="741"/>
      <c r="U228" s="741"/>
      <c r="V228" s="741"/>
      <c r="W228" s="741"/>
      <c r="X228" s="741"/>
      <c r="Y228" s="741"/>
      <c r="Z228" s="741"/>
      <c r="AA228" s="741"/>
      <c r="AB228" s="741"/>
      <c r="AC228" s="741"/>
      <c r="AD228" s="741"/>
      <c r="AE228" s="741"/>
      <c r="AF228" s="741"/>
      <c r="AG228" s="741"/>
      <c r="AH228" s="741"/>
      <c r="AI228" s="741"/>
      <c r="AJ228" s="741"/>
      <c r="AK228" s="741"/>
      <c r="AL228" s="741"/>
      <c r="AM228" s="741"/>
      <c r="AN228" s="741"/>
      <c r="AO228" s="741"/>
      <c r="AP228" s="741"/>
      <c r="AQ228" s="741"/>
      <c r="AR228" s="741"/>
    </row>
    <row r="229" spans="1:44">
      <c r="A229" s="741"/>
      <c r="B229" s="741"/>
      <c r="C229" s="741"/>
      <c r="D229" s="741"/>
      <c r="E229" s="741"/>
      <c r="F229" s="741"/>
      <c r="G229" s="741"/>
      <c r="H229" s="741"/>
      <c r="I229" s="741"/>
      <c r="J229" s="741"/>
      <c r="K229" s="741"/>
      <c r="L229" s="741"/>
      <c r="M229" s="741"/>
      <c r="N229" s="741"/>
      <c r="O229" s="741"/>
      <c r="P229" s="741"/>
      <c r="Q229" s="741"/>
      <c r="R229" s="741"/>
      <c r="S229" s="741"/>
      <c r="T229" s="741"/>
      <c r="U229" s="741"/>
      <c r="V229" s="741"/>
      <c r="W229" s="741"/>
      <c r="X229" s="741"/>
      <c r="Y229" s="741"/>
      <c r="Z229" s="741"/>
      <c r="AA229" s="741"/>
      <c r="AB229" s="741"/>
      <c r="AC229" s="741"/>
      <c r="AD229" s="741"/>
      <c r="AE229" s="741"/>
      <c r="AF229" s="741"/>
      <c r="AG229" s="741"/>
      <c r="AH229" s="741"/>
      <c r="AI229" s="741"/>
      <c r="AJ229" s="741"/>
      <c r="AK229" s="741"/>
      <c r="AL229" s="741"/>
      <c r="AM229" s="741"/>
      <c r="AN229" s="741"/>
      <c r="AO229" s="741"/>
      <c r="AP229" s="741"/>
      <c r="AQ229" s="741"/>
      <c r="AR229" s="741"/>
    </row>
    <row r="230" spans="1:44">
      <c r="A230" s="741"/>
      <c r="B230" s="741"/>
      <c r="C230" s="741"/>
      <c r="D230" s="741"/>
      <c r="E230" s="741"/>
      <c r="F230" s="741"/>
      <c r="G230" s="741"/>
      <c r="H230" s="741"/>
      <c r="I230" s="741"/>
      <c r="J230" s="741"/>
      <c r="K230" s="741"/>
      <c r="L230" s="741"/>
      <c r="M230" s="741"/>
      <c r="N230" s="741"/>
      <c r="O230" s="741"/>
      <c r="P230" s="741"/>
      <c r="Q230" s="741"/>
      <c r="R230" s="741"/>
      <c r="S230" s="741"/>
      <c r="T230" s="741"/>
      <c r="U230" s="741"/>
      <c r="V230" s="741"/>
      <c r="W230" s="741"/>
      <c r="X230" s="741"/>
      <c r="Y230" s="741"/>
      <c r="Z230" s="741"/>
      <c r="AA230" s="741"/>
      <c r="AB230" s="741"/>
      <c r="AC230" s="741"/>
      <c r="AD230" s="741"/>
      <c r="AE230" s="741"/>
      <c r="AF230" s="741"/>
      <c r="AG230" s="741"/>
      <c r="AH230" s="741"/>
      <c r="AI230" s="741"/>
      <c r="AJ230" s="741"/>
      <c r="AK230" s="741"/>
      <c r="AL230" s="741"/>
      <c r="AM230" s="741"/>
      <c r="AN230" s="741"/>
      <c r="AO230" s="741"/>
      <c r="AP230" s="741"/>
      <c r="AQ230" s="741"/>
      <c r="AR230" s="741"/>
    </row>
    <row r="231" spans="1:44">
      <c r="A231" s="741"/>
      <c r="B231" s="741"/>
      <c r="C231" s="741"/>
      <c r="D231" s="741"/>
      <c r="E231" s="741"/>
      <c r="F231" s="741"/>
      <c r="G231" s="741"/>
      <c r="H231" s="741"/>
      <c r="I231" s="741"/>
      <c r="J231" s="741"/>
      <c r="K231" s="741"/>
      <c r="L231" s="741"/>
      <c r="M231" s="741"/>
      <c r="N231" s="741"/>
      <c r="O231" s="741"/>
      <c r="P231" s="741"/>
      <c r="Q231" s="741"/>
      <c r="R231" s="741"/>
      <c r="S231" s="741"/>
      <c r="T231" s="741"/>
      <c r="U231" s="741"/>
      <c r="V231" s="741"/>
      <c r="W231" s="741"/>
      <c r="X231" s="741"/>
      <c r="Y231" s="741"/>
      <c r="Z231" s="741"/>
      <c r="AA231" s="741"/>
      <c r="AB231" s="741"/>
      <c r="AC231" s="741"/>
      <c r="AD231" s="741"/>
      <c r="AE231" s="741"/>
      <c r="AF231" s="741"/>
      <c r="AG231" s="741"/>
      <c r="AH231" s="741"/>
      <c r="AI231" s="741"/>
      <c r="AJ231" s="741"/>
      <c r="AK231" s="741"/>
      <c r="AL231" s="741"/>
      <c r="AM231" s="741"/>
      <c r="AN231" s="741"/>
      <c r="AO231" s="741"/>
      <c r="AP231" s="741"/>
      <c r="AQ231" s="741"/>
      <c r="AR231" s="741"/>
    </row>
    <row r="232" spans="1:44">
      <c r="A232" s="741"/>
      <c r="B232" s="741"/>
      <c r="C232" s="741"/>
      <c r="D232" s="741"/>
      <c r="E232" s="741"/>
      <c r="F232" s="741"/>
      <c r="G232" s="741"/>
      <c r="H232" s="741"/>
      <c r="I232" s="741"/>
      <c r="J232" s="741"/>
      <c r="K232" s="741"/>
      <c r="L232" s="741"/>
      <c r="M232" s="741"/>
      <c r="N232" s="741"/>
      <c r="O232" s="741"/>
      <c r="P232" s="741"/>
      <c r="Q232" s="741"/>
      <c r="R232" s="741"/>
      <c r="S232" s="741"/>
      <c r="T232" s="741"/>
      <c r="U232" s="741"/>
      <c r="V232" s="741"/>
      <c r="W232" s="741"/>
      <c r="X232" s="741"/>
      <c r="Y232" s="741"/>
      <c r="Z232" s="741"/>
      <c r="AA232" s="741"/>
      <c r="AB232" s="741"/>
      <c r="AC232" s="741"/>
      <c r="AD232" s="741"/>
      <c r="AE232" s="741"/>
      <c r="AF232" s="741"/>
      <c r="AG232" s="741"/>
      <c r="AH232" s="741"/>
      <c r="AI232" s="741"/>
      <c r="AJ232" s="741"/>
      <c r="AK232" s="741"/>
      <c r="AL232" s="741"/>
      <c r="AM232" s="741"/>
      <c r="AN232" s="741"/>
      <c r="AO232" s="741"/>
      <c r="AP232" s="741"/>
      <c r="AQ232" s="741"/>
      <c r="AR232" s="741"/>
    </row>
    <row r="233" spans="1:44">
      <c r="A233" s="741"/>
      <c r="B233" s="741"/>
      <c r="C233" s="741"/>
      <c r="D233" s="741"/>
      <c r="E233" s="741"/>
      <c r="F233" s="741"/>
      <c r="G233" s="741"/>
      <c r="H233" s="741"/>
      <c r="I233" s="741"/>
      <c r="J233" s="741"/>
      <c r="K233" s="741"/>
      <c r="L233" s="741"/>
      <c r="M233" s="741"/>
      <c r="N233" s="741"/>
      <c r="O233" s="741"/>
      <c r="P233" s="741"/>
      <c r="Q233" s="741"/>
      <c r="R233" s="741"/>
      <c r="S233" s="741"/>
      <c r="T233" s="741"/>
      <c r="U233" s="741"/>
      <c r="V233" s="741"/>
      <c r="W233" s="741"/>
      <c r="X233" s="741"/>
      <c r="Y233" s="741"/>
      <c r="Z233" s="741"/>
      <c r="AA233" s="741"/>
      <c r="AB233" s="741"/>
      <c r="AC233" s="741"/>
      <c r="AD233" s="741"/>
      <c r="AE233" s="741"/>
      <c r="AF233" s="741"/>
      <c r="AG233" s="741"/>
      <c r="AH233" s="741"/>
      <c r="AI233" s="741"/>
      <c r="AJ233" s="741"/>
      <c r="AK233" s="741"/>
      <c r="AL233" s="741"/>
      <c r="AM233" s="741"/>
      <c r="AN233" s="741"/>
      <c r="AO233" s="741"/>
      <c r="AP233" s="741"/>
      <c r="AQ233" s="741"/>
      <c r="AR233" s="741"/>
    </row>
    <row r="234" spans="1:44">
      <c r="A234" s="741"/>
      <c r="B234" s="741"/>
      <c r="C234" s="741"/>
      <c r="D234" s="741"/>
      <c r="E234" s="741"/>
      <c r="F234" s="741"/>
      <c r="G234" s="741"/>
      <c r="H234" s="741"/>
      <c r="I234" s="741"/>
      <c r="J234" s="741"/>
      <c r="K234" s="741"/>
      <c r="L234" s="741"/>
      <c r="M234" s="741"/>
      <c r="N234" s="741"/>
      <c r="O234" s="741"/>
      <c r="P234" s="741"/>
      <c r="Q234" s="741"/>
      <c r="R234" s="741"/>
      <c r="S234" s="741"/>
      <c r="T234" s="741"/>
      <c r="U234" s="741"/>
      <c r="V234" s="741"/>
      <c r="W234" s="741"/>
      <c r="X234" s="741"/>
      <c r="Y234" s="741"/>
      <c r="Z234" s="741"/>
      <c r="AA234" s="741"/>
      <c r="AB234" s="741"/>
      <c r="AC234" s="741"/>
      <c r="AD234" s="741"/>
      <c r="AE234" s="741"/>
      <c r="AF234" s="741"/>
      <c r="AG234" s="741"/>
      <c r="AH234" s="741"/>
      <c r="AI234" s="741"/>
      <c r="AJ234" s="741"/>
      <c r="AK234" s="741"/>
      <c r="AL234" s="741"/>
      <c r="AM234" s="741"/>
      <c r="AN234" s="741"/>
      <c r="AO234" s="741"/>
      <c r="AP234" s="741"/>
      <c r="AQ234" s="741"/>
      <c r="AR234" s="741"/>
    </row>
    <row r="235" spans="1:44">
      <c r="A235" s="741"/>
      <c r="B235" s="741"/>
      <c r="C235" s="741"/>
      <c r="D235" s="741"/>
      <c r="E235" s="741"/>
      <c r="F235" s="741"/>
      <c r="G235" s="741"/>
      <c r="H235" s="741"/>
      <c r="I235" s="741"/>
      <c r="J235" s="741"/>
      <c r="K235" s="741"/>
      <c r="L235" s="741"/>
      <c r="M235" s="741"/>
      <c r="N235" s="741"/>
      <c r="O235" s="741"/>
      <c r="P235" s="741"/>
      <c r="Q235" s="741"/>
      <c r="R235" s="741"/>
      <c r="S235" s="741"/>
      <c r="T235" s="741"/>
      <c r="U235" s="741"/>
      <c r="V235" s="741"/>
      <c r="W235" s="741"/>
      <c r="X235" s="741"/>
      <c r="Y235" s="741"/>
      <c r="Z235" s="741"/>
      <c r="AA235" s="741"/>
      <c r="AB235" s="741"/>
      <c r="AC235" s="741"/>
      <c r="AD235" s="741"/>
      <c r="AE235" s="741"/>
      <c r="AF235" s="741"/>
      <c r="AG235" s="741"/>
      <c r="AH235" s="741"/>
      <c r="AI235" s="741"/>
      <c r="AJ235" s="741"/>
      <c r="AK235" s="741"/>
      <c r="AL235" s="741"/>
      <c r="AM235" s="741"/>
      <c r="AN235" s="741"/>
      <c r="AO235" s="741"/>
      <c r="AP235" s="741"/>
      <c r="AQ235" s="741"/>
      <c r="AR235" s="741"/>
    </row>
    <row r="236" spans="1:44">
      <c r="A236" s="741"/>
      <c r="B236" s="741"/>
      <c r="C236" s="741"/>
      <c r="D236" s="741"/>
      <c r="E236" s="741"/>
      <c r="F236" s="741"/>
      <c r="G236" s="741"/>
      <c r="H236" s="741"/>
      <c r="I236" s="741"/>
      <c r="J236" s="741"/>
      <c r="K236" s="741"/>
      <c r="L236" s="741"/>
      <c r="M236" s="741"/>
      <c r="N236" s="741"/>
      <c r="O236" s="741"/>
      <c r="P236" s="741"/>
      <c r="Q236" s="741"/>
      <c r="R236" s="741"/>
      <c r="S236" s="741"/>
      <c r="T236" s="741"/>
      <c r="U236" s="741"/>
      <c r="V236" s="741"/>
      <c r="W236" s="741"/>
      <c r="X236" s="741"/>
      <c r="Y236" s="741"/>
      <c r="Z236" s="741"/>
      <c r="AA236" s="741"/>
      <c r="AB236" s="741"/>
      <c r="AC236" s="741"/>
      <c r="AD236" s="741"/>
      <c r="AE236" s="741"/>
      <c r="AF236" s="741"/>
      <c r="AG236" s="741"/>
      <c r="AH236" s="741"/>
      <c r="AI236" s="741"/>
      <c r="AJ236" s="741"/>
      <c r="AK236" s="741"/>
      <c r="AL236" s="741"/>
      <c r="AM236" s="741"/>
      <c r="AN236" s="741"/>
      <c r="AO236" s="741"/>
      <c r="AP236" s="741"/>
      <c r="AQ236" s="741"/>
      <c r="AR236" s="741"/>
    </row>
    <row r="237" spans="1:44">
      <c r="A237" s="741"/>
      <c r="B237" s="741"/>
      <c r="C237" s="741"/>
      <c r="D237" s="741"/>
      <c r="E237" s="741"/>
      <c r="F237" s="741"/>
      <c r="G237" s="741"/>
      <c r="H237" s="741"/>
      <c r="I237" s="741"/>
      <c r="J237" s="741"/>
      <c r="K237" s="741"/>
      <c r="L237" s="741"/>
      <c r="M237" s="741"/>
      <c r="N237" s="741"/>
      <c r="O237" s="741"/>
      <c r="P237" s="741"/>
      <c r="Q237" s="741"/>
      <c r="R237" s="741"/>
      <c r="S237" s="741"/>
      <c r="T237" s="741"/>
      <c r="U237" s="741"/>
      <c r="V237" s="741"/>
      <c r="W237" s="741"/>
      <c r="X237" s="741"/>
      <c r="Y237" s="741"/>
      <c r="Z237" s="741"/>
      <c r="AA237" s="741"/>
      <c r="AB237" s="741"/>
      <c r="AC237" s="741"/>
      <c r="AD237" s="741"/>
      <c r="AE237" s="741"/>
      <c r="AF237" s="741"/>
      <c r="AG237" s="741"/>
      <c r="AH237" s="741"/>
      <c r="AI237" s="741"/>
      <c r="AJ237" s="741"/>
      <c r="AK237" s="741"/>
      <c r="AL237" s="741"/>
      <c r="AM237" s="741"/>
      <c r="AN237" s="741"/>
      <c r="AO237" s="741"/>
      <c r="AP237" s="741"/>
      <c r="AQ237" s="741"/>
      <c r="AR237" s="741"/>
    </row>
    <row r="238" spans="1:44">
      <c r="A238" s="741"/>
      <c r="B238" s="741"/>
      <c r="C238" s="741"/>
      <c r="D238" s="741"/>
      <c r="E238" s="741"/>
      <c r="F238" s="741"/>
      <c r="G238" s="741"/>
      <c r="H238" s="741"/>
      <c r="I238" s="741"/>
      <c r="J238" s="741"/>
      <c r="K238" s="741"/>
      <c r="L238" s="741"/>
      <c r="M238" s="741"/>
      <c r="N238" s="741"/>
      <c r="O238" s="741"/>
      <c r="P238" s="741"/>
      <c r="Q238" s="741"/>
      <c r="R238" s="741"/>
      <c r="S238" s="741"/>
      <c r="T238" s="741"/>
      <c r="U238" s="741"/>
      <c r="V238" s="741"/>
      <c r="W238" s="741"/>
      <c r="X238" s="741"/>
      <c r="Y238" s="741"/>
      <c r="Z238" s="741"/>
      <c r="AA238" s="741"/>
      <c r="AB238" s="741"/>
      <c r="AC238" s="741"/>
      <c r="AD238" s="741"/>
      <c r="AE238" s="741"/>
      <c r="AF238" s="741"/>
      <c r="AG238" s="741"/>
      <c r="AH238" s="741"/>
      <c r="AI238" s="741"/>
      <c r="AJ238" s="741"/>
      <c r="AK238" s="741"/>
      <c r="AL238" s="741"/>
      <c r="AM238" s="741"/>
      <c r="AN238" s="741"/>
      <c r="AO238" s="741"/>
      <c r="AP238" s="741"/>
      <c r="AQ238" s="741"/>
      <c r="AR238" s="741"/>
    </row>
    <row r="239" spans="1:44">
      <c r="A239" s="741"/>
      <c r="B239" s="741"/>
      <c r="C239" s="741"/>
      <c r="D239" s="741"/>
      <c r="E239" s="741"/>
      <c r="F239" s="741"/>
      <c r="G239" s="741"/>
      <c r="H239" s="741"/>
      <c r="I239" s="741"/>
      <c r="J239" s="741"/>
      <c r="K239" s="741"/>
      <c r="L239" s="741"/>
      <c r="M239" s="741"/>
      <c r="N239" s="741"/>
      <c r="O239" s="741"/>
      <c r="P239" s="741"/>
      <c r="Q239" s="741"/>
      <c r="R239" s="741"/>
      <c r="S239" s="741"/>
      <c r="T239" s="741"/>
      <c r="U239" s="741"/>
      <c r="V239" s="741"/>
      <c r="W239" s="741"/>
      <c r="X239" s="741"/>
      <c r="Y239" s="741"/>
      <c r="Z239" s="741"/>
      <c r="AA239" s="741"/>
      <c r="AB239" s="741"/>
      <c r="AC239" s="741"/>
      <c r="AD239" s="741"/>
      <c r="AE239" s="741"/>
      <c r="AF239" s="741"/>
      <c r="AG239" s="741"/>
      <c r="AH239" s="741"/>
      <c r="AI239" s="741"/>
      <c r="AJ239" s="741"/>
      <c r="AK239" s="741"/>
      <c r="AL239" s="741"/>
      <c r="AM239" s="741"/>
      <c r="AN239" s="741"/>
      <c r="AO239" s="741"/>
      <c r="AP239" s="741"/>
      <c r="AQ239" s="741"/>
      <c r="AR239" s="741"/>
    </row>
    <row r="240" spans="1:44">
      <c r="A240" s="741"/>
      <c r="B240" s="741"/>
      <c r="C240" s="741"/>
      <c r="D240" s="741"/>
      <c r="E240" s="741"/>
      <c r="F240" s="741"/>
      <c r="G240" s="741"/>
      <c r="H240" s="741"/>
      <c r="I240" s="741"/>
      <c r="J240" s="741"/>
      <c r="K240" s="741"/>
      <c r="L240" s="741"/>
      <c r="M240" s="741"/>
      <c r="N240" s="741"/>
      <c r="O240" s="741"/>
      <c r="P240" s="741"/>
      <c r="Q240" s="741"/>
      <c r="R240" s="741"/>
      <c r="S240" s="741"/>
      <c r="T240" s="741"/>
      <c r="U240" s="741"/>
      <c r="V240" s="741"/>
      <c r="W240" s="741"/>
      <c r="X240" s="741"/>
      <c r="Y240" s="741"/>
      <c r="Z240" s="741"/>
      <c r="AA240" s="741"/>
      <c r="AB240" s="741"/>
      <c r="AC240" s="741"/>
      <c r="AD240" s="741"/>
      <c r="AE240" s="741"/>
      <c r="AF240" s="741"/>
      <c r="AG240" s="741"/>
      <c r="AH240" s="741"/>
      <c r="AI240" s="741"/>
      <c r="AJ240" s="741"/>
      <c r="AK240" s="741"/>
      <c r="AL240" s="741"/>
      <c r="AM240" s="741"/>
      <c r="AN240" s="741"/>
      <c r="AO240" s="741"/>
      <c r="AP240" s="741"/>
      <c r="AQ240" s="741"/>
      <c r="AR240" s="741"/>
    </row>
    <row r="241" spans="1:44">
      <c r="A241" s="741"/>
      <c r="B241" s="741"/>
      <c r="C241" s="741"/>
      <c r="D241" s="741"/>
      <c r="E241" s="741"/>
      <c r="F241" s="741"/>
      <c r="G241" s="741"/>
      <c r="H241" s="741"/>
      <c r="I241" s="741"/>
      <c r="J241" s="741"/>
      <c r="K241" s="741"/>
      <c r="L241" s="741"/>
      <c r="M241" s="741"/>
      <c r="N241" s="741"/>
      <c r="O241" s="741"/>
      <c r="P241" s="741"/>
      <c r="Q241" s="741"/>
      <c r="R241" s="741"/>
      <c r="S241" s="741"/>
      <c r="T241" s="741"/>
      <c r="U241" s="741"/>
      <c r="V241" s="741"/>
      <c r="W241" s="741"/>
      <c r="X241" s="741"/>
      <c r="Y241" s="741"/>
      <c r="Z241" s="741"/>
      <c r="AA241" s="741"/>
      <c r="AB241" s="741"/>
      <c r="AC241" s="741"/>
      <c r="AD241" s="741"/>
      <c r="AE241" s="741"/>
      <c r="AF241" s="741"/>
      <c r="AG241" s="741"/>
      <c r="AH241" s="741"/>
      <c r="AI241" s="741"/>
      <c r="AJ241" s="741"/>
      <c r="AK241" s="741"/>
      <c r="AL241" s="741"/>
      <c r="AM241" s="741"/>
      <c r="AN241" s="741"/>
      <c r="AO241" s="741"/>
      <c r="AP241" s="741"/>
      <c r="AQ241" s="741"/>
      <c r="AR241" s="741"/>
    </row>
    <row r="242" spans="1:44">
      <c r="A242" s="741"/>
      <c r="B242" s="741"/>
      <c r="C242" s="741"/>
      <c r="D242" s="741"/>
      <c r="E242" s="741"/>
      <c r="F242" s="741"/>
      <c r="G242" s="741"/>
      <c r="H242" s="741"/>
      <c r="I242" s="741"/>
      <c r="J242" s="741"/>
      <c r="K242" s="741"/>
      <c r="L242" s="741"/>
      <c r="M242" s="741"/>
      <c r="N242" s="741"/>
      <c r="O242" s="741"/>
      <c r="P242" s="741"/>
      <c r="Q242" s="741"/>
      <c r="R242" s="741"/>
      <c r="S242" s="741"/>
      <c r="T242" s="741"/>
      <c r="U242" s="741"/>
      <c r="V242" s="741"/>
      <c r="W242" s="741"/>
      <c r="X242" s="741"/>
      <c r="Y242" s="741"/>
      <c r="Z242" s="741"/>
      <c r="AA242" s="741"/>
      <c r="AB242" s="741"/>
      <c r="AC242" s="741"/>
      <c r="AD242" s="741"/>
      <c r="AE242" s="741"/>
      <c r="AF242" s="741"/>
      <c r="AG242" s="741"/>
      <c r="AH242" s="741"/>
      <c r="AI242" s="741"/>
      <c r="AJ242" s="741"/>
      <c r="AK242" s="741"/>
      <c r="AL242" s="741"/>
      <c r="AM242" s="741"/>
      <c r="AN242" s="741"/>
      <c r="AO242" s="741"/>
      <c r="AP242" s="741"/>
      <c r="AQ242" s="741"/>
      <c r="AR242" s="741"/>
    </row>
    <row r="243" spans="1:44">
      <c r="A243" s="741"/>
      <c r="B243" s="741"/>
      <c r="C243" s="741"/>
      <c r="D243" s="741"/>
      <c r="E243" s="741"/>
      <c r="F243" s="741"/>
      <c r="G243" s="741"/>
      <c r="H243" s="741"/>
      <c r="I243" s="741"/>
      <c r="J243" s="741"/>
      <c r="K243" s="741"/>
      <c r="L243" s="741"/>
      <c r="M243" s="741"/>
      <c r="N243" s="741"/>
      <c r="O243" s="741"/>
      <c r="P243" s="741"/>
      <c r="Q243" s="741"/>
      <c r="R243" s="741"/>
      <c r="S243" s="741"/>
      <c r="T243" s="741"/>
      <c r="U243" s="741"/>
      <c r="V243" s="741"/>
      <c r="W243" s="741"/>
      <c r="X243" s="741"/>
      <c r="Y243" s="741"/>
      <c r="Z243" s="741"/>
      <c r="AA243" s="741"/>
      <c r="AB243" s="741"/>
      <c r="AC243" s="741"/>
      <c r="AD243" s="741"/>
      <c r="AE243" s="741"/>
      <c r="AF243" s="741"/>
      <c r="AG243" s="741"/>
      <c r="AH243" s="741"/>
      <c r="AI243" s="741"/>
      <c r="AJ243" s="741"/>
      <c r="AK243" s="741"/>
      <c r="AL243" s="741"/>
      <c r="AM243" s="741"/>
      <c r="AN243" s="741"/>
      <c r="AO243" s="741"/>
      <c r="AP243" s="741"/>
      <c r="AQ243" s="741"/>
      <c r="AR243" s="741"/>
    </row>
    <row r="244" spans="1:44">
      <c r="A244" s="741"/>
      <c r="B244" s="741"/>
      <c r="C244" s="741"/>
      <c r="D244" s="741"/>
      <c r="E244" s="741"/>
      <c r="F244" s="741"/>
      <c r="G244" s="741"/>
      <c r="H244" s="741"/>
      <c r="I244" s="741"/>
      <c r="J244" s="741"/>
      <c r="K244" s="741"/>
      <c r="L244" s="741"/>
      <c r="M244" s="741"/>
      <c r="N244" s="741"/>
      <c r="O244" s="741"/>
      <c r="P244" s="741"/>
      <c r="Q244" s="741"/>
      <c r="R244" s="741"/>
      <c r="S244" s="741"/>
      <c r="T244" s="741"/>
      <c r="U244" s="741"/>
      <c r="V244" s="741"/>
      <c r="W244" s="741"/>
      <c r="X244" s="741"/>
      <c r="Y244" s="741"/>
      <c r="Z244" s="741"/>
      <c r="AA244" s="741"/>
      <c r="AB244" s="741"/>
      <c r="AC244" s="741"/>
      <c r="AD244" s="741"/>
      <c r="AE244" s="741"/>
      <c r="AF244" s="741"/>
      <c r="AG244" s="741"/>
      <c r="AH244" s="741"/>
      <c r="AI244" s="741"/>
      <c r="AJ244" s="741"/>
      <c r="AK244" s="741"/>
      <c r="AL244" s="741"/>
      <c r="AM244" s="741"/>
      <c r="AN244" s="741"/>
      <c r="AO244" s="741"/>
      <c r="AP244" s="741"/>
      <c r="AQ244" s="741"/>
      <c r="AR244" s="741"/>
    </row>
    <row r="245" spans="1:44">
      <c r="A245" s="741"/>
      <c r="B245" s="741"/>
      <c r="C245" s="741"/>
      <c r="D245" s="741"/>
      <c r="E245" s="741"/>
      <c r="F245" s="741"/>
      <c r="G245" s="741"/>
      <c r="H245" s="741"/>
      <c r="I245" s="741"/>
      <c r="J245" s="741"/>
      <c r="K245" s="741"/>
      <c r="L245" s="741"/>
      <c r="M245" s="741"/>
      <c r="N245" s="741"/>
      <c r="O245" s="741"/>
      <c r="P245" s="741"/>
      <c r="Q245" s="741"/>
      <c r="R245" s="741"/>
      <c r="S245" s="741"/>
      <c r="T245" s="741"/>
      <c r="U245" s="741"/>
      <c r="V245" s="741"/>
      <c r="W245" s="741"/>
      <c r="X245" s="741"/>
      <c r="Y245" s="741"/>
      <c r="Z245" s="741"/>
      <c r="AA245" s="741"/>
      <c r="AB245" s="741"/>
      <c r="AC245" s="741"/>
      <c r="AD245" s="741"/>
      <c r="AE245" s="741"/>
      <c r="AF245" s="741"/>
      <c r="AG245" s="741"/>
      <c r="AH245" s="741"/>
      <c r="AI245" s="741"/>
      <c r="AJ245" s="741"/>
      <c r="AK245" s="741"/>
      <c r="AL245" s="741"/>
      <c r="AM245" s="741"/>
      <c r="AN245" s="741"/>
      <c r="AO245" s="741"/>
      <c r="AP245" s="741"/>
      <c r="AQ245" s="741"/>
      <c r="AR245" s="741"/>
    </row>
    <row r="246" spans="1:44">
      <c r="A246" s="741"/>
      <c r="B246" s="741"/>
      <c r="C246" s="741"/>
      <c r="D246" s="741"/>
      <c r="E246" s="741"/>
      <c r="F246" s="741"/>
      <c r="G246" s="741"/>
      <c r="H246" s="741"/>
      <c r="I246" s="741"/>
      <c r="J246" s="741"/>
      <c r="K246" s="741"/>
      <c r="L246" s="741"/>
      <c r="M246" s="741"/>
      <c r="N246" s="741"/>
      <c r="O246" s="741"/>
      <c r="P246" s="741"/>
      <c r="Q246" s="741"/>
      <c r="R246" s="741"/>
      <c r="S246" s="741"/>
      <c r="T246" s="741"/>
      <c r="U246" s="741"/>
      <c r="V246" s="741"/>
      <c r="W246" s="741"/>
      <c r="X246" s="741"/>
      <c r="Y246" s="741"/>
      <c r="Z246" s="741"/>
      <c r="AA246" s="741"/>
      <c r="AB246" s="741"/>
      <c r="AC246" s="741"/>
      <c r="AD246" s="741"/>
      <c r="AE246" s="741"/>
      <c r="AF246" s="741"/>
      <c r="AG246" s="741"/>
      <c r="AH246" s="741"/>
      <c r="AI246" s="741"/>
      <c r="AJ246" s="741"/>
      <c r="AK246" s="741"/>
      <c r="AL246" s="741"/>
      <c r="AM246" s="741"/>
      <c r="AN246" s="741"/>
      <c r="AO246" s="741"/>
      <c r="AP246" s="741"/>
      <c r="AQ246" s="741"/>
      <c r="AR246" s="741"/>
    </row>
    <row r="247" spans="1:44">
      <c r="A247" s="741"/>
      <c r="B247" s="741"/>
      <c r="C247" s="741"/>
      <c r="D247" s="741"/>
      <c r="E247" s="741"/>
      <c r="F247" s="741"/>
      <c r="G247" s="741"/>
      <c r="H247" s="741"/>
      <c r="I247" s="741"/>
      <c r="J247" s="741"/>
      <c r="K247" s="741"/>
      <c r="L247" s="741"/>
      <c r="M247" s="741"/>
      <c r="N247" s="741"/>
      <c r="O247" s="741"/>
      <c r="P247" s="741"/>
      <c r="Q247" s="741"/>
      <c r="R247" s="741"/>
      <c r="S247" s="741"/>
      <c r="T247" s="741"/>
      <c r="U247" s="741"/>
      <c r="V247" s="741"/>
      <c r="W247" s="741"/>
      <c r="X247" s="741"/>
      <c r="Y247" s="741"/>
      <c r="Z247" s="741"/>
      <c r="AA247" s="741"/>
      <c r="AB247" s="741"/>
      <c r="AC247" s="741"/>
      <c r="AD247" s="741"/>
      <c r="AE247" s="741"/>
      <c r="AF247" s="741"/>
      <c r="AG247" s="741"/>
      <c r="AH247" s="741"/>
      <c r="AI247" s="741"/>
      <c r="AJ247" s="741"/>
      <c r="AK247" s="741"/>
      <c r="AL247" s="741"/>
      <c r="AM247" s="741"/>
      <c r="AN247" s="741"/>
      <c r="AO247" s="741"/>
      <c r="AP247" s="741"/>
      <c r="AQ247" s="741"/>
      <c r="AR247" s="741"/>
    </row>
    <row r="248" spans="1:44">
      <c r="A248" s="741"/>
      <c r="B248" s="741"/>
      <c r="C248" s="741"/>
      <c r="D248" s="741"/>
      <c r="E248" s="741"/>
      <c r="F248" s="741"/>
      <c r="G248" s="741"/>
      <c r="H248" s="741"/>
      <c r="I248" s="741"/>
      <c r="J248" s="741"/>
      <c r="K248" s="741"/>
      <c r="L248" s="741"/>
      <c r="M248" s="741"/>
      <c r="N248" s="741"/>
      <c r="O248" s="741"/>
      <c r="P248" s="741"/>
      <c r="Q248" s="741"/>
      <c r="R248" s="741"/>
      <c r="S248" s="741"/>
      <c r="T248" s="741"/>
      <c r="U248" s="741"/>
      <c r="V248" s="741"/>
      <c r="W248" s="741"/>
      <c r="X248" s="741"/>
      <c r="Y248" s="741"/>
      <c r="Z248" s="741"/>
      <c r="AA248" s="741"/>
      <c r="AB248" s="741"/>
      <c r="AC248" s="741"/>
      <c r="AD248" s="741"/>
      <c r="AE248" s="741"/>
      <c r="AF248" s="741"/>
      <c r="AG248" s="741"/>
      <c r="AH248" s="741"/>
      <c r="AI248" s="741"/>
      <c r="AJ248" s="741"/>
      <c r="AK248" s="741"/>
      <c r="AL248" s="741"/>
      <c r="AM248" s="741"/>
      <c r="AN248" s="741"/>
      <c r="AO248" s="741"/>
      <c r="AP248" s="741"/>
      <c r="AQ248" s="741"/>
      <c r="AR248" s="741"/>
    </row>
    <row r="249" spans="1:44">
      <c r="A249" s="741"/>
      <c r="B249" s="741"/>
      <c r="C249" s="741"/>
      <c r="D249" s="741"/>
      <c r="E249" s="741"/>
      <c r="F249" s="741"/>
      <c r="G249" s="741"/>
      <c r="H249" s="741"/>
      <c r="I249" s="741"/>
      <c r="J249" s="741"/>
      <c r="K249" s="741"/>
      <c r="L249" s="741"/>
      <c r="M249" s="741"/>
      <c r="N249" s="741"/>
      <c r="O249" s="741"/>
      <c r="P249" s="741"/>
      <c r="Q249" s="741"/>
      <c r="R249" s="741"/>
      <c r="S249" s="741"/>
      <c r="T249" s="741"/>
      <c r="U249" s="741"/>
      <c r="V249" s="741"/>
      <c r="W249" s="741"/>
      <c r="X249" s="741"/>
      <c r="Y249" s="741"/>
      <c r="Z249" s="741"/>
      <c r="AA249" s="741"/>
      <c r="AB249" s="741"/>
      <c r="AC249" s="741"/>
      <c r="AD249" s="741"/>
      <c r="AE249" s="741"/>
      <c r="AF249" s="741"/>
      <c r="AG249" s="741"/>
      <c r="AH249" s="741"/>
      <c r="AI249" s="741"/>
      <c r="AJ249" s="741"/>
      <c r="AK249" s="741"/>
      <c r="AL249" s="741"/>
      <c r="AM249" s="741"/>
      <c r="AN249" s="741"/>
      <c r="AO249" s="741"/>
      <c r="AP249" s="741"/>
      <c r="AQ249" s="741"/>
      <c r="AR249" s="741"/>
    </row>
    <row r="250" spans="1:44">
      <c r="A250" s="741"/>
      <c r="B250" s="741"/>
      <c r="C250" s="741"/>
      <c r="D250" s="741"/>
      <c r="E250" s="741"/>
      <c r="F250" s="741"/>
      <c r="G250" s="741"/>
      <c r="H250" s="741"/>
      <c r="I250" s="741"/>
      <c r="J250" s="741"/>
      <c r="K250" s="741"/>
      <c r="L250" s="741"/>
      <c r="M250" s="741"/>
      <c r="N250" s="741"/>
      <c r="O250" s="741"/>
      <c r="P250" s="741"/>
      <c r="Q250" s="741"/>
      <c r="R250" s="741"/>
      <c r="S250" s="741"/>
      <c r="T250" s="741"/>
      <c r="U250" s="741"/>
      <c r="V250" s="741"/>
      <c r="W250" s="741"/>
      <c r="X250" s="741"/>
      <c r="Y250" s="741"/>
      <c r="Z250" s="741"/>
      <c r="AA250" s="741"/>
      <c r="AB250" s="741"/>
      <c r="AC250" s="741"/>
      <c r="AD250" s="741"/>
      <c r="AE250" s="741"/>
      <c r="AF250" s="741"/>
      <c r="AG250" s="741"/>
      <c r="AH250" s="741"/>
      <c r="AI250" s="741"/>
      <c r="AJ250" s="741"/>
      <c r="AK250" s="741"/>
      <c r="AL250" s="741"/>
      <c r="AM250" s="741"/>
      <c r="AN250" s="741"/>
      <c r="AO250" s="741"/>
      <c r="AP250" s="741"/>
      <c r="AQ250" s="741"/>
      <c r="AR250" s="741"/>
    </row>
    <row r="251" spans="1:44">
      <c r="A251" s="741"/>
      <c r="B251" s="741"/>
      <c r="C251" s="741"/>
      <c r="D251" s="741"/>
      <c r="E251" s="741"/>
      <c r="F251" s="741"/>
      <c r="G251" s="741"/>
      <c r="H251" s="741"/>
      <c r="I251" s="741"/>
      <c r="J251" s="741"/>
      <c r="K251" s="741"/>
      <c r="L251" s="741"/>
      <c r="M251" s="741"/>
      <c r="N251" s="741"/>
      <c r="O251" s="741"/>
      <c r="P251" s="741"/>
      <c r="Q251" s="741"/>
      <c r="R251" s="741"/>
      <c r="S251" s="741"/>
      <c r="T251" s="741"/>
      <c r="U251" s="741"/>
      <c r="V251" s="741"/>
      <c r="W251" s="741"/>
      <c r="X251" s="741"/>
      <c r="Y251" s="741"/>
      <c r="Z251" s="741"/>
      <c r="AA251" s="741"/>
      <c r="AB251" s="741"/>
      <c r="AC251" s="741"/>
      <c r="AD251" s="741"/>
      <c r="AE251" s="741"/>
      <c r="AF251" s="741"/>
      <c r="AG251" s="741"/>
      <c r="AH251" s="741"/>
      <c r="AI251" s="741"/>
      <c r="AJ251" s="741"/>
      <c r="AK251" s="741"/>
      <c r="AL251" s="741"/>
      <c r="AM251" s="741"/>
      <c r="AN251" s="741"/>
      <c r="AO251" s="741"/>
      <c r="AP251" s="741"/>
      <c r="AQ251" s="741"/>
      <c r="AR251" s="741"/>
    </row>
    <row r="252" spans="1:44">
      <c r="A252" s="741"/>
      <c r="B252" s="741"/>
      <c r="C252" s="741"/>
      <c r="D252" s="741"/>
      <c r="E252" s="741"/>
      <c r="F252" s="741"/>
      <c r="G252" s="741"/>
      <c r="H252" s="741"/>
      <c r="I252" s="741"/>
      <c r="J252" s="741"/>
      <c r="K252" s="741"/>
      <c r="L252" s="741"/>
      <c r="M252" s="741"/>
      <c r="N252" s="741"/>
      <c r="O252" s="741"/>
      <c r="P252" s="741"/>
      <c r="Q252" s="741"/>
      <c r="R252" s="741"/>
      <c r="S252" s="741"/>
      <c r="T252" s="741"/>
      <c r="U252" s="741"/>
      <c r="V252" s="741"/>
      <c r="W252" s="741"/>
      <c r="X252" s="741"/>
      <c r="Y252" s="741"/>
      <c r="Z252" s="741"/>
      <c r="AA252" s="741"/>
      <c r="AB252" s="741"/>
      <c r="AC252" s="741"/>
      <c r="AD252" s="741"/>
      <c r="AE252" s="741"/>
      <c r="AF252" s="741"/>
      <c r="AG252" s="741"/>
      <c r="AH252" s="741"/>
      <c r="AI252" s="741"/>
      <c r="AJ252" s="741"/>
      <c r="AK252" s="741"/>
      <c r="AL252" s="741"/>
      <c r="AM252" s="741"/>
      <c r="AN252" s="741"/>
      <c r="AO252" s="741"/>
      <c r="AP252" s="741"/>
      <c r="AQ252" s="741"/>
      <c r="AR252" s="741"/>
    </row>
    <row r="253" spans="1:44">
      <c r="A253" s="741"/>
      <c r="B253" s="741"/>
      <c r="C253" s="741"/>
      <c r="D253" s="741"/>
      <c r="E253" s="741"/>
      <c r="F253" s="741"/>
      <c r="G253" s="741"/>
      <c r="H253" s="741"/>
      <c r="I253" s="741"/>
      <c r="J253" s="741"/>
      <c r="K253" s="741"/>
      <c r="L253" s="741"/>
      <c r="M253" s="741"/>
      <c r="N253" s="741"/>
      <c r="O253" s="741"/>
      <c r="P253" s="741"/>
      <c r="Q253" s="741"/>
      <c r="R253" s="741"/>
      <c r="S253" s="741"/>
      <c r="T253" s="741"/>
      <c r="U253" s="741"/>
      <c r="V253" s="741"/>
      <c r="W253" s="741"/>
      <c r="X253" s="741"/>
      <c r="Y253" s="741"/>
      <c r="Z253" s="741"/>
      <c r="AA253" s="741"/>
      <c r="AB253" s="741"/>
      <c r="AC253" s="741"/>
      <c r="AD253" s="741"/>
      <c r="AE253" s="741"/>
      <c r="AF253" s="741"/>
      <c r="AG253" s="741"/>
      <c r="AH253" s="741"/>
      <c r="AI253" s="741"/>
      <c r="AJ253" s="741"/>
      <c r="AK253" s="741"/>
      <c r="AL253" s="741"/>
      <c r="AM253" s="741"/>
      <c r="AN253" s="741"/>
      <c r="AO253" s="741"/>
      <c r="AP253" s="741"/>
      <c r="AQ253" s="741"/>
      <c r="AR253" s="741"/>
    </row>
    <row r="254" spans="1:44">
      <c r="A254" s="741"/>
      <c r="B254" s="741"/>
      <c r="C254" s="741"/>
      <c r="D254" s="741"/>
      <c r="E254" s="741"/>
      <c r="F254" s="741"/>
      <c r="G254" s="741"/>
      <c r="H254" s="741"/>
      <c r="I254" s="741"/>
      <c r="J254" s="741"/>
      <c r="K254" s="741"/>
      <c r="L254" s="741"/>
      <c r="M254" s="741"/>
      <c r="N254" s="741"/>
      <c r="O254" s="741"/>
      <c r="P254" s="741"/>
      <c r="Q254" s="741"/>
      <c r="R254" s="741"/>
      <c r="S254" s="741"/>
      <c r="T254" s="741"/>
      <c r="U254" s="741"/>
      <c r="V254" s="741"/>
      <c r="W254" s="741"/>
      <c r="X254" s="741"/>
      <c r="Y254" s="741"/>
      <c r="Z254" s="741"/>
      <c r="AA254" s="741"/>
      <c r="AB254" s="741"/>
      <c r="AC254" s="741"/>
      <c r="AD254" s="741"/>
      <c r="AE254" s="741"/>
      <c r="AF254" s="741"/>
      <c r="AG254" s="741"/>
      <c r="AH254" s="741"/>
      <c r="AI254" s="741"/>
      <c r="AJ254" s="741"/>
      <c r="AK254" s="741"/>
      <c r="AL254" s="741"/>
      <c r="AM254" s="741"/>
      <c r="AN254" s="741"/>
      <c r="AO254" s="741"/>
      <c r="AP254" s="741"/>
      <c r="AQ254" s="741"/>
      <c r="AR254" s="741"/>
    </row>
    <row r="255" spans="1:44">
      <c r="A255" s="741"/>
      <c r="B255" s="741"/>
      <c r="C255" s="741"/>
      <c r="D255" s="741"/>
      <c r="E255" s="741"/>
      <c r="F255" s="741"/>
      <c r="G255" s="741"/>
      <c r="H255" s="741"/>
      <c r="I255" s="741"/>
      <c r="J255" s="741"/>
      <c r="K255" s="741"/>
      <c r="L255" s="741"/>
      <c r="M255" s="741"/>
      <c r="N255" s="741"/>
      <c r="O255" s="741"/>
      <c r="P255" s="741"/>
      <c r="Q255" s="741"/>
      <c r="R255" s="741"/>
      <c r="S255" s="741"/>
      <c r="T255" s="741"/>
      <c r="U255" s="741"/>
      <c r="V255" s="741"/>
      <c r="W255" s="741"/>
      <c r="X255" s="741"/>
      <c r="Y255" s="741"/>
      <c r="Z255" s="741"/>
      <c r="AA255" s="741"/>
      <c r="AB255" s="741"/>
      <c r="AC255" s="741"/>
      <c r="AD255" s="741"/>
      <c r="AE255" s="741"/>
      <c r="AF255" s="741"/>
      <c r="AG255" s="741"/>
      <c r="AH255" s="741"/>
      <c r="AI255" s="741"/>
      <c r="AJ255" s="741"/>
      <c r="AK255" s="741"/>
      <c r="AL255" s="741"/>
      <c r="AM255" s="741"/>
      <c r="AN255" s="741"/>
      <c r="AO255" s="741"/>
      <c r="AP255" s="741"/>
      <c r="AQ255" s="741"/>
      <c r="AR255" s="741"/>
    </row>
    <row r="256" spans="1:44">
      <c r="A256" s="741"/>
      <c r="B256" s="741"/>
      <c r="C256" s="741"/>
      <c r="D256" s="741"/>
      <c r="E256" s="741"/>
      <c r="F256" s="741"/>
      <c r="G256" s="741"/>
      <c r="H256" s="741"/>
      <c r="I256" s="741"/>
      <c r="J256" s="741"/>
      <c r="K256" s="741"/>
      <c r="L256" s="741"/>
      <c r="M256" s="741"/>
      <c r="N256" s="741"/>
      <c r="O256" s="741"/>
      <c r="P256" s="741"/>
      <c r="Q256" s="741"/>
      <c r="R256" s="741"/>
      <c r="S256" s="741"/>
      <c r="T256" s="741"/>
      <c r="U256" s="741"/>
      <c r="V256" s="741"/>
      <c r="W256" s="741"/>
      <c r="X256" s="741"/>
      <c r="Y256" s="741"/>
      <c r="Z256" s="741"/>
      <c r="AA256" s="741"/>
      <c r="AB256" s="741"/>
      <c r="AC256" s="741"/>
      <c r="AD256" s="741"/>
      <c r="AE256" s="741"/>
      <c r="AF256" s="741"/>
      <c r="AG256" s="741"/>
      <c r="AH256" s="741"/>
      <c r="AI256" s="741"/>
      <c r="AJ256" s="741"/>
      <c r="AK256" s="741"/>
      <c r="AL256" s="741"/>
      <c r="AM256" s="741"/>
      <c r="AN256" s="741"/>
      <c r="AO256" s="741"/>
      <c r="AP256" s="741"/>
      <c r="AQ256" s="741"/>
      <c r="AR256" s="741"/>
    </row>
    <row r="257" spans="1:44">
      <c r="A257" s="741"/>
      <c r="B257" s="741"/>
      <c r="C257" s="741"/>
      <c r="D257" s="741"/>
      <c r="E257" s="741"/>
      <c r="F257" s="741"/>
      <c r="G257" s="741"/>
      <c r="H257" s="741"/>
      <c r="I257" s="741"/>
      <c r="J257" s="741"/>
      <c r="K257" s="741"/>
      <c r="L257" s="741"/>
      <c r="M257" s="741"/>
      <c r="N257" s="741"/>
      <c r="O257" s="741"/>
      <c r="P257" s="741"/>
      <c r="Q257" s="741"/>
      <c r="R257" s="741"/>
      <c r="S257" s="741"/>
      <c r="T257" s="741"/>
      <c r="U257" s="741"/>
      <c r="V257" s="741"/>
      <c r="W257" s="741"/>
      <c r="X257" s="741"/>
      <c r="Y257" s="741"/>
      <c r="Z257" s="741"/>
      <c r="AA257" s="741"/>
      <c r="AB257" s="741"/>
      <c r="AC257" s="741"/>
      <c r="AD257" s="741"/>
      <c r="AE257" s="741"/>
      <c r="AF257" s="741"/>
      <c r="AG257" s="741"/>
      <c r="AH257" s="741"/>
      <c r="AI257" s="741"/>
      <c r="AJ257" s="741"/>
      <c r="AK257" s="741"/>
      <c r="AL257" s="741"/>
      <c r="AM257" s="741"/>
      <c r="AN257" s="741"/>
      <c r="AO257" s="741"/>
      <c r="AP257" s="741"/>
      <c r="AQ257" s="741"/>
      <c r="AR257" s="741"/>
    </row>
    <row r="258" spans="1:44">
      <c r="A258" s="741"/>
      <c r="B258" s="741"/>
      <c r="C258" s="741"/>
      <c r="D258" s="741"/>
      <c r="E258" s="741"/>
      <c r="F258" s="741"/>
      <c r="G258" s="741"/>
      <c r="H258" s="741"/>
      <c r="I258" s="741"/>
      <c r="J258" s="741"/>
      <c r="K258" s="741"/>
      <c r="L258" s="741"/>
      <c r="M258" s="741"/>
      <c r="N258" s="741"/>
      <c r="O258" s="741"/>
      <c r="P258" s="741"/>
      <c r="Q258" s="741"/>
      <c r="R258" s="741"/>
      <c r="S258" s="741"/>
      <c r="T258" s="741"/>
      <c r="U258" s="741"/>
      <c r="V258" s="741"/>
      <c r="W258" s="741"/>
      <c r="X258" s="741"/>
      <c r="Y258" s="741"/>
      <c r="Z258" s="741"/>
      <c r="AA258" s="741"/>
      <c r="AB258" s="741"/>
      <c r="AC258" s="741"/>
      <c r="AD258" s="741"/>
      <c r="AE258" s="741"/>
      <c r="AF258" s="741"/>
      <c r="AG258" s="741"/>
      <c r="AH258" s="741"/>
      <c r="AI258" s="741"/>
      <c r="AJ258" s="741"/>
      <c r="AK258" s="741"/>
      <c r="AL258" s="741"/>
      <c r="AM258" s="741"/>
      <c r="AN258" s="741"/>
      <c r="AO258" s="741"/>
      <c r="AP258" s="741"/>
      <c r="AQ258" s="741"/>
      <c r="AR258" s="741"/>
    </row>
    <row r="259" spans="1:44">
      <c r="A259" s="741"/>
      <c r="B259" s="741"/>
      <c r="C259" s="741"/>
      <c r="D259" s="741"/>
      <c r="E259" s="741"/>
      <c r="F259" s="741"/>
      <c r="G259" s="741"/>
      <c r="H259" s="741"/>
      <c r="I259" s="741"/>
      <c r="J259" s="741"/>
      <c r="K259" s="741"/>
      <c r="L259" s="741"/>
      <c r="M259" s="741"/>
      <c r="N259" s="741"/>
      <c r="O259" s="741"/>
      <c r="P259" s="741"/>
      <c r="Q259" s="741"/>
      <c r="R259" s="741"/>
      <c r="S259" s="741"/>
      <c r="T259" s="741"/>
      <c r="U259" s="741"/>
      <c r="V259" s="741"/>
      <c r="W259" s="741"/>
      <c r="X259" s="741"/>
      <c r="Y259" s="741"/>
      <c r="Z259" s="741"/>
      <c r="AA259" s="741"/>
      <c r="AB259" s="741"/>
      <c r="AC259" s="741"/>
      <c r="AD259" s="741"/>
      <c r="AE259" s="741"/>
      <c r="AF259" s="741"/>
      <c r="AG259" s="741"/>
      <c r="AH259" s="741"/>
      <c r="AI259" s="741"/>
      <c r="AJ259" s="741"/>
      <c r="AK259" s="741"/>
      <c r="AL259" s="741"/>
      <c r="AM259" s="741"/>
      <c r="AN259" s="741"/>
      <c r="AO259" s="741"/>
      <c r="AP259" s="741"/>
      <c r="AQ259" s="741"/>
      <c r="AR259" s="741"/>
    </row>
    <row r="260" spans="1:44">
      <c r="A260" s="741"/>
      <c r="B260" s="741"/>
      <c r="C260" s="741"/>
      <c r="D260" s="741"/>
      <c r="E260" s="741"/>
      <c r="F260" s="741"/>
      <c r="G260" s="741"/>
      <c r="H260" s="741"/>
      <c r="I260" s="741"/>
      <c r="J260" s="741"/>
      <c r="K260" s="741"/>
      <c r="L260" s="741"/>
      <c r="M260" s="741"/>
      <c r="N260" s="741"/>
      <c r="O260" s="741"/>
      <c r="P260" s="741"/>
      <c r="Q260" s="741"/>
      <c r="R260" s="741"/>
      <c r="S260" s="741"/>
      <c r="T260" s="741"/>
      <c r="U260" s="741"/>
      <c r="V260" s="741"/>
      <c r="W260" s="741"/>
      <c r="X260" s="741"/>
      <c r="Y260" s="741"/>
      <c r="Z260" s="741"/>
      <c r="AA260" s="741"/>
      <c r="AB260" s="741"/>
      <c r="AC260" s="741"/>
      <c r="AD260" s="741"/>
      <c r="AE260" s="741"/>
      <c r="AF260" s="741"/>
      <c r="AG260" s="741"/>
      <c r="AH260" s="741"/>
      <c r="AI260" s="741"/>
      <c r="AJ260" s="741"/>
      <c r="AK260" s="741"/>
      <c r="AL260" s="741"/>
      <c r="AM260" s="741"/>
      <c r="AN260" s="741"/>
      <c r="AO260" s="741"/>
      <c r="AP260" s="741"/>
      <c r="AQ260" s="741"/>
      <c r="AR260" s="741"/>
    </row>
    <row r="261" spans="1:44">
      <c r="A261" s="741"/>
      <c r="B261" s="741"/>
      <c r="C261" s="741"/>
      <c r="D261" s="741"/>
      <c r="E261" s="741"/>
      <c r="F261" s="741"/>
      <c r="G261" s="741"/>
      <c r="H261" s="741"/>
      <c r="I261" s="741"/>
      <c r="J261" s="741"/>
      <c r="K261" s="741"/>
      <c r="L261" s="741"/>
      <c r="M261" s="741"/>
      <c r="N261" s="741"/>
      <c r="O261" s="741"/>
      <c r="P261" s="741"/>
      <c r="Q261" s="741"/>
      <c r="R261" s="741"/>
      <c r="S261" s="741"/>
      <c r="T261" s="741"/>
      <c r="U261" s="741"/>
      <c r="V261" s="741"/>
      <c r="W261" s="741"/>
      <c r="X261" s="741"/>
      <c r="Y261" s="741"/>
      <c r="Z261" s="741"/>
      <c r="AA261" s="741"/>
      <c r="AB261" s="741"/>
      <c r="AC261" s="741"/>
      <c r="AD261" s="741"/>
      <c r="AE261" s="741"/>
      <c r="AF261" s="741"/>
      <c r="AG261" s="741"/>
      <c r="AH261" s="741"/>
      <c r="AI261" s="741"/>
      <c r="AJ261" s="741"/>
      <c r="AK261" s="741"/>
      <c r="AL261" s="741"/>
      <c r="AM261" s="741"/>
      <c r="AN261" s="741"/>
      <c r="AO261" s="741"/>
      <c r="AP261" s="741"/>
      <c r="AQ261" s="741"/>
      <c r="AR261" s="741"/>
    </row>
    <row r="262" spans="1:44">
      <c r="A262" s="741"/>
      <c r="B262" s="741"/>
      <c r="C262" s="741"/>
      <c r="D262" s="741"/>
      <c r="E262" s="741"/>
      <c r="F262" s="741"/>
      <c r="G262" s="741"/>
      <c r="H262" s="741"/>
      <c r="I262" s="741"/>
      <c r="J262" s="741"/>
      <c r="K262" s="741"/>
      <c r="L262" s="741"/>
      <c r="M262" s="741"/>
      <c r="N262" s="741"/>
      <c r="O262" s="741"/>
      <c r="P262" s="741"/>
      <c r="Q262" s="741"/>
      <c r="R262" s="741"/>
      <c r="S262" s="741"/>
      <c r="T262" s="741"/>
      <c r="U262" s="741"/>
      <c r="V262" s="741"/>
      <c r="W262" s="741"/>
      <c r="X262" s="741"/>
      <c r="Y262" s="741"/>
      <c r="Z262" s="741"/>
      <c r="AA262" s="741"/>
      <c r="AB262" s="741"/>
      <c r="AC262" s="741"/>
      <c r="AD262" s="741"/>
      <c r="AE262" s="741"/>
      <c r="AF262" s="741"/>
      <c r="AG262" s="741"/>
      <c r="AH262" s="741"/>
      <c r="AI262" s="741"/>
      <c r="AJ262" s="741"/>
      <c r="AK262" s="741"/>
      <c r="AL262" s="741"/>
      <c r="AM262" s="741"/>
      <c r="AN262" s="741"/>
      <c r="AO262" s="741"/>
      <c r="AP262" s="741"/>
      <c r="AQ262" s="741"/>
      <c r="AR262" s="741"/>
    </row>
    <row r="263" spans="1:44">
      <c r="A263" s="741"/>
      <c r="B263" s="741"/>
      <c r="C263" s="741"/>
      <c r="D263" s="741"/>
      <c r="E263" s="741"/>
      <c r="F263" s="741"/>
      <c r="G263" s="741"/>
      <c r="H263" s="741"/>
      <c r="I263" s="741"/>
      <c r="J263" s="741"/>
      <c r="K263" s="741"/>
      <c r="L263" s="741"/>
      <c r="M263" s="741"/>
      <c r="N263" s="741"/>
      <c r="O263" s="741"/>
      <c r="P263" s="741"/>
      <c r="Q263" s="741"/>
      <c r="R263" s="741"/>
      <c r="S263" s="741"/>
      <c r="T263" s="741"/>
      <c r="U263" s="741"/>
      <c r="V263" s="741"/>
      <c r="W263" s="741"/>
      <c r="X263" s="741"/>
      <c r="Y263" s="741"/>
      <c r="Z263" s="741"/>
      <c r="AA263" s="741"/>
      <c r="AB263" s="741"/>
      <c r="AC263" s="741"/>
      <c r="AD263" s="741"/>
      <c r="AE263" s="741"/>
      <c r="AF263" s="741"/>
      <c r="AG263" s="741"/>
      <c r="AH263" s="741"/>
      <c r="AI263" s="741"/>
      <c r="AJ263" s="741"/>
      <c r="AK263" s="741"/>
      <c r="AL263" s="741"/>
      <c r="AM263" s="741"/>
      <c r="AN263" s="741"/>
      <c r="AO263" s="741"/>
      <c r="AP263" s="741"/>
      <c r="AQ263" s="741"/>
      <c r="AR263" s="741"/>
    </row>
    <row r="264" spans="1:44">
      <c r="A264" s="741"/>
      <c r="B264" s="741"/>
      <c r="C264" s="741"/>
      <c r="D264" s="741"/>
      <c r="E264" s="741"/>
      <c r="F264" s="741"/>
      <c r="G264" s="741"/>
      <c r="H264" s="741"/>
      <c r="I264" s="741"/>
      <c r="J264" s="741"/>
      <c r="K264" s="741"/>
      <c r="L264" s="741"/>
      <c r="M264" s="741"/>
      <c r="N264" s="741"/>
      <c r="O264" s="741"/>
      <c r="P264" s="741"/>
      <c r="Q264" s="741"/>
      <c r="R264" s="741"/>
      <c r="S264" s="741"/>
      <c r="T264" s="741"/>
      <c r="U264" s="741"/>
      <c r="V264" s="741"/>
      <c r="W264" s="741"/>
      <c r="X264" s="741"/>
      <c r="Y264" s="741"/>
      <c r="Z264" s="741"/>
      <c r="AA264" s="741"/>
      <c r="AB264" s="741"/>
      <c r="AC264" s="741"/>
      <c r="AD264" s="741"/>
      <c r="AE264" s="741"/>
      <c r="AF264" s="741"/>
      <c r="AG264" s="741"/>
      <c r="AH264" s="741"/>
      <c r="AI264" s="741"/>
      <c r="AJ264" s="741"/>
      <c r="AK264" s="741"/>
      <c r="AL264" s="741"/>
      <c r="AM264" s="741"/>
      <c r="AN264" s="741"/>
      <c r="AO264" s="741"/>
      <c r="AP264" s="741"/>
      <c r="AQ264" s="741"/>
      <c r="AR264" s="741"/>
    </row>
    <row r="265" spans="1:44">
      <c r="A265" s="741"/>
      <c r="B265" s="741"/>
      <c r="C265" s="741"/>
      <c r="D265" s="741"/>
      <c r="E265" s="741"/>
      <c r="F265" s="741"/>
      <c r="G265" s="741"/>
      <c r="H265" s="741"/>
      <c r="I265" s="741"/>
      <c r="J265" s="741"/>
      <c r="K265" s="741"/>
      <c r="L265" s="741"/>
      <c r="M265" s="741"/>
      <c r="N265" s="741"/>
      <c r="O265" s="741"/>
      <c r="P265" s="741"/>
      <c r="Q265" s="741"/>
      <c r="R265" s="741"/>
      <c r="S265" s="741"/>
      <c r="T265" s="741"/>
      <c r="U265" s="741"/>
      <c r="V265" s="741"/>
      <c r="W265" s="741"/>
      <c r="X265" s="741"/>
      <c r="Y265" s="741"/>
      <c r="Z265" s="741"/>
      <c r="AA265" s="741"/>
      <c r="AB265" s="741"/>
      <c r="AC265" s="741"/>
      <c r="AD265" s="741"/>
      <c r="AE265" s="741"/>
      <c r="AF265" s="741"/>
      <c r="AG265" s="741"/>
      <c r="AH265" s="741"/>
      <c r="AI265" s="741"/>
      <c r="AJ265" s="741"/>
      <c r="AK265" s="741"/>
      <c r="AL265" s="741"/>
      <c r="AM265" s="741"/>
      <c r="AN265" s="741"/>
      <c r="AO265" s="741"/>
      <c r="AP265" s="741"/>
      <c r="AQ265" s="741"/>
      <c r="AR265" s="741"/>
    </row>
    <row r="266" spans="1:44">
      <c r="A266" s="741"/>
      <c r="B266" s="741"/>
      <c r="C266" s="741"/>
      <c r="D266" s="741"/>
      <c r="E266" s="741"/>
      <c r="F266" s="741"/>
      <c r="G266" s="741"/>
      <c r="H266" s="741"/>
      <c r="I266" s="741"/>
      <c r="J266" s="741"/>
      <c r="K266" s="741"/>
      <c r="L266" s="741"/>
      <c r="M266" s="741"/>
      <c r="N266" s="741"/>
      <c r="O266" s="741"/>
      <c r="P266" s="741"/>
      <c r="Q266" s="741"/>
      <c r="R266" s="741"/>
      <c r="S266" s="741"/>
      <c r="T266" s="741"/>
      <c r="U266" s="741"/>
      <c r="V266" s="741"/>
      <c r="W266" s="741"/>
      <c r="X266" s="741"/>
      <c r="Y266" s="741"/>
      <c r="Z266" s="741"/>
      <c r="AA266" s="741"/>
      <c r="AB266" s="741"/>
      <c r="AC266" s="741"/>
      <c r="AD266" s="741"/>
      <c r="AE266" s="741"/>
      <c r="AF266" s="741"/>
      <c r="AG266" s="741"/>
      <c r="AH266" s="741"/>
      <c r="AI266" s="741"/>
      <c r="AJ266" s="741"/>
      <c r="AK266" s="741"/>
      <c r="AL266" s="741"/>
      <c r="AM266" s="741"/>
      <c r="AN266" s="741"/>
      <c r="AO266" s="741"/>
      <c r="AP266" s="741"/>
      <c r="AQ266" s="741"/>
      <c r="AR266" s="741"/>
    </row>
    <row r="267" spans="1:44">
      <c r="A267" s="741"/>
      <c r="B267" s="741"/>
      <c r="C267" s="741"/>
      <c r="D267" s="741"/>
      <c r="E267" s="741"/>
      <c r="F267" s="741"/>
      <c r="G267" s="741"/>
      <c r="H267" s="741"/>
      <c r="I267" s="741"/>
      <c r="J267" s="741"/>
      <c r="K267" s="741"/>
      <c r="L267" s="741"/>
      <c r="M267" s="741"/>
      <c r="N267" s="741"/>
      <c r="O267" s="741"/>
      <c r="P267" s="741"/>
      <c r="Q267" s="741"/>
      <c r="R267" s="741"/>
      <c r="S267" s="741"/>
      <c r="T267" s="741"/>
      <c r="U267" s="741"/>
      <c r="V267" s="741"/>
      <c r="W267" s="741"/>
      <c r="X267" s="741"/>
      <c r="Y267" s="741"/>
      <c r="Z267" s="741"/>
      <c r="AA267" s="741"/>
      <c r="AB267" s="741"/>
      <c r="AC267" s="741"/>
      <c r="AD267" s="741"/>
      <c r="AE267" s="741"/>
      <c r="AF267" s="741"/>
      <c r="AG267" s="741"/>
      <c r="AH267" s="741"/>
      <c r="AI267" s="741"/>
      <c r="AJ267" s="741"/>
      <c r="AK267" s="741"/>
      <c r="AL267" s="741"/>
      <c r="AM267" s="741"/>
      <c r="AN267" s="741"/>
      <c r="AO267" s="741"/>
      <c r="AP267" s="741"/>
      <c r="AQ267" s="741"/>
      <c r="AR267" s="741"/>
    </row>
    <row r="268" spans="1:44">
      <c r="A268" s="741"/>
      <c r="B268" s="741"/>
      <c r="C268" s="741"/>
      <c r="D268" s="741"/>
      <c r="E268" s="741"/>
      <c r="F268" s="741"/>
      <c r="G268" s="741"/>
      <c r="H268" s="741"/>
      <c r="I268" s="741"/>
      <c r="J268" s="741"/>
      <c r="K268" s="741"/>
      <c r="L268" s="741"/>
      <c r="M268" s="741"/>
      <c r="N268" s="741"/>
      <c r="O268" s="741"/>
      <c r="P268" s="741"/>
      <c r="Q268" s="741"/>
      <c r="R268" s="741"/>
      <c r="S268" s="741"/>
      <c r="T268" s="741"/>
      <c r="U268" s="741"/>
      <c r="V268" s="741"/>
      <c r="W268" s="741"/>
      <c r="X268" s="741"/>
      <c r="Y268" s="741"/>
      <c r="Z268" s="741"/>
      <c r="AA268" s="741"/>
      <c r="AB268" s="741"/>
      <c r="AC268" s="741"/>
      <c r="AD268" s="741"/>
      <c r="AE268" s="741"/>
      <c r="AF268" s="741"/>
      <c r="AG268" s="741"/>
      <c r="AH268" s="741"/>
      <c r="AI268" s="741"/>
      <c r="AJ268" s="741"/>
      <c r="AK268" s="741"/>
      <c r="AL268" s="741"/>
      <c r="AM268" s="741"/>
      <c r="AN268" s="741"/>
      <c r="AO268" s="741"/>
      <c r="AP268" s="741"/>
      <c r="AQ268" s="741"/>
      <c r="AR268" s="741"/>
    </row>
    <row r="269" spans="1:44">
      <c r="A269" s="741"/>
      <c r="B269" s="741"/>
      <c r="C269" s="741"/>
      <c r="D269" s="741"/>
      <c r="E269" s="741"/>
      <c r="F269" s="741"/>
      <c r="G269" s="741"/>
      <c r="H269" s="741"/>
      <c r="I269" s="741"/>
      <c r="J269" s="741"/>
      <c r="K269" s="741"/>
      <c r="L269" s="741"/>
      <c r="M269" s="741"/>
      <c r="N269" s="741"/>
      <c r="O269" s="741"/>
      <c r="P269" s="741"/>
      <c r="Q269" s="741"/>
      <c r="R269" s="741"/>
      <c r="S269" s="741"/>
      <c r="T269" s="741"/>
      <c r="U269" s="741"/>
      <c r="V269" s="741"/>
      <c r="W269" s="741"/>
      <c r="X269" s="741"/>
      <c r="Y269" s="741"/>
      <c r="Z269" s="741"/>
      <c r="AA269" s="741"/>
      <c r="AB269" s="741"/>
      <c r="AC269" s="741"/>
      <c r="AD269" s="741"/>
      <c r="AE269" s="741"/>
      <c r="AF269" s="741"/>
      <c r="AG269" s="741"/>
      <c r="AH269" s="741"/>
      <c r="AI269" s="741"/>
      <c r="AJ269" s="741"/>
      <c r="AK269" s="741"/>
      <c r="AL269" s="741"/>
      <c r="AM269" s="741"/>
      <c r="AN269" s="741"/>
      <c r="AO269" s="741"/>
      <c r="AP269" s="741"/>
      <c r="AQ269" s="741"/>
      <c r="AR269" s="741"/>
    </row>
    <row r="270" spans="1:44">
      <c r="A270" s="741"/>
      <c r="B270" s="741"/>
      <c r="C270" s="741"/>
      <c r="D270" s="741"/>
      <c r="E270" s="741"/>
      <c r="F270" s="741"/>
      <c r="G270" s="741"/>
      <c r="H270" s="741"/>
      <c r="I270" s="741"/>
      <c r="J270" s="741"/>
      <c r="K270" s="741"/>
      <c r="L270" s="741"/>
      <c r="M270" s="741"/>
      <c r="N270" s="741"/>
      <c r="O270" s="741"/>
      <c r="P270" s="741"/>
      <c r="Q270" s="741"/>
      <c r="R270" s="741"/>
      <c r="S270" s="741"/>
      <c r="T270" s="741"/>
      <c r="U270" s="741"/>
      <c r="V270" s="741"/>
      <c r="W270" s="741"/>
      <c r="X270" s="741"/>
      <c r="Y270" s="741"/>
      <c r="Z270" s="741"/>
      <c r="AA270" s="741"/>
      <c r="AB270" s="741"/>
      <c r="AC270" s="741"/>
      <c r="AD270" s="741"/>
      <c r="AE270" s="741"/>
      <c r="AF270" s="741"/>
      <c r="AG270" s="741"/>
      <c r="AH270" s="741"/>
      <c r="AI270" s="741"/>
      <c r="AJ270" s="741"/>
      <c r="AK270" s="741"/>
      <c r="AL270" s="741"/>
      <c r="AM270" s="741"/>
      <c r="AN270" s="741"/>
      <c r="AO270" s="741"/>
      <c r="AP270" s="741"/>
      <c r="AQ270" s="741"/>
      <c r="AR270" s="741"/>
    </row>
    <row r="271" spans="1:44">
      <c r="A271" s="741"/>
      <c r="B271" s="741"/>
      <c r="C271" s="741"/>
      <c r="D271" s="741"/>
      <c r="E271" s="741"/>
      <c r="F271" s="741"/>
      <c r="G271" s="741"/>
      <c r="H271" s="741"/>
      <c r="I271" s="741"/>
      <c r="J271" s="741"/>
      <c r="K271" s="741"/>
      <c r="L271" s="741"/>
      <c r="M271" s="741"/>
      <c r="N271" s="741"/>
      <c r="O271" s="741"/>
      <c r="P271" s="741"/>
      <c r="Q271" s="741"/>
      <c r="R271" s="741"/>
      <c r="S271" s="741"/>
      <c r="T271" s="741"/>
      <c r="U271" s="741"/>
      <c r="V271" s="741"/>
      <c r="W271" s="741"/>
      <c r="X271" s="741"/>
      <c r="Y271" s="741"/>
      <c r="Z271" s="741"/>
      <c r="AA271" s="741"/>
      <c r="AB271" s="741"/>
      <c r="AC271" s="741"/>
      <c r="AD271" s="741"/>
      <c r="AE271" s="741"/>
      <c r="AF271" s="741"/>
      <c r="AG271" s="741"/>
      <c r="AH271" s="741"/>
      <c r="AI271" s="741"/>
      <c r="AJ271" s="741"/>
      <c r="AK271" s="741"/>
      <c r="AL271" s="741"/>
      <c r="AM271" s="741"/>
      <c r="AN271" s="741"/>
      <c r="AO271" s="741"/>
      <c r="AP271" s="741"/>
      <c r="AQ271" s="741"/>
      <c r="AR271" s="741"/>
    </row>
    <row r="272" spans="1:44">
      <c r="A272" s="741"/>
      <c r="B272" s="741"/>
      <c r="C272" s="741"/>
      <c r="D272" s="741"/>
      <c r="E272" s="741"/>
      <c r="F272" s="741"/>
      <c r="G272" s="741"/>
      <c r="H272" s="741"/>
      <c r="I272" s="741"/>
      <c r="J272" s="741"/>
      <c r="K272" s="741"/>
      <c r="L272" s="741"/>
      <c r="M272" s="741"/>
      <c r="N272" s="741"/>
      <c r="O272" s="741"/>
      <c r="P272" s="741"/>
      <c r="Q272" s="741"/>
      <c r="R272" s="741"/>
      <c r="S272" s="741"/>
      <c r="T272" s="741"/>
      <c r="U272" s="741"/>
      <c r="V272" s="741"/>
      <c r="W272" s="741"/>
      <c r="X272" s="741"/>
      <c r="Y272" s="741"/>
      <c r="Z272" s="741"/>
      <c r="AA272" s="741"/>
      <c r="AB272" s="741"/>
      <c r="AC272" s="741"/>
      <c r="AD272" s="741"/>
      <c r="AE272" s="741"/>
      <c r="AF272" s="741"/>
      <c r="AG272" s="741"/>
      <c r="AH272" s="741"/>
      <c r="AI272" s="741"/>
      <c r="AJ272" s="741"/>
      <c r="AK272" s="741"/>
      <c r="AL272" s="741"/>
      <c r="AM272" s="741"/>
      <c r="AN272" s="741"/>
      <c r="AO272" s="741"/>
      <c r="AP272" s="741"/>
      <c r="AQ272" s="741"/>
      <c r="AR272" s="741"/>
    </row>
    <row r="273" spans="1:44">
      <c r="A273" s="741"/>
      <c r="B273" s="741"/>
      <c r="C273" s="741"/>
      <c r="D273" s="741"/>
      <c r="E273" s="741"/>
      <c r="F273" s="741"/>
      <c r="G273" s="741"/>
      <c r="H273" s="741"/>
      <c r="I273" s="741"/>
      <c r="J273" s="741"/>
      <c r="K273" s="741"/>
      <c r="L273" s="741"/>
      <c r="M273" s="741"/>
      <c r="N273" s="741"/>
      <c r="O273" s="741"/>
      <c r="P273" s="741"/>
      <c r="Q273" s="741"/>
      <c r="R273" s="741"/>
      <c r="S273" s="741"/>
      <c r="T273" s="741"/>
      <c r="U273" s="741"/>
      <c r="V273" s="741"/>
      <c r="W273" s="741"/>
      <c r="X273" s="741"/>
      <c r="Y273" s="741"/>
      <c r="Z273" s="741"/>
      <c r="AA273" s="741"/>
      <c r="AB273" s="741"/>
      <c r="AC273" s="741"/>
      <c r="AD273" s="741"/>
      <c r="AE273" s="741"/>
      <c r="AF273" s="741"/>
      <c r="AG273" s="741"/>
      <c r="AH273" s="741"/>
      <c r="AI273" s="741"/>
      <c r="AJ273" s="741"/>
      <c r="AK273" s="741"/>
      <c r="AL273" s="741"/>
      <c r="AM273" s="741"/>
      <c r="AN273" s="741"/>
      <c r="AO273" s="741"/>
      <c r="AP273" s="741"/>
      <c r="AQ273" s="741"/>
      <c r="AR273" s="741"/>
    </row>
    <row r="274" spans="1:44">
      <c r="A274" s="741"/>
      <c r="B274" s="741"/>
      <c r="C274" s="741"/>
      <c r="D274" s="741"/>
      <c r="E274" s="741"/>
      <c r="F274" s="741"/>
      <c r="G274" s="741"/>
      <c r="H274" s="741"/>
      <c r="I274" s="741"/>
      <c r="J274" s="741"/>
      <c r="K274" s="741"/>
      <c r="L274" s="741"/>
      <c r="M274" s="741"/>
      <c r="N274" s="741"/>
      <c r="O274" s="741"/>
      <c r="P274" s="741"/>
      <c r="Q274" s="741"/>
      <c r="R274" s="741"/>
      <c r="S274" s="741"/>
      <c r="T274" s="741"/>
      <c r="U274" s="741"/>
      <c r="V274" s="741"/>
      <c r="W274" s="741"/>
      <c r="X274" s="741"/>
      <c r="Y274" s="741"/>
      <c r="Z274" s="741"/>
      <c r="AA274" s="741"/>
      <c r="AB274" s="741"/>
      <c r="AC274" s="741"/>
      <c r="AD274" s="741"/>
      <c r="AE274" s="741"/>
      <c r="AF274" s="741"/>
      <c r="AG274" s="741"/>
      <c r="AH274" s="741"/>
      <c r="AI274" s="741"/>
      <c r="AJ274" s="741"/>
      <c r="AK274" s="741"/>
      <c r="AL274" s="741"/>
      <c r="AM274" s="741"/>
      <c r="AN274" s="741"/>
      <c r="AO274" s="741"/>
      <c r="AP274" s="741"/>
      <c r="AQ274" s="741"/>
      <c r="AR274" s="741"/>
    </row>
    <row r="275" spans="1:44">
      <c r="A275" s="741"/>
      <c r="B275" s="741"/>
      <c r="C275" s="741"/>
      <c r="D275" s="741"/>
      <c r="E275" s="741"/>
      <c r="F275" s="741"/>
      <c r="G275" s="741"/>
      <c r="H275" s="741"/>
      <c r="I275" s="741"/>
      <c r="J275" s="741"/>
      <c r="K275" s="741"/>
      <c r="L275" s="741"/>
      <c r="M275" s="741"/>
      <c r="N275" s="741"/>
      <c r="O275" s="741"/>
      <c r="P275" s="741"/>
      <c r="Q275" s="741"/>
      <c r="R275" s="741"/>
      <c r="S275" s="741"/>
      <c r="T275" s="741"/>
      <c r="U275" s="741"/>
      <c r="V275" s="741"/>
      <c r="W275" s="741"/>
      <c r="X275" s="741"/>
      <c r="Y275" s="741"/>
      <c r="Z275" s="741"/>
      <c r="AA275" s="741"/>
      <c r="AB275" s="741"/>
      <c r="AC275" s="741"/>
      <c r="AD275" s="741"/>
      <c r="AE275" s="741"/>
      <c r="AF275" s="741"/>
      <c r="AG275" s="741"/>
      <c r="AH275" s="741"/>
      <c r="AI275" s="741"/>
      <c r="AJ275" s="741"/>
      <c r="AK275" s="741"/>
      <c r="AL275" s="741"/>
      <c r="AM275" s="741"/>
      <c r="AN275" s="741"/>
      <c r="AO275" s="741"/>
      <c r="AP275" s="741"/>
      <c r="AQ275" s="741"/>
      <c r="AR275" s="741"/>
    </row>
    <row r="276" spans="1:44">
      <c r="A276" s="741"/>
      <c r="B276" s="741"/>
      <c r="C276" s="741"/>
      <c r="D276" s="741"/>
      <c r="E276" s="741"/>
      <c r="F276" s="741"/>
      <c r="G276" s="741"/>
      <c r="H276" s="741"/>
      <c r="I276" s="741"/>
      <c r="J276" s="741"/>
      <c r="K276" s="741"/>
      <c r="L276" s="741"/>
      <c r="M276" s="741"/>
      <c r="N276" s="741"/>
      <c r="O276" s="741"/>
      <c r="P276" s="741"/>
      <c r="Q276" s="741"/>
      <c r="R276" s="741"/>
      <c r="S276" s="741"/>
      <c r="T276" s="741"/>
      <c r="U276" s="741"/>
      <c r="V276" s="741"/>
      <c r="W276" s="741"/>
      <c r="X276" s="741"/>
      <c r="Y276" s="741"/>
      <c r="Z276" s="741"/>
      <c r="AA276" s="741"/>
      <c r="AB276" s="741"/>
      <c r="AC276" s="741"/>
      <c r="AD276" s="741"/>
      <c r="AE276" s="741"/>
      <c r="AF276" s="741"/>
      <c r="AG276" s="741"/>
      <c r="AH276" s="741"/>
      <c r="AI276" s="741"/>
      <c r="AJ276" s="741"/>
      <c r="AK276" s="741"/>
      <c r="AL276" s="741"/>
      <c r="AM276" s="741"/>
      <c r="AN276" s="741"/>
      <c r="AO276" s="741"/>
      <c r="AP276" s="741"/>
      <c r="AQ276" s="741"/>
      <c r="AR276" s="741"/>
    </row>
    <row r="277" spans="1:44">
      <c r="A277" s="741"/>
      <c r="B277" s="741"/>
      <c r="C277" s="741"/>
      <c r="D277" s="741"/>
      <c r="E277" s="741"/>
      <c r="F277" s="741"/>
      <c r="G277" s="741"/>
      <c r="H277" s="741"/>
      <c r="I277" s="741"/>
      <c r="J277" s="741"/>
      <c r="K277" s="741"/>
      <c r="L277" s="741"/>
      <c r="M277" s="741"/>
      <c r="N277" s="741"/>
      <c r="O277" s="741"/>
      <c r="P277" s="741"/>
      <c r="Q277" s="741"/>
      <c r="R277" s="741"/>
      <c r="S277" s="741"/>
      <c r="T277" s="741"/>
      <c r="U277" s="741"/>
      <c r="V277" s="741"/>
      <c r="W277" s="741"/>
      <c r="X277" s="741"/>
      <c r="Y277" s="741"/>
      <c r="Z277" s="741"/>
      <c r="AA277" s="741"/>
      <c r="AB277" s="741"/>
      <c r="AC277" s="741"/>
      <c r="AD277" s="741"/>
      <c r="AE277" s="741"/>
      <c r="AF277" s="741"/>
      <c r="AG277" s="741"/>
      <c r="AH277" s="741"/>
      <c r="AI277" s="741"/>
      <c r="AJ277" s="741"/>
      <c r="AK277" s="741"/>
      <c r="AL277" s="741"/>
      <c r="AM277" s="741"/>
      <c r="AN277" s="741"/>
      <c r="AO277" s="741"/>
      <c r="AP277" s="741"/>
      <c r="AQ277" s="741"/>
      <c r="AR277" s="741"/>
    </row>
    <row r="278" spans="1:44">
      <c r="A278" s="741"/>
      <c r="B278" s="741"/>
      <c r="C278" s="741"/>
      <c r="D278" s="741"/>
      <c r="E278" s="741"/>
      <c r="F278" s="741"/>
      <c r="G278" s="741"/>
      <c r="H278" s="741"/>
      <c r="I278" s="741"/>
      <c r="J278" s="741"/>
      <c r="K278" s="741"/>
      <c r="L278" s="741"/>
      <c r="M278" s="741"/>
      <c r="N278" s="741"/>
      <c r="O278" s="741"/>
      <c r="P278" s="741"/>
      <c r="Q278" s="741"/>
      <c r="R278" s="741"/>
      <c r="S278" s="741"/>
      <c r="T278" s="741"/>
      <c r="U278" s="741"/>
      <c r="V278" s="741"/>
      <c r="W278" s="741"/>
      <c r="X278" s="741"/>
      <c r="Y278" s="741"/>
      <c r="Z278" s="741"/>
      <c r="AA278" s="741"/>
      <c r="AB278" s="741"/>
      <c r="AC278" s="741"/>
      <c r="AD278" s="741"/>
      <c r="AE278" s="741"/>
      <c r="AF278" s="741"/>
      <c r="AG278" s="741"/>
      <c r="AH278" s="741"/>
      <c r="AI278" s="741"/>
      <c r="AJ278" s="741"/>
      <c r="AK278" s="741"/>
      <c r="AL278" s="741"/>
      <c r="AM278" s="741"/>
      <c r="AN278" s="741"/>
      <c r="AO278" s="741"/>
      <c r="AP278" s="741"/>
      <c r="AQ278" s="741"/>
      <c r="AR278" s="741"/>
    </row>
    <row r="279" spans="1:44">
      <c r="A279" s="741"/>
      <c r="B279" s="741"/>
      <c r="C279" s="741"/>
      <c r="D279" s="741"/>
      <c r="E279" s="741"/>
      <c r="F279" s="741"/>
      <c r="G279" s="741"/>
      <c r="H279" s="741"/>
      <c r="I279" s="741"/>
      <c r="J279" s="741"/>
      <c r="K279" s="741"/>
      <c r="L279" s="741"/>
      <c r="M279" s="741"/>
      <c r="N279" s="741"/>
      <c r="O279" s="741"/>
      <c r="P279" s="741"/>
      <c r="Q279" s="741"/>
      <c r="R279" s="741"/>
      <c r="S279" s="741"/>
      <c r="T279" s="741"/>
      <c r="U279" s="741"/>
      <c r="V279" s="741"/>
      <c r="W279" s="741"/>
      <c r="X279" s="741"/>
      <c r="Y279" s="741"/>
      <c r="Z279" s="741"/>
      <c r="AA279" s="741"/>
      <c r="AB279" s="741"/>
      <c r="AC279" s="741"/>
      <c r="AD279" s="741"/>
      <c r="AE279" s="741"/>
      <c r="AF279" s="741"/>
      <c r="AG279" s="741"/>
      <c r="AH279" s="741"/>
      <c r="AI279" s="741"/>
      <c r="AJ279" s="741"/>
      <c r="AK279" s="741"/>
      <c r="AL279" s="741"/>
      <c r="AM279" s="741"/>
      <c r="AN279" s="741"/>
      <c r="AO279" s="741"/>
      <c r="AP279" s="741"/>
      <c r="AQ279" s="741"/>
      <c r="AR279" s="741"/>
    </row>
    <row r="280" spans="1:44">
      <c r="A280" s="741"/>
      <c r="B280" s="741"/>
      <c r="C280" s="741"/>
      <c r="D280" s="741"/>
      <c r="E280" s="741"/>
      <c r="F280" s="741"/>
      <c r="G280" s="741"/>
      <c r="H280" s="741"/>
      <c r="I280" s="741"/>
      <c r="J280" s="741"/>
      <c r="K280" s="741"/>
      <c r="L280" s="741"/>
      <c r="M280" s="741"/>
      <c r="N280" s="741"/>
      <c r="O280" s="741"/>
      <c r="P280" s="741"/>
      <c r="Q280" s="741"/>
      <c r="R280" s="741"/>
      <c r="S280" s="741"/>
      <c r="T280" s="741"/>
      <c r="U280" s="741"/>
      <c r="V280" s="741"/>
      <c r="W280" s="741"/>
      <c r="X280" s="741"/>
      <c r="Y280" s="741"/>
      <c r="Z280" s="741"/>
      <c r="AA280" s="741"/>
      <c r="AB280" s="741"/>
      <c r="AC280" s="741"/>
      <c r="AD280" s="741"/>
      <c r="AE280" s="741"/>
      <c r="AF280" s="741"/>
      <c r="AG280" s="741"/>
      <c r="AH280" s="741"/>
      <c r="AI280" s="741"/>
      <c r="AJ280" s="741"/>
      <c r="AK280" s="741"/>
      <c r="AL280" s="741"/>
      <c r="AM280" s="741"/>
      <c r="AN280" s="741"/>
      <c r="AO280" s="741"/>
      <c r="AP280" s="741"/>
      <c r="AQ280" s="741"/>
      <c r="AR280" s="741"/>
    </row>
    <row r="281" spans="1:44">
      <c r="A281" s="741"/>
      <c r="B281" s="741"/>
      <c r="C281" s="741"/>
      <c r="D281" s="741"/>
      <c r="E281" s="741"/>
      <c r="F281" s="741"/>
      <c r="G281" s="741"/>
      <c r="H281" s="741"/>
      <c r="I281" s="741"/>
      <c r="J281" s="741"/>
      <c r="K281" s="741"/>
      <c r="L281" s="741"/>
      <c r="M281" s="741"/>
      <c r="N281" s="741"/>
      <c r="O281" s="741"/>
      <c r="P281" s="741"/>
      <c r="Q281" s="741"/>
      <c r="R281" s="741"/>
      <c r="S281" s="741"/>
      <c r="T281" s="741"/>
      <c r="U281" s="741"/>
      <c r="V281" s="741"/>
      <c r="W281" s="741"/>
      <c r="X281" s="741"/>
      <c r="Y281" s="741"/>
      <c r="Z281" s="741"/>
      <c r="AA281" s="741"/>
      <c r="AB281" s="741"/>
      <c r="AC281" s="741"/>
      <c r="AD281" s="741"/>
      <c r="AE281" s="741"/>
      <c r="AF281" s="741"/>
      <c r="AG281" s="741"/>
      <c r="AH281" s="741"/>
      <c r="AI281" s="741"/>
      <c r="AJ281" s="741"/>
      <c r="AK281" s="741"/>
      <c r="AL281" s="741"/>
      <c r="AM281" s="741"/>
      <c r="AN281" s="741"/>
      <c r="AO281" s="741"/>
      <c r="AP281" s="741"/>
      <c r="AQ281" s="741"/>
      <c r="AR281" s="741"/>
    </row>
    <row r="282" spans="1:44">
      <c r="A282" s="741"/>
      <c r="B282" s="741"/>
      <c r="C282" s="741"/>
      <c r="D282" s="741"/>
      <c r="E282" s="741"/>
      <c r="F282" s="741"/>
      <c r="G282" s="741"/>
      <c r="H282" s="741"/>
      <c r="I282" s="741"/>
      <c r="J282" s="741"/>
      <c r="K282" s="741"/>
      <c r="L282" s="741"/>
      <c r="M282" s="741"/>
      <c r="N282" s="741"/>
      <c r="O282" s="741"/>
      <c r="P282" s="741"/>
      <c r="Q282" s="741"/>
      <c r="R282" s="741"/>
      <c r="S282" s="741"/>
      <c r="T282" s="741"/>
      <c r="U282" s="741"/>
      <c r="V282" s="741"/>
      <c r="W282" s="741"/>
      <c r="X282" s="741"/>
      <c r="Y282" s="741"/>
      <c r="Z282" s="741"/>
      <c r="AA282" s="741"/>
      <c r="AB282" s="741"/>
      <c r="AC282" s="741"/>
      <c r="AD282" s="741"/>
      <c r="AE282" s="741"/>
      <c r="AF282" s="741"/>
      <c r="AG282" s="741"/>
      <c r="AH282" s="741"/>
      <c r="AI282" s="741"/>
      <c r="AJ282" s="741"/>
      <c r="AK282" s="741"/>
      <c r="AL282" s="741"/>
      <c r="AM282" s="741"/>
      <c r="AN282" s="741"/>
      <c r="AO282" s="741"/>
      <c r="AP282" s="741"/>
      <c r="AQ282" s="741"/>
      <c r="AR282" s="741"/>
    </row>
    <row r="283" spans="1:44">
      <c r="A283" s="741"/>
      <c r="B283" s="741"/>
      <c r="C283" s="741"/>
      <c r="D283" s="741"/>
      <c r="E283" s="741"/>
      <c r="F283" s="741"/>
      <c r="G283" s="741"/>
      <c r="H283" s="741"/>
      <c r="I283" s="741"/>
      <c r="J283" s="741"/>
      <c r="K283" s="741"/>
      <c r="L283" s="741"/>
      <c r="M283" s="741"/>
      <c r="N283" s="741"/>
      <c r="O283" s="741"/>
      <c r="P283" s="741"/>
      <c r="Q283" s="741"/>
      <c r="R283" s="741"/>
      <c r="S283" s="741"/>
      <c r="T283" s="741"/>
      <c r="U283" s="741"/>
      <c r="V283" s="741"/>
      <c r="W283" s="741"/>
      <c r="X283" s="741"/>
      <c r="Y283" s="741"/>
      <c r="Z283" s="741"/>
      <c r="AA283" s="741"/>
      <c r="AB283" s="741"/>
      <c r="AC283" s="741"/>
      <c r="AD283" s="741"/>
      <c r="AE283" s="741"/>
      <c r="AF283" s="741"/>
      <c r="AG283" s="741"/>
      <c r="AH283" s="741"/>
      <c r="AI283" s="741"/>
      <c r="AJ283" s="741"/>
      <c r="AK283" s="741"/>
      <c r="AL283" s="741"/>
      <c r="AM283" s="741"/>
      <c r="AN283" s="741"/>
      <c r="AO283" s="741"/>
      <c r="AP283" s="741"/>
      <c r="AQ283" s="741"/>
      <c r="AR283" s="741"/>
    </row>
    <row r="284" spans="1:44">
      <c r="A284" s="741"/>
      <c r="B284" s="741"/>
      <c r="C284" s="741"/>
      <c r="D284" s="741"/>
      <c r="E284" s="741"/>
      <c r="F284" s="741"/>
      <c r="G284" s="741"/>
      <c r="H284" s="741"/>
      <c r="I284" s="741"/>
      <c r="J284" s="741"/>
      <c r="K284" s="741"/>
      <c r="L284" s="741"/>
      <c r="M284" s="741"/>
      <c r="N284" s="741"/>
      <c r="O284" s="741"/>
      <c r="P284" s="741"/>
      <c r="Q284" s="741"/>
      <c r="R284" s="741"/>
      <c r="S284" s="741"/>
      <c r="T284" s="741"/>
      <c r="U284" s="741"/>
      <c r="V284" s="741"/>
      <c r="W284" s="741"/>
      <c r="X284" s="741"/>
      <c r="Y284" s="741"/>
      <c r="Z284" s="741"/>
      <c r="AA284" s="741"/>
      <c r="AB284" s="741"/>
      <c r="AC284" s="741"/>
      <c r="AD284" s="741"/>
      <c r="AE284" s="741"/>
      <c r="AF284" s="741"/>
      <c r="AG284" s="741"/>
      <c r="AH284" s="741"/>
      <c r="AI284" s="741"/>
      <c r="AJ284" s="741"/>
      <c r="AK284" s="741"/>
      <c r="AL284" s="741"/>
      <c r="AM284" s="741"/>
      <c r="AN284" s="741"/>
      <c r="AO284" s="741"/>
      <c r="AP284" s="741"/>
      <c r="AQ284" s="741"/>
      <c r="AR284" s="741"/>
    </row>
    <row r="285" spans="1:44">
      <c r="A285" s="741"/>
      <c r="B285" s="741"/>
      <c r="C285" s="741"/>
      <c r="D285" s="741"/>
      <c r="E285" s="741"/>
      <c r="F285" s="741"/>
      <c r="G285" s="741"/>
      <c r="H285" s="741"/>
      <c r="I285" s="741"/>
      <c r="J285" s="741"/>
      <c r="K285" s="741"/>
      <c r="L285" s="741"/>
      <c r="M285" s="741"/>
      <c r="N285" s="741"/>
      <c r="O285" s="741"/>
      <c r="P285" s="741"/>
      <c r="Q285" s="741"/>
      <c r="R285" s="741"/>
      <c r="S285" s="741"/>
      <c r="T285" s="741"/>
      <c r="U285" s="741"/>
      <c r="V285" s="741"/>
      <c r="W285" s="741"/>
      <c r="X285" s="741"/>
      <c r="Y285" s="741"/>
      <c r="Z285" s="741"/>
      <c r="AA285" s="741"/>
      <c r="AB285" s="741"/>
      <c r="AC285" s="741"/>
      <c r="AD285" s="741"/>
      <c r="AE285" s="741"/>
      <c r="AF285" s="741"/>
      <c r="AG285" s="741"/>
      <c r="AH285" s="741"/>
      <c r="AI285" s="741"/>
      <c r="AJ285" s="741"/>
      <c r="AK285" s="741"/>
      <c r="AL285" s="741"/>
      <c r="AM285" s="741"/>
      <c r="AN285" s="741"/>
      <c r="AO285" s="741"/>
      <c r="AP285" s="741"/>
      <c r="AQ285" s="741"/>
      <c r="AR285" s="741"/>
    </row>
    <row r="286" spans="1:44">
      <c r="A286" s="741"/>
      <c r="B286" s="741"/>
      <c r="C286" s="741"/>
      <c r="D286" s="741"/>
      <c r="E286" s="741"/>
      <c r="F286" s="741"/>
      <c r="G286" s="741"/>
      <c r="H286" s="741"/>
      <c r="I286" s="741"/>
      <c r="J286" s="741"/>
      <c r="K286" s="741"/>
      <c r="L286" s="741"/>
      <c r="M286" s="741"/>
      <c r="N286" s="741"/>
      <c r="O286" s="741"/>
      <c r="P286" s="741"/>
      <c r="Q286" s="741"/>
      <c r="R286" s="741"/>
      <c r="S286" s="741"/>
      <c r="T286" s="741"/>
      <c r="U286" s="741"/>
      <c r="V286" s="741"/>
      <c r="W286" s="741"/>
      <c r="X286" s="741"/>
      <c r="Y286" s="741"/>
      <c r="Z286" s="741"/>
      <c r="AA286" s="741"/>
      <c r="AB286" s="741"/>
      <c r="AC286" s="741"/>
      <c r="AD286" s="741"/>
      <c r="AE286" s="741"/>
      <c r="AF286" s="741"/>
      <c r="AG286" s="741"/>
      <c r="AH286" s="741"/>
      <c r="AI286" s="741"/>
      <c r="AJ286" s="741"/>
      <c r="AK286" s="741"/>
      <c r="AL286" s="741"/>
      <c r="AM286" s="741"/>
      <c r="AN286" s="741"/>
      <c r="AO286" s="741"/>
      <c r="AP286" s="741"/>
      <c r="AQ286" s="741"/>
      <c r="AR286" s="741"/>
    </row>
    <row r="287" spans="1:44">
      <c r="A287" s="741"/>
      <c r="B287" s="741"/>
      <c r="C287" s="741"/>
      <c r="D287" s="741"/>
      <c r="E287" s="741"/>
      <c r="F287" s="741"/>
      <c r="G287" s="741"/>
      <c r="H287" s="741"/>
      <c r="I287" s="741"/>
      <c r="J287" s="741"/>
      <c r="K287" s="741"/>
      <c r="L287" s="741"/>
      <c r="M287" s="741"/>
      <c r="N287" s="741"/>
      <c r="O287" s="741"/>
      <c r="P287" s="741"/>
      <c r="Q287" s="741"/>
      <c r="R287" s="741"/>
      <c r="S287" s="741"/>
      <c r="T287" s="741"/>
      <c r="U287" s="741"/>
      <c r="V287" s="741"/>
      <c r="W287" s="741"/>
      <c r="X287" s="741"/>
      <c r="Y287" s="741"/>
      <c r="Z287" s="741"/>
      <c r="AA287" s="741"/>
      <c r="AB287" s="741"/>
      <c r="AC287" s="741"/>
      <c r="AD287" s="741"/>
      <c r="AE287" s="741"/>
      <c r="AF287" s="741"/>
      <c r="AG287" s="741"/>
      <c r="AH287" s="741"/>
      <c r="AI287" s="741"/>
      <c r="AJ287" s="741"/>
      <c r="AK287" s="741"/>
      <c r="AL287" s="741"/>
      <c r="AM287" s="741"/>
      <c r="AN287" s="741"/>
      <c r="AO287" s="741"/>
      <c r="AP287" s="741"/>
      <c r="AQ287" s="741"/>
      <c r="AR287" s="741"/>
    </row>
    <row r="288" spans="1:44">
      <c r="A288" s="741"/>
      <c r="B288" s="741"/>
      <c r="C288" s="741"/>
      <c r="D288" s="741"/>
      <c r="E288" s="741"/>
      <c r="F288" s="741"/>
      <c r="G288" s="741"/>
      <c r="H288" s="741"/>
      <c r="I288" s="741"/>
      <c r="J288" s="741"/>
      <c r="K288" s="741"/>
      <c r="L288" s="741"/>
      <c r="M288" s="741"/>
      <c r="N288" s="741"/>
      <c r="O288" s="741"/>
      <c r="P288" s="741"/>
      <c r="Q288" s="741"/>
      <c r="R288" s="741"/>
      <c r="S288" s="741"/>
      <c r="T288" s="741"/>
      <c r="U288" s="741"/>
      <c r="V288" s="741"/>
      <c r="W288" s="741"/>
      <c r="X288" s="741"/>
      <c r="Y288" s="741"/>
      <c r="Z288" s="741"/>
      <c r="AA288" s="741"/>
      <c r="AB288" s="741"/>
      <c r="AC288" s="741"/>
      <c r="AD288" s="741"/>
      <c r="AE288" s="741"/>
      <c r="AF288" s="741"/>
      <c r="AG288" s="741"/>
      <c r="AH288" s="741"/>
      <c r="AI288" s="741"/>
      <c r="AJ288" s="741"/>
      <c r="AK288" s="741"/>
      <c r="AL288" s="741"/>
      <c r="AM288" s="741"/>
      <c r="AN288" s="741"/>
      <c r="AO288" s="741"/>
      <c r="AP288" s="741"/>
      <c r="AQ288" s="741"/>
      <c r="AR288" s="741"/>
    </row>
    <row r="289" spans="1:44">
      <c r="A289" s="741"/>
      <c r="B289" s="741"/>
      <c r="C289" s="741"/>
      <c r="D289" s="741"/>
      <c r="E289" s="741"/>
      <c r="F289" s="741"/>
      <c r="G289" s="741"/>
      <c r="H289" s="741"/>
      <c r="I289" s="741"/>
      <c r="J289" s="741"/>
      <c r="K289" s="741"/>
      <c r="L289" s="741"/>
      <c r="M289" s="741"/>
      <c r="N289" s="741"/>
      <c r="O289" s="741"/>
      <c r="P289" s="741"/>
      <c r="Q289" s="741"/>
      <c r="R289" s="741"/>
      <c r="S289" s="741"/>
      <c r="T289" s="741"/>
      <c r="U289" s="741"/>
      <c r="V289" s="741"/>
      <c r="W289" s="741"/>
      <c r="X289" s="741"/>
      <c r="Y289" s="741"/>
      <c r="Z289" s="741"/>
      <c r="AA289" s="741"/>
      <c r="AB289" s="741"/>
      <c r="AC289" s="741"/>
      <c r="AD289" s="741"/>
      <c r="AE289" s="741"/>
      <c r="AF289" s="741"/>
      <c r="AG289" s="741"/>
      <c r="AH289" s="741"/>
      <c r="AI289" s="741"/>
      <c r="AJ289" s="741"/>
      <c r="AK289" s="741"/>
      <c r="AL289" s="741"/>
      <c r="AM289" s="741"/>
      <c r="AN289" s="741"/>
      <c r="AO289" s="741"/>
      <c r="AP289" s="741"/>
      <c r="AQ289" s="741"/>
      <c r="AR289" s="741"/>
    </row>
    <row r="290" spans="1:44">
      <c r="A290" s="741"/>
      <c r="B290" s="741"/>
      <c r="C290" s="741"/>
      <c r="D290" s="741"/>
      <c r="E290" s="741"/>
      <c r="F290" s="741"/>
      <c r="G290" s="741"/>
      <c r="H290" s="741"/>
      <c r="I290" s="741"/>
      <c r="J290" s="741"/>
      <c r="K290" s="741"/>
      <c r="L290" s="741"/>
      <c r="M290" s="741"/>
      <c r="N290" s="741"/>
      <c r="O290" s="741"/>
      <c r="P290" s="741"/>
      <c r="Q290" s="741"/>
      <c r="R290" s="741"/>
      <c r="S290" s="741"/>
      <c r="T290" s="741"/>
      <c r="U290" s="741"/>
      <c r="V290" s="741"/>
      <c r="W290" s="741"/>
      <c r="X290" s="741"/>
      <c r="Y290" s="741"/>
      <c r="Z290" s="741"/>
      <c r="AA290" s="741"/>
      <c r="AB290" s="741"/>
      <c r="AC290" s="741"/>
      <c r="AD290" s="741"/>
      <c r="AE290" s="741"/>
      <c r="AF290" s="741"/>
      <c r="AG290" s="741"/>
      <c r="AH290" s="741"/>
      <c r="AI290" s="741"/>
      <c r="AJ290" s="741"/>
      <c r="AK290" s="741"/>
      <c r="AL290" s="741"/>
      <c r="AM290" s="741"/>
      <c r="AN290" s="741"/>
      <c r="AO290" s="741"/>
      <c r="AP290" s="741"/>
      <c r="AQ290" s="741"/>
      <c r="AR290" s="741"/>
    </row>
    <row r="291" spans="1:44">
      <c r="A291" s="741"/>
      <c r="B291" s="741"/>
      <c r="C291" s="741"/>
      <c r="D291" s="741"/>
      <c r="E291" s="741"/>
      <c r="F291" s="741"/>
      <c r="G291" s="741"/>
      <c r="H291" s="741"/>
      <c r="I291" s="741"/>
      <c r="J291" s="741"/>
      <c r="K291" s="741"/>
      <c r="L291" s="741"/>
      <c r="M291" s="741"/>
      <c r="N291" s="741"/>
      <c r="O291" s="741"/>
      <c r="P291" s="741"/>
      <c r="Q291" s="741"/>
      <c r="R291" s="741"/>
      <c r="S291" s="741"/>
      <c r="T291" s="741"/>
      <c r="U291" s="741"/>
      <c r="V291" s="741"/>
      <c r="W291" s="741"/>
      <c r="X291" s="741"/>
      <c r="Y291" s="741"/>
      <c r="Z291" s="741"/>
      <c r="AA291" s="741"/>
      <c r="AB291" s="741"/>
      <c r="AC291" s="741"/>
      <c r="AD291" s="741"/>
      <c r="AE291" s="741"/>
      <c r="AF291" s="741"/>
      <c r="AG291" s="741"/>
      <c r="AH291" s="741"/>
      <c r="AI291" s="741"/>
      <c r="AJ291" s="741"/>
      <c r="AK291" s="741"/>
      <c r="AL291" s="741"/>
      <c r="AM291" s="741"/>
      <c r="AN291" s="741"/>
      <c r="AO291" s="741"/>
      <c r="AP291" s="741"/>
      <c r="AQ291" s="741"/>
      <c r="AR291" s="741"/>
    </row>
    <row r="292" spans="1:44">
      <c r="A292" s="741"/>
      <c r="B292" s="741"/>
      <c r="C292" s="741"/>
      <c r="D292" s="741"/>
      <c r="E292" s="741"/>
      <c r="F292" s="741"/>
      <c r="G292" s="741"/>
      <c r="H292" s="741"/>
      <c r="I292" s="741"/>
      <c r="J292" s="741"/>
      <c r="K292" s="741"/>
      <c r="L292" s="741"/>
      <c r="M292" s="741"/>
      <c r="N292" s="741"/>
      <c r="O292" s="741"/>
      <c r="P292" s="741"/>
      <c r="Q292" s="741"/>
      <c r="R292" s="741"/>
      <c r="S292" s="741"/>
      <c r="T292" s="741"/>
      <c r="U292" s="741"/>
      <c r="V292" s="741"/>
      <c r="W292" s="741"/>
      <c r="X292" s="741"/>
      <c r="Y292" s="741"/>
      <c r="Z292" s="741"/>
      <c r="AA292" s="741"/>
      <c r="AB292" s="741"/>
      <c r="AC292" s="741"/>
      <c r="AD292" s="741"/>
      <c r="AE292" s="741"/>
      <c r="AF292" s="741"/>
      <c r="AG292" s="741"/>
      <c r="AH292" s="741"/>
      <c r="AI292" s="741"/>
      <c r="AJ292" s="741"/>
      <c r="AK292" s="741"/>
      <c r="AL292" s="741"/>
      <c r="AM292" s="741"/>
      <c r="AN292" s="741"/>
      <c r="AO292" s="741"/>
      <c r="AP292" s="741"/>
      <c r="AQ292" s="741"/>
      <c r="AR292" s="741"/>
    </row>
    <row r="293" spans="1:44">
      <c r="A293" s="741"/>
      <c r="B293" s="741"/>
      <c r="C293" s="741"/>
      <c r="D293" s="741"/>
      <c r="E293" s="741"/>
      <c r="F293" s="741"/>
      <c r="G293" s="741"/>
      <c r="H293" s="741"/>
      <c r="I293" s="741"/>
      <c r="J293" s="741"/>
      <c r="K293" s="741"/>
      <c r="L293" s="741"/>
      <c r="M293" s="741"/>
      <c r="N293" s="741"/>
      <c r="O293" s="741"/>
      <c r="P293" s="741"/>
      <c r="Q293" s="741"/>
      <c r="R293" s="741"/>
      <c r="S293" s="741"/>
      <c r="T293" s="741"/>
      <c r="U293" s="741"/>
      <c r="V293" s="741"/>
      <c r="W293" s="741"/>
      <c r="X293" s="741"/>
      <c r="Y293" s="741"/>
      <c r="Z293" s="741"/>
      <c r="AA293" s="741"/>
      <c r="AB293" s="741"/>
      <c r="AC293" s="741"/>
      <c r="AD293" s="741"/>
      <c r="AE293" s="741"/>
      <c r="AF293" s="741"/>
      <c r="AG293" s="741"/>
      <c r="AH293" s="741"/>
      <c r="AI293" s="741"/>
      <c r="AJ293" s="741"/>
      <c r="AK293" s="741"/>
      <c r="AL293" s="741"/>
      <c r="AM293" s="741"/>
      <c r="AN293" s="741"/>
      <c r="AO293" s="741"/>
      <c r="AP293" s="741"/>
      <c r="AQ293" s="741"/>
      <c r="AR293" s="741"/>
    </row>
    <row r="294" spans="1:44">
      <c r="A294" s="741"/>
      <c r="B294" s="741"/>
      <c r="C294" s="741"/>
      <c r="D294" s="741"/>
      <c r="E294" s="741"/>
      <c r="F294" s="741"/>
      <c r="G294" s="741"/>
      <c r="H294" s="741"/>
      <c r="I294" s="741"/>
      <c r="J294" s="741"/>
      <c r="K294" s="741"/>
      <c r="L294" s="741"/>
      <c r="M294" s="741"/>
      <c r="N294" s="741"/>
      <c r="O294" s="741"/>
      <c r="P294" s="741"/>
      <c r="Q294" s="741"/>
      <c r="R294" s="741"/>
      <c r="S294" s="741"/>
      <c r="T294" s="741"/>
      <c r="U294" s="741"/>
      <c r="V294" s="741"/>
      <c r="W294" s="741"/>
      <c r="X294" s="741"/>
      <c r="Y294" s="741"/>
      <c r="Z294" s="741"/>
      <c r="AA294" s="741"/>
      <c r="AB294" s="741"/>
      <c r="AC294" s="741"/>
      <c r="AD294" s="741"/>
      <c r="AE294" s="741"/>
      <c r="AF294" s="741"/>
      <c r="AG294" s="741"/>
      <c r="AH294" s="741"/>
      <c r="AI294" s="741"/>
      <c r="AJ294" s="741"/>
      <c r="AK294" s="741"/>
      <c r="AL294" s="741"/>
      <c r="AM294" s="741"/>
      <c r="AN294" s="741"/>
      <c r="AO294" s="741"/>
      <c r="AP294" s="741"/>
      <c r="AQ294" s="741"/>
      <c r="AR294" s="741"/>
    </row>
    <row r="295" spans="1:44">
      <c r="A295" s="741"/>
      <c r="B295" s="741"/>
      <c r="C295" s="741"/>
      <c r="D295" s="741"/>
      <c r="E295" s="741"/>
      <c r="F295" s="741"/>
      <c r="G295" s="741"/>
      <c r="H295" s="741"/>
      <c r="I295" s="741"/>
      <c r="J295" s="741"/>
      <c r="K295" s="741"/>
      <c r="L295" s="741"/>
      <c r="M295" s="741"/>
      <c r="N295" s="741"/>
      <c r="O295" s="741"/>
      <c r="P295" s="741"/>
      <c r="Q295" s="741"/>
      <c r="R295" s="741"/>
      <c r="S295" s="741"/>
      <c r="T295" s="741"/>
      <c r="U295" s="741"/>
      <c r="V295" s="741"/>
      <c r="W295" s="741"/>
      <c r="X295" s="741"/>
      <c r="Y295" s="741"/>
      <c r="Z295" s="741"/>
      <c r="AA295" s="741"/>
      <c r="AB295" s="741"/>
      <c r="AC295" s="741"/>
      <c r="AD295" s="741"/>
      <c r="AE295" s="741"/>
      <c r="AF295" s="741"/>
      <c r="AG295" s="741"/>
      <c r="AH295" s="741"/>
      <c r="AI295" s="741"/>
      <c r="AJ295" s="741"/>
      <c r="AK295" s="741"/>
      <c r="AL295" s="741"/>
      <c r="AM295" s="741"/>
      <c r="AN295" s="741"/>
      <c r="AO295" s="741"/>
      <c r="AP295" s="741"/>
      <c r="AQ295" s="741"/>
      <c r="AR295" s="741"/>
    </row>
    <row r="296" spans="1:44">
      <c r="A296" s="741"/>
      <c r="B296" s="741"/>
      <c r="C296" s="741"/>
      <c r="D296" s="741"/>
      <c r="E296" s="741"/>
      <c r="F296" s="741"/>
      <c r="G296" s="741"/>
      <c r="H296" s="741"/>
      <c r="I296" s="741"/>
      <c r="J296" s="741"/>
      <c r="K296" s="741"/>
      <c r="L296" s="741"/>
      <c r="M296" s="741"/>
      <c r="N296" s="741"/>
      <c r="O296" s="741"/>
      <c r="P296" s="741"/>
      <c r="Q296" s="741"/>
      <c r="R296" s="741"/>
      <c r="S296" s="741"/>
      <c r="T296" s="741"/>
      <c r="U296" s="741"/>
      <c r="V296" s="741"/>
      <c r="W296" s="741"/>
      <c r="X296" s="741"/>
      <c r="Y296" s="741"/>
      <c r="Z296" s="741"/>
      <c r="AA296" s="741"/>
      <c r="AB296" s="741"/>
      <c r="AC296" s="741"/>
      <c r="AD296" s="741"/>
      <c r="AE296" s="741"/>
      <c r="AF296" s="741"/>
      <c r="AG296" s="741"/>
      <c r="AH296" s="741"/>
      <c r="AI296" s="741"/>
      <c r="AJ296" s="741"/>
      <c r="AK296" s="741"/>
      <c r="AL296" s="741"/>
      <c r="AM296" s="741"/>
      <c r="AN296" s="741"/>
      <c r="AO296" s="741"/>
      <c r="AP296" s="741"/>
      <c r="AQ296" s="741"/>
      <c r="AR296" s="741"/>
    </row>
    <row r="297" spans="1:44">
      <c r="A297" s="741"/>
      <c r="B297" s="741"/>
      <c r="C297" s="741"/>
      <c r="D297" s="741"/>
      <c r="E297" s="741"/>
      <c r="F297" s="741"/>
      <c r="G297" s="741"/>
      <c r="H297" s="741"/>
      <c r="I297" s="741"/>
      <c r="J297" s="741"/>
      <c r="K297" s="741"/>
      <c r="L297" s="741"/>
      <c r="M297" s="741"/>
      <c r="N297" s="741"/>
      <c r="O297" s="741"/>
      <c r="P297" s="741"/>
      <c r="Q297" s="741"/>
      <c r="R297" s="741"/>
      <c r="S297" s="741"/>
      <c r="T297" s="741"/>
      <c r="U297" s="741"/>
      <c r="V297" s="741"/>
      <c r="W297" s="741"/>
      <c r="X297" s="741"/>
      <c r="Y297" s="741"/>
      <c r="Z297" s="741"/>
      <c r="AA297" s="741"/>
      <c r="AB297" s="741"/>
      <c r="AC297" s="741"/>
      <c r="AD297" s="741"/>
      <c r="AE297" s="741"/>
      <c r="AF297" s="741"/>
      <c r="AG297" s="741"/>
      <c r="AH297" s="741"/>
      <c r="AI297" s="741"/>
      <c r="AJ297" s="741"/>
      <c r="AK297" s="741"/>
      <c r="AL297" s="741"/>
      <c r="AM297" s="741"/>
      <c r="AN297" s="741"/>
      <c r="AO297" s="741"/>
      <c r="AP297" s="741"/>
      <c r="AQ297" s="741"/>
      <c r="AR297" s="741"/>
    </row>
    <row r="298" spans="1:44">
      <c r="A298" s="741"/>
      <c r="B298" s="741"/>
      <c r="C298" s="741"/>
      <c r="D298" s="741"/>
      <c r="E298" s="741"/>
      <c r="F298" s="741"/>
      <c r="G298" s="741"/>
      <c r="H298" s="741"/>
      <c r="I298" s="741"/>
      <c r="J298" s="741"/>
      <c r="K298" s="741"/>
      <c r="L298" s="741"/>
      <c r="M298" s="741"/>
      <c r="N298" s="741"/>
      <c r="O298" s="741"/>
      <c r="P298" s="741"/>
      <c r="Q298" s="741"/>
      <c r="R298" s="741"/>
      <c r="S298" s="741"/>
      <c r="T298" s="741"/>
      <c r="U298" s="741"/>
      <c r="V298" s="741"/>
      <c r="W298" s="741"/>
      <c r="X298" s="741"/>
      <c r="Y298" s="741"/>
      <c r="Z298" s="741"/>
      <c r="AA298" s="741"/>
      <c r="AB298" s="741"/>
      <c r="AC298" s="741"/>
      <c r="AD298" s="741"/>
      <c r="AE298" s="741"/>
      <c r="AF298" s="741"/>
      <c r="AG298" s="741"/>
      <c r="AH298" s="741"/>
      <c r="AI298" s="741"/>
      <c r="AJ298" s="741"/>
      <c r="AK298" s="741"/>
      <c r="AL298" s="741"/>
      <c r="AM298" s="741"/>
      <c r="AN298" s="741"/>
      <c r="AO298" s="741"/>
      <c r="AP298" s="741"/>
      <c r="AQ298" s="741"/>
      <c r="AR298" s="741"/>
    </row>
    <row r="299" spans="1:44">
      <c r="A299" s="741"/>
      <c r="B299" s="741"/>
      <c r="C299" s="741"/>
      <c r="D299" s="741"/>
      <c r="E299" s="741"/>
      <c r="F299" s="741"/>
      <c r="G299" s="741"/>
      <c r="H299" s="741"/>
      <c r="I299" s="741"/>
      <c r="J299" s="741"/>
      <c r="K299" s="741"/>
      <c r="L299" s="741"/>
      <c r="M299" s="741"/>
      <c r="N299" s="741"/>
      <c r="O299" s="741"/>
      <c r="P299" s="741"/>
      <c r="Q299" s="741"/>
      <c r="R299" s="741"/>
      <c r="S299" s="741"/>
      <c r="T299" s="741"/>
      <c r="U299" s="741"/>
      <c r="V299" s="741"/>
      <c r="W299" s="741"/>
      <c r="X299" s="741"/>
      <c r="Y299" s="741"/>
      <c r="Z299" s="741"/>
      <c r="AA299" s="741"/>
      <c r="AB299" s="741"/>
      <c r="AC299" s="741"/>
      <c r="AD299" s="741"/>
      <c r="AE299" s="741"/>
      <c r="AF299" s="741"/>
      <c r="AG299" s="741"/>
      <c r="AH299" s="741"/>
      <c r="AI299" s="741"/>
      <c r="AJ299" s="741"/>
      <c r="AK299" s="741"/>
      <c r="AL299" s="741"/>
      <c r="AM299" s="741"/>
      <c r="AN299" s="741"/>
      <c r="AO299" s="741"/>
      <c r="AP299" s="741"/>
      <c r="AQ299" s="741"/>
      <c r="AR299" s="741"/>
    </row>
    <row r="300" spans="1:44">
      <c r="A300" s="741"/>
      <c r="B300" s="741"/>
      <c r="C300" s="741"/>
      <c r="D300" s="741"/>
      <c r="E300" s="741"/>
      <c r="F300" s="741"/>
      <c r="G300" s="741"/>
      <c r="H300" s="741"/>
      <c r="I300" s="741"/>
      <c r="J300" s="741"/>
      <c r="K300" s="741"/>
      <c r="L300" s="741"/>
      <c r="M300" s="741"/>
      <c r="N300" s="741"/>
      <c r="O300" s="741"/>
      <c r="P300" s="741"/>
      <c r="Q300" s="741"/>
      <c r="R300" s="741"/>
      <c r="S300" s="741"/>
      <c r="T300" s="741"/>
      <c r="U300" s="741"/>
      <c r="V300" s="741"/>
      <c r="W300" s="741"/>
      <c r="X300" s="741"/>
      <c r="Y300" s="741"/>
      <c r="Z300" s="741"/>
      <c r="AA300" s="741"/>
      <c r="AB300" s="741"/>
      <c r="AC300" s="741"/>
      <c r="AD300" s="741"/>
      <c r="AE300" s="741"/>
      <c r="AF300" s="741"/>
      <c r="AG300" s="741"/>
      <c r="AH300" s="741"/>
      <c r="AI300" s="741"/>
      <c r="AJ300" s="741"/>
      <c r="AK300" s="741"/>
      <c r="AL300" s="741"/>
      <c r="AM300" s="741"/>
      <c r="AN300" s="741"/>
      <c r="AO300" s="741"/>
      <c r="AP300" s="741"/>
      <c r="AQ300" s="741"/>
      <c r="AR300" s="741"/>
    </row>
    <row r="301" spans="1:44">
      <c r="A301" s="741"/>
      <c r="B301" s="741"/>
      <c r="C301" s="741"/>
      <c r="D301" s="741"/>
      <c r="E301" s="741"/>
      <c r="F301" s="741"/>
      <c r="G301" s="741"/>
      <c r="H301" s="741"/>
      <c r="I301" s="741"/>
      <c r="J301" s="741"/>
      <c r="K301" s="741"/>
      <c r="L301" s="741"/>
      <c r="M301" s="741"/>
      <c r="N301" s="741"/>
      <c r="O301" s="741"/>
      <c r="P301" s="741"/>
      <c r="Q301" s="741"/>
      <c r="R301" s="741"/>
      <c r="S301" s="741"/>
      <c r="T301" s="741"/>
      <c r="U301" s="741"/>
      <c r="V301" s="741"/>
      <c r="W301" s="741"/>
      <c r="X301" s="741"/>
      <c r="Y301" s="741"/>
      <c r="Z301" s="741"/>
      <c r="AA301" s="741"/>
      <c r="AB301" s="741"/>
      <c r="AC301" s="741"/>
      <c r="AD301" s="741"/>
      <c r="AE301" s="741"/>
      <c r="AF301" s="741"/>
      <c r="AG301" s="741"/>
      <c r="AH301" s="741"/>
      <c r="AI301" s="741"/>
      <c r="AJ301" s="741"/>
      <c r="AK301" s="741"/>
      <c r="AL301" s="741"/>
      <c r="AM301" s="741"/>
      <c r="AN301" s="741"/>
      <c r="AO301" s="741"/>
      <c r="AP301" s="741"/>
      <c r="AQ301" s="741"/>
      <c r="AR301" s="741"/>
    </row>
    <row r="302" spans="1:44">
      <c r="A302" s="741"/>
      <c r="B302" s="741"/>
      <c r="C302" s="741"/>
      <c r="D302" s="741"/>
      <c r="E302" s="741"/>
      <c r="F302" s="741"/>
      <c r="G302" s="741"/>
      <c r="H302" s="741"/>
      <c r="I302" s="741"/>
      <c r="J302" s="741"/>
      <c r="K302" s="741"/>
      <c r="L302" s="741"/>
      <c r="M302" s="741"/>
      <c r="N302" s="741"/>
      <c r="O302" s="741"/>
      <c r="P302" s="741"/>
      <c r="Q302" s="741"/>
      <c r="R302" s="741"/>
      <c r="S302" s="741"/>
      <c r="T302" s="741"/>
      <c r="U302" s="741"/>
      <c r="V302" s="741"/>
      <c r="W302" s="741"/>
      <c r="X302" s="741"/>
      <c r="Y302" s="741"/>
      <c r="Z302" s="741"/>
      <c r="AA302" s="741"/>
      <c r="AB302" s="741"/>
      <c r="AC302" s="741"/>
      <c r="AD302" s="741"/>
      <c r="AE302" s="741"/>
      <c r="AF302" s="741"/>
      <c r="AG302" s="741"/>
      <c r="AH302" s="741"/>
      <c r="AI302" s="741"/>
      <c r="AJ302" s="741"/>
      <c r="AK302" s="741"/>
      <c r="AL302" s="741"/>
      <c r="AM302" s="741"/>
      <c r="AN302" s="741"/>
      <c r="AO302" s="741"/>
      <c r="AP302" s="741"/>
      <c r="AQ302" s="741"/>
      <c r="AR302" s="741"/>
    </row>
    <row r="303" spans="1:44">
      <c r="A303" s="741"/>
      <c r="B303" s="741"/>
      <c r="C303" s="741"/>
      <c r="D303" s="741"/>
      <c r="E303" s="741"/>
      <c r="F303" s="741"/>
      <c r="G303" s="741"/>
      <c r="H303" s="741"/>
      <c r="I303" s="741"/>
      <c r="J303" s="741"/>
      <c r="K303" s="741"/>
      <c r="L303" s="741"/>
      <c r="M303" s="741"/>
      <c r="N303" s="741"/>
      <c r="O303" s="741"/>
      <c r="P303" s="741"/>
      <c r="Q303" s="741"/>
      <c r="R303" s="741"/>
      <c r="S303" s="741"/>
      <c r="T303" s="741"/>
      <c r="U303" s="741"/>
      <c r="V303" s="741"/>
      <c r="W303" s="741"/>
      <c r="X303" s="741"/>
      <c r="Y303" s="741"/>
      <c r="Z303" s="741"/>
      <c r="AA303" s="741"/>
      <c r="AB303" s="741"/>
      <c r="AC303" s="741"/>
      <c r="AD303" s="741"/>
      <c r="AE303" s="741"/>
      <c r="AF303" s="741"/>
      <c r="AG303" s="741"/>
      <c r="AH303" s="741"/>
      <c r="AI303" s="741"/>
      <c r="AJ303" s="741"/>
      <c r="AK303" s="741"/>
      <c r="AL303" s="741"/>
      <c r="AM303" s="741"/>
      <c r="AN303" s="741"/>
      <c r="AO303" s="741"/>
      <c r="AP303" s="741"/>
      <c r="AQ303" s="741"/>
      <c r="AR303" s="741"/>
    </row>
    <row r="304" spans="1:44">
      <c r="A304" s="741"/>
      <c r="B304" s="741"/>
      <c r="C304" s="741"/>
      <c r="D304" s="741"/>
      <c r="E304" s="741"/>
      <c r="F304" s="741"/>
      <c r="G304" s="741"/>
      <c r="H304" s="741"/>
      <c r="I304" s="741"/>
      <c r="J304" s="741"/>
      <c r="K304" s="741"/>
      <c r="L304" s="741"/>
      <c r="M304" s="741"/>
      <c r="N304" s="741"/>
      <c r="O304" s="741"/>
      <c r="P304" s="741"/>
      <c r="Q304" s="741"/>
      <c r="R304" s="741"/>
      <c r="S304" s="741"/>
      <c r="T304" s="741"/>
      <c r="U304" s="741"/>
      <c r="V304" s="741"/>
      <c r="W304" s="741"/>
      <c r="X304" s="741"/>
      <c r="Y304" s="741"/>
      <c r="Z304" s="741"/>
      <c r="AA304" s="741"/>
      <c r="AB304" s="741"/>
      <c r="AC304" s="741"/>
      <c r="AD304" s="741"/>
      <c r="AE304" s="741"/>
      <c r="AF304" s="741"/>
      <c r="AG304" s="741"/>
      <c r="AH304" s="741"/>
      <c r="AI304" s="741"/>
      <c r="AJ304" s="741"/>
      <c r="AK304" s="741"/>
      <c r="AL304" s="741"/>
      <c r="AM304" s="741"/>
      <c r="AN304" s="741"/>
      <c r="AO304" s="741"/>
      <c r="AP304" s="741"/>
      <c r="AQ304" s="741"/>
      <c r="AR304" s="741"/>
    </row>
    <row r="305" spans="1:44">
      <c r="A305" s="741"/>
      <c r="B305" s="741"/>
      <c r="C305" s="741"/>
      <c r="D305" s="741"/>
      <c r="E305" s="741"/>
      <c r="F305" s="741"/>
      <c r="G305" s="741"/>
      <c r="H305" s="741"/>
      <c r="I305" s="741"/>
      <c r="J305" s="741"/>
      <c r="K305" s="741"/>
      <c r="L305" s="741"/>
      <c r="M305" s="741"/>
      <c r="N305" s="741"/>
      <c r="O305" s="741"/>
      <c r="P305" s="741"/>
      <c r="Q305" s="741"/>
      <c r="R305" s="741"/>
      <c r="S305" s="741"/>
      <c r="T305" s="741"/>
      <c r="U305" s="741"/>
      <c r="V305" s="741"/>
      <c r="W305" s="741"/>
      <c r="X305" s="741"/>
      <c r="Y305" s="741"/>
      <c r="Z305" s="741"/>
      <c r="AA305" s="741"/>
      <c r="AB305" s="741"/>
      <c r="AC305" s="741"/>
      <c r="AD305" s="741"/>
      <c r="AE305" s="741"/>
      <c r="AF305" s="741"/>
      <c r="AG305" s="741"/>
      <c r="AH305" s="741"/>
      <c r="AI305" s="741"/>
      <c r="AJ305" s="741"/>
      <c r="AK305" s="741"/>
      <c r="AL305" s="741"/>
      <c r="AM305" s="741"/>
      <c r="AN305" s="741"/>
      <c r="AO305" s="741"/>
      <c r="AP305" s="741"/>
      <c r="AQ305" s="741"/>
      <c r="AR305" s="741"/>
    </row>
    <row r="306" spans="1:44">
      <c r="A306" s="741"/>
      <c r="B306" s="741"/>
      <c r="C306" s="741"/>
      <c r="D306" s="741"/>
      <c r="E306" s="741"/>
      <c r="F306" s="741"/>
      <c r="G306" s="741"/>
      <c r="H306" s="741"/>
      <c r="I306" s="741"/>
      <c r="J306" s="741"/>
      <c r="K306" s="741"/>
      <c r="L306" s="741"/>
      <c r="M306" s="741"/>
      <c r="N306" s="741"/>
      <c r="O306" s="741"/>
      <c r="P306" s="741"/>
      <c r="Q306" s="741"/>
      <c r="R306" s="741"/>
      <c r="S306" s="741"/>
      <c r="T306" s="741"/>
      <c r="U306" s="741"/>
      <c r="V306" s="741"/>
      <c r="W306" s="741"/>
      <c r="X306" s="741"/>
      <c r="Y306" s="741"/>
      <c r="Z306" s="741"/>
      <c r="AA306" s="741"/>
      <c r="AB306" s="741"/>
      <c r="AC306" s="741"/>
      <c r="AD306" s="741"/>
      <c r="AE306" s="741"/>
      <c r="AF306" s="741"/>
      <c r="AG306" s="741"/>
      <c r="AH306" s="741"/>
      <c r="AI306" s="741"/>
      <c r="AJ306" s="741"/>
      <c r="AK306" s="741"/>
      <c r="AL306" s="741"/>
      <c r="AM306" s="741"/>
      <c r="AN306" s="741"/>
      <c r="AO306" s="741"/>
      <c r="AP306" s="741"/>
      <c r="AQ306" s="741"/>
      <c r="AR306" s="741"/>
    </row>
    <row r="307" spans="1:44">
      <c r="A307" s="741"/>
      <c r="B307" s="741"/>
      <c r="C307" s="741"/>
      <c r="D307" s="741"/>
      <c r="E307" s="741"/>
      <c r="F307" s="741"/>
      <c r="G307" s="741"/>
      <c r="H307" s="741"/>
      <c r="I307" s="741"/>
      <c r="J307" s="741"/>
      <c r="K307" s="741"/>
      <c r="L307" s="741"/>
      <c r="M307" s="741"/>
      <c r="N307" s="741"/>
      <c r="O307" s="741"/>
      <c r="P307" s="741"/>
      <c r="Q307" s="741"/>
      <c r="R307" s="741"/>
      <c r="S307" s="741"/>
      <c r="T307" s="741"/>
      <c r="U307" s="741"/>
      <c r="V307" s="741"/>
      <c r="W307" s="741"/>
      <c r="X307" s="741"/>
      <c r="Y307" s="741"/>
      <c r="Z307" s="741"/>
      <c r="AA307" s="741"/>
      <c r="AB307" s="741"/>
      <c r="AC307" s="741"/>
      <c r="AD307" s="741"/>
      <c r="AE307" s="741"/>
      <c r="AF307" s="741"/>
      <c r="AG307" s="741"/>
      <c r="AH307" s="741"/>
      <c r="AI307" s="741"/>
      <c r="AJ307" s="741"/>
      <c r="AK307" s="741"/>
      <c r="AL307" s="741"/>
      <c r="AM307" s="741"/>
      <c r="AN307" s="741"/>
      <c r="AO307" s="741"/>
      <c r="AP307" s="741"/>
      <c r="AQ307" s="741"/>
      <c r="AR307" s="741"/>
    </row>
    <row r="308" spans="1:44">
      <c r="A308" s="741"/>
      <c r="B308" s="741"/>
      <c r="C308" s="741"/>
      <c r="D308" s="741"/>
      <c r="E308" s="741"/>
      <c r="F308" s="741"/>
      <c r="G308" s="741"/>
      <c r="H308" s="741"/>
      <c r="I308" s="741"/>
      <c r="J308" s="741"/>
      <c r="K308" s="741"/>
      <c r="L308" s="741"/>
      <c r="M308" s="741"/>
      <c r="N308" s="741"/>
      <c r="O308" s="741"/>
      <c r="P308" s="741"/>
      <c r="Q308" s="741"/>
      <c r="R308" s="741"/>
      <c r="S308" s="741"/>
      <c r="T308" s="741"/>
      <c r="U308" s="741"/>
      <c r="V308" s="741"/>
      <c r="W308" s="741"/>
      <c r="X308" s="741"/>
      <c r="Y308" s="741"/>
      <c r="Z308" s="741"/>
      <c r="AA308" s="741"/>
      <c r="AB308" s="741"/>
      <c r="AC308" s="741"/>
      <c r="AD308" s="741"/>
      <c r="AE308" s="741"/>
      <c r="AF308" s="741"/>
      <c r="AG308" s="741"/>
      <c r="AH308" s="741"/>
      <c r="AI308" s="741"/>
      <c r="AJ308" s="741"/>
      <c r="AK308" s="741"/>
      <c r="AL308" s="741"/>
      <c r="AM308" s="741"/>
      <c r="AN308" s="741"/>
      <c r="AO308" s="741"/>
      <c r="AP308" s="741"/>
      <c r="AQ308" s="741"/>
      <c r="AR308" s="741"/>
    </row>
    <row r="309" spans="1:44">
      <c r="A309" s="741"/>
      <c r="B309" s="741"/>
      <c r="C309" s="741"/>
      <c r="D309" s="741"/>
      <c r="E309" s="741"/>
      <c r="F309" s="741"/>
      <c r="G309" s="741"/>
      <c r="H309" s="741"/>
      <c r="I309" s="741"/>
      <c r="J309" s="741"/>
      <c r="K309" s="741"/>
      <c r="L309" s="741"/>
      <c r="M309" s="741"/>
      <c r="N309" s="741"/>
      <c r="O309" s="741"/>
      <c r="P309" s="741"/>
      <c r="Q309" s="741"/>
      <c r="R309" s="741"/>
      <c r="S309" s="741"/>
      <c r="T309" s="741"/>
      <c r="U309" s="741"/>
      <c r="V309" s="741"/>
      <c r="W309" s="741"/>
      <c r="X309" s="741"/>
      <c r="Y309" s="741"/>
      <c r="Z309" s="741"/>
      <c r="AA309" s="741"/>
      <c r="AB309" s="741"/>
      <c r="AC309" s="741"/>
      <c r="AD309" s="741"/>
      <c r="AE309" s="741"/>
      <c r="AF309" s="741"/>
      <c r="AG309" s="741"/>
      <c r="AH309" s="741"/>
      <c r="AI309" s="741"/>
      <c r="AJ309" s="741"/>
      <c r="AK309" s="741"/>
      <c r="AL309" s="741"/>
      <c r="AM309" s="741"/>
      <c r="AN309" s="741"/>
      <c r="AO309" s="741"/>
      <c r="AP309" s="741"/>
      <c r="AQ309" s="741"/>
      <c r="AR309" s="741"/>
    </row>
    <row r="310" spans="1:44">
      <c r="A310" s="741"/>
      <c r="B310" s="741"/>
      <c r="C310" s="741"/>
      <c r="D310" s="741"/>
      <c r="E310" s="741"/>
      <c r="F310" s="741"/>
      <c r="G310" s="741"/>
      <c r="H310" s="741"/>
      <c r="I310" s="741"/>
      <c r="J310" s="741"/>
      <c r="K310" s="741"/>
      <c r="L310" s="741"/>
      <c r="M310" s="741"/>
      <c r="N310" s="741"/>
      <c r="O310" s="741"/>
      <c r="P310" s="741"/>
      <c r="Q310" s="741"/>
      <c r="R310" s="741"/>
      <c r="S310" s="741"/>
      <c r="T310" s="741"/>
      <c r="U310" s="741"/>
      <c r="V310" s="741"/>
      <c r="W310" s="741"/>
      <c r="X310" s="741"/>
      <c r="Y310" s="741"/>
      <c r="Z310" s="741"/>
      <c r="AA310" s="741"/>
      <c r="AB310" s="741"/>
      <c r="AC310" s="741"/>
      <c r="AD310" s="741"/>
      <c r="AE310" s="741"/>
      <c r="AF310" s="741"/>
      <c r="AG310" s="741"/>
      <c r="AH310" s="741"/>
      <c r="AI310" s="741"/>
      <c r="AJ310" s="741"/>
      <c r="AK310" s="741"/>
      <c r="AL310" s="741"/>
      <c r="AM310" s="741"/>
      <c r="AN310" s="741"/>
      <c r="AO310" s="741"/>
      <c r="AP310" s="741"/>
      <c r="AQ310" s="741"/>
      <c r="AR310" s="741"/>
    </row>
    <row r="311" spans="1:44">
      <c r="A311" s="741"/>
      <c r="B311" s="741"/>
      <c r="C311" s="741"/>
      <c r="D311" s="741"/>
      <c r="E311" s="741"/>
      <c r="F311" s="741"/>
      <c r="G311" s="741"/>
      <c r="H311" s="741"/>
      <c r="I311" s="741"/>
      <c r="J311" s="741"/>
      <c r="K311" s="741"/>
      <c r="L311" s="741"/>
      <c r="M311" s="741"/>
      <c r="N311" s="741"/>
      <c r="O311" s="741"/>
      <c r="P311" s="741"/>
      <c r="Q311" s="741"/>
      <c r="R311" s="741"/>
      <c r="S311" s="741"/>
      <c r="T311" s="741"/>
      <c r="U311" s="741"/>
      <c r="V311" s="741"/>
      <c r="W311" s="741"/>
      <c r="X311" s="741"/>
      <c r="Y311" s="741"/>
      <c r="Z311" s="741"/>
      <c r="AA311" s="741"/>
      <c r="AB311" s="741"/>
      <c r="AC311" s="741"/>
      <c r="AD311" s="741"/>
      <c r="AE311" s="741"/>
      <c r="AF311" s="741"/>
      <c r="AG311" s="741"/>
      <c r="AH311" s="741"/>
      <c r="AI311" s="741"/>
      <c r="AJ311" s="741"/>
      <c r="AK311" s="741"/>
      <c r="AL311" s="741"/>
      <c r="AM311" s="741"/>
      <c r="AN311" s="741"/>
      <c r="AO311" s="741"/>
      <c r="AP311" s="741"/>
      <c r="AQ311" s="741"/>
      <c r="AR311" s="741"/>
    </row>
    <row r="312" spans="1:44">
      <c r="A312" s="741"/>
      <c r="B312" s="741"/>
      <c r="C312" s="741"/>
      <c r="D312" s="741"/>
      <c r="E312" s="741"/>
      <c r="F312" s="741"/>
      <c r="G312" s="741"/>
      <c r="H312" s="741"/>
      <c r="I312" s="741"/>
      <c r="J312" s="741"/>
      <c r="K312" s="741"/>
      <c r="L312" s="741"/>
      <c r="M312" s="741"/>
      <c r="N312" s="741"/>
      <c r="O312" s="741"/>
      <c r="P312" s="741"/>
      <c r="Q312" s="741"/>
      <c r="R312" s="741"/>
      <c r="S312" s="741"/>
      <c r="T312" s="741"/>
      <c r="U312" s="741"/>
      <c r="V312" s="741"/>
      <c r="W312" s="741"/>
      <c r="X312" s="741"/>
      <c r="Y312" s="741"/>
      <c r="Z312" s="741"/>
      <c r="AA312" s="741"/>
      <c r="AB312" s="741"/>
      <c r="AC312" s="741"/>
      <c r="AD312" s="741"/>
      <c r="AE312" s="741"/>
      <c r="AF312" s="741"/>
      <c r="AG312" s="741"/>
      <c r="AH312" s="741"/>
      <c r="AI312" s="741"/>
      <c r="AJ312" s="741"/>
      <c r="AK312" s="741"/>
      <c r="AL312" s="741"/>
      <c r="AM312" s="741"/>
      <c r="AN312" s="741"/>
      <c r="AO312" s="741"/>
      <c r="AP312" s="741"/>
      <c r="AQ312" s="741"/>
      <c r="AR312" s="741"/>
    </row>
    <row r="313" spans="1:44">
      <c r="A313" s="741"/>
      <c r="B313" s="741"/>
      <c r="C313" s="741"/>
      <c r="D313" s="741"/>
      <c r="E313" s="741"/>
      <c r="F313" s="741"/>
      <c r="G313" s="741"/>
      <c r="H313" s="741"/>
      <c r="I313" s="741"/>
      <c r="J313" s="741"/>
      <c r="K313" s="741"/>
      <c r="L313" s="741"/>
      <c r="M313" s="741"/>
      <c r="N313" s="741"/>
      <c r="O313" s="741"/>
      <c r="P313" s="741"/>
      <c r="Q313" s="741"/>
      <c r="R313" s="741"/>
      <c r="S313" s="741"/>
      <c r="T313" s="741"/>
      <c r="U313" s="741"/>
      <c r="V313" s="741"/>
      <c r="W313" s="741"/>
      <c r="X313" s="741"/>
      <c r="Y313" s="741"/>
      <c r="Z313" s="741"/>
      <c r="AA313" s="741"/>
      <c r="AB313" s="741"/>
      <c r="AC313" s="741"/>
      <c r="AD313" s="741"/>
      <c r="AE313" s="741"/>
      <c r="AF313" s="741"/>
      <c r="AG313" s="741"/>
      <c r="AH313" s="741"/>
      <c r="AI313" s="741"/>
      <c r="AJ313" s="741"/>
      <c r="AK313" s="741"/>
      <c r="AL313" s="741"/>
      <c r="AM313" s="741"/>
      <c r="AN313" s="741"/>
      <c r="AO313" s="741"/>
      <c r="AP313" s="741"/>
      <c r="AQ313" s="741"/>
      <c r="AR313" s="741"/>
    </row>
    <row r="314" spans="1:44">
      <c r="A314" s="741"/>
      <c r="B314" s="741"/>
      <c r="C314" s="741"/>
      <c r="D314" s="741"/>
      <c r="E314" s="741"/>
      <c r="F314" s="741"/>
      <c r="G314" s="741"/>
      <c r="H314" s="741"/>
      <c r="I314" s="741"/>
      <c r="J314" s="741"/>
      <c r="K314" s="741"/>
      <c r="L314" s="741"/>
      <c r="M314" s="741"/>
      <c r="N314" s="741"/>
      <c r="O314" s="741"/>
      <c r="P314" s="741"/>
      <c r="Q314" s="741"/>
      <c r="R314" s="741"/>
      <c r="S314" s="741"/>
      <c r="T314" s="741"/>
      <c r="U314" s="741"/>
      <c r="V314" s="741"/>
      <c r="W314" s="741"/>
      <c r="X314" s="741"/>
      <c r="Y314" s="741"/>
      <c r="Z314" s="741"/>
      <c r="AA314" s="741"/>
      <c r="AB314" s="741"/>
      <c r="AC314" s="741"/>
      <c r="AD314" s="741"/>
      <c r="AE314" s="741"/>
      <c r="AF314" s="741"/>
      <c r="AG314" s="741"/>
      <c r="AH314" s="741"/>
      <c r="AI314" s="741"/>
      <c r="AJ314" s="741"/>
      <c r="AK314" s="741"/>
      <c r="AL314" s="741"/>
      <c r="AM314" s="741"/>
      <c r="AN314" s="741"/>
      <c r="AO314" s="741"/>
      <c r="AP314" s="741"/>
      <c r="AQ314" s="741"/>
      <c r="AR314" s="741"/>
    </row>
    <row r="315" spans="1:44">
      <c r="A315" s="741"/>
      <c r="B315" s="741"/>
      <c r="C315" s="741"/>
      <c r="D315" s="741"/>
      <c r="E315" s="741"/>
      <c r="F315" s="741"/>
      <c r="G315" s="741"/>
      <c r="H315" s="741"/>
      <c r="I315" s="741"/>
      <c r="J315" s="741"/>
      <c r="K315" s="741"/>
      <c r="L315" s="741"/>
      <c r="M315" s="741"/>
      <c r="N315" s="741"/>
      <c r="O315" s="741"/>
      <c r="P315" s="741"/>
      <c r="Q315" s="741"/>
      <c r="R315" s="741"/>
      <c r="S315" s="741"/>
      <c r="T315" s="741"/>
      <c r="U315" s="741"/>
      <c r="V315" s="741"/>
      <c r="W315" s="741"/>
      <c r="X315" s="741"/>
      <c r="Y315" s="741"/>
      <c r="Z315" s="741"/>
      <c r="AA315" s="741"/>
      <c r="AB315" s="741"/>
      <c r="AC315" s="741"/>
      <c r="AD315" s="741"/>
      <c r="AE315" s="741"/>
      <c r="AF315" s="741"/>
      <c r="AG315" s="741"/>
      <c r="AH315" s="741"/>
      <c r="AI315" s="741"/>
      <c r="AJ315" s="741"/>
      <c r="AK315" s="741"/>
      <c r="AL315" s="741"/>
      <c r="AM315" s="741"/>
      <c r="AN315" s="741"/>
      <c r="AO315" s="741"/>
      <c r="AP315" s="741"/>
      <c r="AQ315" s="741"/>
      <c r="AR315" s="741"/>
    </row>
    <row r="316" spans="1:44">
      <c r="A316" s="741"/>
      <c r="B316" s="741"/>
      <c r="C316" s="741"/>
      <c r="D316" s="741"/>
      <c r="E316" s="741"/>
      <c r="F316" s="741"/>
      <c r="G316" s="741"/>
      <c r="H316" s="741"/>
      <c r="I316" s="741"/>
      <c r="J316" s="741"/>
      <c r="K316" s="741"/>
      <c r="L316" s="741"/>
      <c r="M316" s="741"/>
      <c r="N316" s="741"/>
      <c r="O316" s="741"/>
      <c r="P316" s="741"/>
      <c r="Q316" s="741"/>
      <c r="R316" s="741"/>
      <c r="S316" s="741"/>
      <c r="T316" s="741"/>
      <c r="U316" s="741"/>
      <c r="V316" s="741"/>
      <c r="W316" s="741"/>
      <c r="X316" s="741"/>
      <c r="Y316" s="741"/>
      <c r="Z316" s="741"/>
      <c r="AA316" s="741"/>
      <c r="AB316" s="741"/>
      <c r="AC316" s="741"/>
      <c r="AD316" s="741"/>
      <c r="AE316" s="741"/>
      <c r="AF316" s="741"/>
      <c r="AG316" s="741"/>
      <c r="AH316" s="741"/>
      <c r="AI316" s="741"/>
      <c r="AJ316" s="741"/>
      <c r="AK316" s="741"/>
      <c r="AL316" s="741"/>
      <c r="AM316" s="741"/>
      <c r="AN316" s="741"/>
      <c r="AO316" s="741"/>
      <c r="AP316" s="741"/>
      <c r="AQ316" s="741"/>
      <c r="AR316" s="741"/>
    </row>
    <row r="317" spans="1:44">
      <c r="A317" s="741"/>
      <c r="B317" s="741"/>
      <c r="C317" s="741"/>
      <c r="D317" s="741"/>
      <c r="E317" s="741"/>
      <c r="F317" s="741"/>
      <c r="G317" s="741"/>
      <c r="H317" s="741"/>
      <c r="I317" s="741"/>
      <c r="J317" s="741"/>
      <c r="K317" s="741"/>
      <c r="L317" s="741"/>
      <c r="M317" s="741"/>
      <c r="N317" s="741"/>
      <c r="O317" s="741"/>
      <c r="P317" s="741"/>
      <c r="Q317" s="741"/>
      <c r="R317" s="741"/>
      <c r="S317" s="741"/>
      <c r="T317" s="741"/>
      <c r="U317" s="741"/>
      <c r="V317" s="741"/>
      <c r="W317" s="741"/>
      <c r="X317" s="741"/>
      <c r="Y317" s="741"/>
      <c r="Z317" s="741"/>
      <c r="AA317" s="741"/>
      <c r="AB317" s="741"/>
      <c r="AC317" s="741"/>
      <c r="AD317" s="741"/>
      <c r="AE317" s="741"/>
      <c r="AF317" s="741"/>
      <c r="AG317" s="741"/>
      <c r="AH317" s="741"/>
      <c r="AI317" s="741"/>
      <c r="AJ317" s="741"/>
      <c r="AK317" s="741"/>
      <c r="AL317" s="741"/>
      <c r="AM317" s="741"/>
      <c r="AN317" s="741"/>
      <c r="AO317" s="741"/>
      <c r="AP317" s="741"/>
      <c r="AQ317" s="741"/>
      <c r="AR317" s="741"/>
    </row>
    <row r="318" spans="1:44">
      <c r="A318" s="741"/>
      <c r="B318" s="741"/>
      <c r="C318" s="741"/>
      <c r="D318" s="741"/>
      <c r="E318" s="741"/>
      <c r="F318" s="741"/>
      <c r="G318" s="741"/>
      <c r="H318" s="741"/>
      <c r="I318" s="741"/>
      <c r="J318" s="741"/>
      <c r="K318" s="741"/>
      <c r="L318" s="741"/>
      <c r="M318" s="741"/>
      <c r="N318" s="741"/>
      <c r="O318" s="741"/>
      <c r="P318" s="741"/>
      <c r="Q318" s="741"/>
      <c r="R318" s="741"/>
      <c r="S318" s="741"/>
      <c r="T318" s="741"/>
      <c r="U318" s="741"/>
      <c r="V318" s="741"/>
      <c r="W318" s="741"/>
      <c r="X318" s="741"/>
      <c r="Y318" s="741"/>
      <c r="Z318" s="741"/>
      <c r="AA318" s="741"/>
      <c r="AB318" s="741"/>
      <c r="AC318" s="741"/>
      <c r="AD318" s="741"/>
      <c r="AE318" s="741"/>
      <c r="AF318" s="741"/>
      <c r="AG318" s="741"/>
      <c r="AH318" s="741"/>
      <c r="AI318" s="741"/>
      <c r="AJ318" s="741"/>
      <c r="AK318" s="741"/>
      <c r="AL318" s="741"/>
      <c r="AM318" s="741"/>
      <c r="AN318" s="741"/>
      <c r="AO318" s="741"/>
      <c r="AP318" s="741"/>
      <c r="AQ318" s="741"/>
      <c r="AR318" s="741"/>
    </row>
    <row r="319" spans="1:44">
      <c r="A319" s="741"/>
      <c r="B319" s="741"/>
      <c r="C319" s="741"/>
      <c r="D319" s="741"/>
      <c r="E319" s="741"/>
      <c r="F319" s="741"/>
      <c r="G319" s="741"/>
      <c r="H319" s="741"/>
      <c r="I319" s="741"/>
      <c r="J319" s="741"/>
      <c r="K319" s="741"/>
      <c r="L319" s="741"/>
      <c r="M319" s="741"/>
      <c r="N319" s="741"/>
      <c r="O319" s="741"/>
      <c r="P319" s="741"/>
      <c r="Q319" s="741"/>
      <c r="R319" s="741"/>
      <c r="S319" s="741"/>
      <c r="T319" s="741"/>
      <c r="U319" s="741"/>
      <c r="V319" s="741"/>
      <c r="W319" s="741"/>
      <c r="X319" s="741"/>
      <c r="Y319" s="741"/>
      <c r="Z319" s="741"/>
      <c r="AA319" s="741"/>
      <c r="AB319" s="741"/>
      <c r="AC319" s="741"/>
      <c r="AD319" s="741"/>
      <c r="AE319" s="741"/>
      <c r="AF319" s="741"/>
      <c r="AG319" s="741"/>
      <c r="AH319" s="741"/>
      <c r="AI319" s="741"/>
      <c r="AJ319" s="741"/>
      <c r="AK319" s="741"/>
      <c r="AL319" s="741"/>
      <c r="AM319" s="741"/>
      <c r="AN319" s="741"/>
      <c r="AO319" s="741"/>
      <c r="AP319" s="741"/>
      <c r="AQ319" s="741"/>
      <c r="AR319" s="741"/>
    </row>
    <row r="320" spans="1:44">
      <c r="A320" s="741"/>
      <c r="B320" s="741"/>
      <c r="C320" s="741"/>
      <c r="D320" s="741"/>
      <c r="E320" s="741"/>
      <c r="F320" s="741"/>
      <c r="G320" s="741"/>
      <c r="H320" s="741"/>
      <c r="I320" s="741"/>
      <c r="J320" s="741"/>
      <c r="K320" s="741"/>
      <c r="L320" s="741"/>
      <c r="M320" s="741"/>
      <c r="N320" s="741"/>
      <c r="O320" s="741"/>
      <c r="P320" s="741"/>
      <c r="Q320" s="741"/>
      <c r="R320" s="741"/>
      <c r="S320" s="741"/>
      <c r="T320" s="741"/>
      <c r="U320" s="741"/>
      <c r="V320" s="741"/>
      <c r="W320" s="741"/>
      <c r="X320" s="741"/>
      <c r="Y320" s="741"/>
      <c r="Z320" s="741"/>
      <c r="AA320" s="741"/>
      <c r="AB320" s="741"/>
      <c r="AC320" s="741"/>
      <c r="AD320" s="741"/>
      <c r="AE320" s="741"/>
      <c r="AF320" s="741"/>
      <c r="AG320" s="741"/>
      <c r="AH320" s="741"/>
      <c r="AI320" s="741"/>
      <c r="AJ320" s="741"/>
      <c r="AK320" s="741"/>
      <c r="AL320" s="741"/>
      <c r="AM320" s="741"/>
      <c r="AN320" s="741"/>
      <c r="AO320" s="741"/>
      <c r="AP320" s="741"/>
      <c r="AQ320" s="741"/>
      <c r="AR320" s="741"/>
    </row>
    <row r="321" spans="1:44">
      <c r="A321" s="741"/>
      <c r="B321" s="741"/>
      <c r="C321" s="741"/>
      <c r="D321" s="741"/>
      <c r="E321" s="741"/>
      <c r="F321" s="741"/>
      <c r="G321" s="741"/>
      <c r="H321" s="741"/>
      <c r="I321" s="741"/>
      <c r="J321" s="741"/>
      <c r="K321" s="741"/>
      <c r="L321" s="741"/>
      <c r="M321" s="741"/>
      <c r="N321" s="741"/>
      <c r="O321" s="741"/>
      <c r="P321" s="741"/>
      <c r="Q321" s="741"/>
      <c r="R321" s="741"/>
      <c r="S321" s="741"/>
      <c r="T321" s="741"/>
      <c r="U321" s="741"/>
      <c r="V321" s="741"/>
      <c r="W321" s="741"/>
      <c r="X321" s="741"/>
      <c r="Y321" s="741"/>
      <c r="Z321" s="741"/>
      <c r="AA321" s="741"/>
      <c r="AB321" s="741"/>
      <c r="AC321" s="741"/>
      <c r="AD321" s="741"/>
      <c r="AE321" s="741"/>
      <c r="AF321" s="741"/>
      <c r="AG321" s="741"/>
      <c r="AH321" s="741"/>
      <c r="AI321" s="741"/>
      <c r="AJ321" s="741"/>
      <c r="AK321" s="741"/>
      <c r="AL321" s="741"/>
      <c r="AM321" s="741"/>
      <c r="AN321" s="741"/>
      <c r="AO321" s="741"/>
      <c r="AP321" s="741"/>
      <c r="AQ321" s="741"/>
      <c r="AR321" s="741"/>
    </row>
    <row r="322" spans="1:44">
      <c r="A322" s="741"/>
      <c r="B322" s="741"/>
      <c r="C322" s="741"/>
      <c r="D322" s="741"/>
      <c r="E322" s="741"/>
      <c r="F322" s="741"/>
      <c r="G322" s="741"/>
      <c r="H322" s="741"/>
      <c r="I322" s="741"/>
      <c r="J322" s="741"/>
      <c r="K322" s="741"/>
      <c r="L322" s="741"/>
      <c r="M322" s="741"/>
      <c r="N322" s="741"/>
      <c r="O322" s="741"/>
      <c r="P322" s="741"/>
      <c r="Q322" s="741"/>
      <c r="R322" s="741"/>
      <c r="S322" s="741"/>
      <c r="T322" s="741"/>
      <c r="U322" s="741"/>
      <c r="V322" s="741"/>
      <c r="W322" s="741"/>
      <c r="X322" s="741"/>
      <c r="Y322" s="741"/>
      <c r="Z322" s="741"/>
      <c r="AA322" s="741"/>
      <c r="AB322" s="741"/>
      <c r="AC322" s="741"/>
      <c r="AD322" s="741"/>
      <c r="AE322" s="741"/>
      <c r="AF322" s="741"/>
      <c r="AG322" s="741"/>
      <c r="AH322" s="741"/>
      <c r="AI322" s="741"/>
      <c r="AJ322" s="741"/>
      <c r="AK322" s="741"/>
      <c r="AL322" s="741"/>
      <c r="AM322" s="741"/>
      <c r="AN322" s="741"/>
      <c r="AO322" s="741"/>
      <c r="AP322" s="741"/>
      <c r="AQ322" s="741"/>
      <c r="AR322" s="741"/>
    </row>
    <row r="323" spans="1:44">
      <c r="A323" s="741"/>
      <c r="B323" s="741"/>
      <c r="C323" s="741"/>
      <c r="D323" s="741"/>
      <c r="E323" s="741"/>
      <c r="F323" s="741"/>
      <c r="G323" s="741"/>
      <c r="H323" s="741"/>
      <c r="I323" s="741"/>
      <c r="J323" s="741"/>
      <c r="K323" s="741"/>
      <c r="L323" s="741"/>
      <c r="M323" s="741"/>
      <c r="N323" s="741"/>
      <c r="O323" s="741"/>
      <c r="P323" s="741"/>
      <c r="Q323" s="741"/>
      <c r="R323" s="741"/>
      <c r="S323" s="741"/>
      <c r="T323" s="741"/>
      <c r="U323" s="741"/>
      <c r="V323" s="741"/>
      <c r="W323" s="741"/>
      <c r="X323" s="741"/>
      <c r="Y323" s="741"/>
      <c r="Z323" s="741"/>
      <c r="AA323" s="741"/>
      <c r="AB323" s="741"/>
      <c r="AC323" s="741"/>
      <c r="AD323" s="741"/>
      <c r="AE323" s="741"/>
      <c r="AF323" s="741"/>
      <c r="AG323" s="741"/>
      <c r="AH323" s="741"/>
      <c r="AI323" s="741"/>
      <c r="AJ323" s="741"/>
      <c r="AK323" s="741"/>
      <c r="AL323" s="741"/>
      <c r="AM323" s="741"/>
      <c r="AN323" s="741"/>
      <c r="AO323" s="741"/>
      <c r="AP323" s="741"/>
      <c r="AQ323" s="741"/>
      <c r="AR323" s="741"/>
    </row>
    <row r="324" spans="1:44">
      <c r="A324" s="741"/>
      <c r="B324" s="741"/>
      <c r="C324" s="741"/>
      <c r="D324" s="741"/>
      <c r="E324" s="741"/>
      <c r="F324" s="741"/>
      <c r="G324" s="741"/>
      <c r="H324" s="741"/>
      <c r="I324" s="741"/>
      <c r="J324" s="741"/>
      <c r="K324" s="741"/>
      <c r="L324" s="741"/>
      <c r="M324" s="741"/>
      <c r="N324" s="741"/>
      <c r="O324" s="741"/>
      <c r="P324" s="741"/>
      <c r="Q324" s="741"/>
      <c r="R324" s="741"/>
      <c r="S324" s="741"/>
      <c r="T324" s="741"/>
      <c r="U324" s="741"/>
      <c r="V324" s="741"/>
      <c r="W324" s="741"/>
      <c r="X324" s="741"/>
      <c r="Y324" s="741"/>
      <c r="Z324" s="741"/>
      <c r="AA324" s="741"/>
      <c r="AB324" s="741"/>
      <c r="AC324" s="741"/>
      <c r="AD324" s="741"/>
      <c r="AE324" s="741"/>
      <c r="AF324" s="741"/>
      <c r="AG324" s="741"/>
      <c r="AH324" s="741"/>
      <c r="AI324" s="741"/>
      <c r="AJ324" s="741"/>
      <c r="AK324" s="741"/>
      <c r="AL324" s="741"/>
      <c r="AM324" s="741"/>
      <c r="AN324" s="741"/>
      <c r="AO324" s="741"/>
      <c r="AP324" s="741"/>
      <c r="AQ324" s="741"/>
      <c r="AR324" s="741"/>
    </row>
    <row r="325" spans="1:44">
      <c r="A325" s="741"/>
      <c r="B325" s="741"/>
      <c r="C325" s="741"/>
      <c r="D325" s="741"/>
      <c r="E325" s="741"/>
      <c r="F325" s="741"/>
      <c r="G325" s="741"/>
      <c r="H325" s="741"/>
      <c r="I325" s="741"/>
      <c r="J325" s="741"/>
      <c r="K325" s="741"/>
      <c r="L325" s="741"/>
      <c r="M325" s="741"/>
      <c r="N325" s="741"/>
      <c r="O325" s="741"/>
      <c r="P325" s="741"/>
      <c r="Q325" s="741"/>
      <c r="R325" s="741"/>
      <c r="S325" s="741"/>
      <c r="T325" s="741"/>
      <c r="U325" s="741"/>
      <c r="V325" s="741"/>
      <c r="W325" s="741"/>
      <c r="X325" s="741"/>
      <c r="Y325" s="741"/>
      <c r="Z325" s="741"/>
      <c r="AA325" s="741"/>
      <c r="AB325" s="741"/>
      <c r="AC325" s="741"/>
      <c r="AD325" s="741"/>
      <c r="AE325" s="741"/>
      <c r="AF325" s="741"/>
      <c r="AG325" s="741"/>
      <c r="AH325" s="741"/>
      <c r="AI325" s="741"/>
      <c r="AJ325" s="741"/>
      <c r="AK325" s="741"/>
      <c r="AL325" s="741"/>
      <c r="AM325" s="741"/>
      <c r="AN325" s="741"/>
      <c r="AO325" s="741"/>
      <c r="AP325" s="741"/>
      <c r="AQ325" s="741"/>
      <c r="AR325" s="741"/>
    </row>
    <row r="326" spans="1:44">
      <c r="A326" s="741"/>
      <c r="B326" s="741"/>
      <c r="C326" s="741"/>
      <c r="D326" s="741"/>
      <c r="E326" s="741"/>
      <c r="F326" s="741"/>
      <c r="G326" s="741"/>
      <c r="H326" s="741"/>
      <c r="I326" s="741"/>
      <c r="J326" s="741"/>
      <c r="K326" s="741"/>
      <c r="L326" s="741"/>
      <c r="M326" s="741"/>
      <c r="N326" s="741"/>
      <c r="O326" s="741"/>
      <c r="P326" s="741"/>
      <c r="Q326" s="741"/>
      <c r="R326" s="741"/>
      <c r="S326" s="741"/>
      <c r="T326" s="741"/>
      <c r="U326" s="741"/>
      <c r="V326" s="741"/>
      <c r="W326" s="741"/>
      <c r="X326" s="741"/>
      <c r="Y326" s="741"/>
      <c r="Z326" s="741"/>
      <c r="AA326" s="741"/>
      <c r="AB326" s="741"/>
      <c r="AC326" s="741"/>
      <c r="AD326" s="741"/>
      <c r="AE326" s="741"/>
      <c r="AF326" s="741"/>
      <c r="AG326" s="741"/>
      <c r="AH326" s="741"/>
      <c r="AI326" s="741"/>
      <c r="AJ326" s="741"/>
      <c r="AK326" s="741"/>
      <c r="AL326" s="741"/>
      <c r="AM326" s="741"/>
      <c r="AN326" s="741"/>
      <c r="AO326" s="741"/>
      <c r="AP326" s="741"/>
      <c r="AQ326" s="741"/>
      <c r="AR326" s="741"/>
    </row>
    <row r="327" spans="1:44">
      <c r="A327" s="741"/>
      <c r="B327" s="741"/>
      <c r="C327" s="741"/>
      <c r="D327" s="741"/>
      <c r="E327" s="741"/>
      <c r="F327" s="741"/>
      <c r="G327" s="741"/>
      <c r="H327" s="741"/>
      <c r="I327" s="741"/>
      <c r="J327" s="741"/>
      <c r="K327" s="741"/>
      <c r="L327" s="741"/>
      <c r="M327" s="741"/>
      <c r="N327" s="741"/>
      <c r="O327" s="741"/>
      <c r="P327" s="741"/>
      <c r="Q327" s="741"/>
      <c r="R327" s="741"/>
      <c r="S327" s="741"/>
      <c r="T327" s="741"/>
      <c r="U327" s="741"/>
      <c r="V327" s="741"/>
      <c r="W327" s="741"/>
      <c r="X327" s="741"/>
      <c r="Y327" s="741"/>
      <c r="Z327" s="741"/>
      <c r="AA327" s="741"/>
      <c r="AB327" s="741"/>
      <c r="AC327" s="741"/>
      <c r="AD327" s="741"/>
      <c r="AE327" s="741"/>
      <c r="AF327" s="741"/>
      <c r="AG327" s="741"/>
      <c r="AH327" s="741"/>
      <c r="AI327" s="741"/>
      <c r="AJ327" s="741"/>
      <c r="AK327" s="741"/>
      <c r="AL327" s="741"/>
      <c r="AM327" s="741"/>
      <c r="AN327" s="741"/>
      <c r="AO327" s="741"/>
      <c r="AP327" s="741"/>
      <c r="AQ327" s="741"/>
      <c r="AR327" s="741"/>
    </row>
    <row r="328" spans="1:44">
      <c r="A328" s="741"/>
      <c r="B328" s="741"/>
      <c r="C328" s="741"/>
      <c r="D328" s="741"/>
      <c r="E328" s="741"/>
      <c r="F328" s="741"/>
      <c r="G328" s="741"/>
      <c r="H328" s="741"/>
      <c r="I328" s="741"/>
      <c r="J328" s="741"/>
      <c r="K328" s="741"/>
      <c r="L328" s="741"/>
      <c r="M328" s="741"/>
      <c r="N328" s="741"/>
      <c r="O328" s="741"/>
      <c r="P328" s="741"/>
      <c r="Q328" s="741"/>
      <c r="R328" s="741"/>
      <c r="S328" s="741"/>
      <c r="T328" s="741"/>
      <c r="U328" s="741"/>
      <c r="V328" s="741"/>
      <c r="W328" s="741"/>
      <c r="X328" s="741"/>
      <c r="Y328" s="741"/>
      <c r="Z328" s="741"/>
      <c r="AA328" s="741"/>
      <c r="AB328" s="741"/>
      <c r="AC328" s="741"/>
      <c r="AD328" s="741"/>
      <c r="AE328" s="741"/>
      <c r="AF328" s="741"/>
      <c r="AG328" s="741"/>
      <c r="AH328" s="741"/>
      <c r="AI328" s="741"/>
      <c r="AJ328" s="741"/>
      <c r="AK328" s="741"/>
      <c r="AL328" s="741"/>
      <c r="AM328" s="741"/>
      <c r="AN328" s="741"/>
      <c r="AO328" s="741"/>
      <c r="AP328" s="741"/>
      <c r="AQ328" s="741"/>
      <c r="AR328" s="741"/>
    </row>
    <row r="329" spans="1:44">
      <c r="A329" s="741"/>
      <c r="B329" s="741"/>
      <c r="C329" s="741"/>
      <c r="D329" s="741"/>
      <c r="E329" s="741"/>
      <c r="F329" s="741"/>
      <c r="G329" s="741"/>
      <c r="H329" s="741"/>
      <c r="I329" s="741"/>
      <c r="J329" s="741"/>
      <c r="K329" s="741"/>
      <c r="L329" s="741"/>
      <c r="M329" s="741"/>
      <c r="N329" s="741"/>
      <c r="O329" s="741"/>
      <c r="P329" s="741"/>
      <c r="Q329" s="741"/>
      <c r="R329" s="741"/>
      <c r="S329" s="741"/>
      <c r="T329" s="741"/>
      <c r="U329" s="741"/>
      <c r="V329" s="741"/>
      <c r="W329" s="741"/>
      <c r="X329" s="741"/>
      <c r="Y329" s="741"/>
      <c r="Z329" s="741"/>
      <c r="AA329" s="741"/>
      <c r="AB329" s="741"/>
      <c r="AC329" s="741"/>
      <c r="AD329" s="741"/>
      <c r="AE329" s="741"/>
      <c r="AF329" s="741"/>
      <c r="AG329" s="741"/>
      <c r="AH329" s="741"/>
      <c r="AI329" s="741"/>
      <c r="AJ329" s="741"/>
      <c r="AK329" s="741"/>
      <c r="AL329" s="741"/>
      <c r="AM329" s="741"/>
      <c r="AN329" s="741"/>
      <c r="AO329" s="741"/>
      <c r="AP329" s="741"/>
      <c r="AQ329" s="741"/>
      <c r="AR329" s="741"/>
    </row>
    <row r="330" spans="1:44">
      <c r="A330" s="741"/>
      <c r="B330" s="741"/>
      <c r="C330" s="741"/>
      <c r="D330" s="741"/>
      <c r="E330" s="741"/>
      <c r="F330" s="741"/>
      <c r="G330" s="741"/>
      <c r="H330" s="741"/>
      <c r="I330" s="741"/>
      <c r="J330" s="741"/>
      <c r="K330" s="741"/>
      <c r="L330" s="741"/>
      <c r="M330" s="741"/>
      <c r="N330" s="741"/>
      <c r="O330" s="741"/>
      <c r="P330" s="741"/>
      <c r="Q330" s="741"/>
      <c r="R330" s="741"/>
      <c r="S330" s="741"/>
      <c r="T330" s="741"/>
      <c r="U330" s="741"/>
      <c r="V330" s="741"/>
      <c r="W330" s="741"/>
      <c r="X330" s="741"/>
      <c r="Y330" s="741"/>
      <c r="Z330" s="741"/>
      <c r="AA330" s="741"/>
      <c r="AB330" s="741"/>
      <c r="AC330" s="741"/>
      <c r="AD330" s="741"/>
      <c r="AE330" s="741"/>
      <c r="AF330" s="741"/>
      <c r="AG330" s="741"/>
      <c r="AH330" s="741"/>
      <c r="AI330" s="741"/>
      <c r="AJ330" s="741"/>
      <c r="AK330" s="741"/>
      <c r="AL330" s="741"/>
      <c r="AM330" s="741"/>
      <c r="AN330" s="741"/>
      <c r="AO330" s="741"/>
      <c r="AP330" s="741"/>
      <c r="AQ330" s="741"/>
      <c r="AR330" s="741"/>
    </row>
    <row r="331" spans="1:44">
      <c r="A331" s="741"/>
      <c r="B331" s="741"/>
      <c r="C331" s="741"/>
      <c r="D331" s="741"/>
      <c r="E331" s="741"/>
      <c r="F331" s="741"/>
      <c r="G331" s="741"/>
      <c r="H331" s="741"/>
      <c r="I331" s="741"/>
      <c r="J331" s="741"/>
      <c r="K331" s="741"/>
      <c r="L331" s="741"/>
      <c r="M331" s="741"/>
      <c r="N331" s="741"/>
      <c r="O331" s="741"/>
      <c r="P331" s="741"/>
      <c r="Q331" s="741"/>
      <c r="R331" s="741"/>
      <c r="S331" s="741"/>
      <c r="T331" s="741"/>
      <c r="U331" s="741"/>
      <c r="V331" s="741"/>
      <c r="W331" s="741"/>
      <c r="X331" s="741"/>
      <c r="Y331" s="741"/>
      <c r="Z331" s="741"/>
      <c r="AA331" s="741"/>
      <c r="AB331" s="741"/>
      <c r="AC331" s="741"/>
      <c r="AD331" s="741"/>
      <c r="AE331" s="741"/>
      <c r="AF331" s="741"/>
      <c r="AG331" s="741"/>
      <c r="AH331" s="741"/>
      <c r="AI331" s="741"/>
      <c r="AJ331" s="741"/>
      <c r="AK331" s="741"/>
      <c r="AL331" s="741"/>
      <c r="AM331" s="741"/>
      <c r="AN331" s="741"/>
      <c r="AO331" s="741"/>
      <c r="AP331" s="741"/>
      <c r="AQ331" s="741"/>
      <c r="AR331" s="741"/>
    </row>
    <row r="332" spans="1:44">
      <c r="A332" s="741"/>
      <c r="B332" s="741"/>
      <c r="C332" s="741"/>
      <c r="D332" s="741"/>
      <c r="E332" s="741"/>
      <c r="F332" s="741"/>
      <c r="G332" s="741"/>
      <c r="H332" s="741"/>
      <c r="I332" s="741"/>
      <c r="J332" s="741"/>
      <c r="K332" s="741"/>
      <c r="L332" s="741"/>
      <c r="M332" s="741"/>
      <c r="N332" s="741"/>
      <c r="O332" s="741"/>
      <c r="P332" s="741"/>
      <c r="Q332" s="741"/>
      <c r="R332" s="741"/>
      <c r="S332" s="741"/>
      <c r="T332" s="741"/>
      <c r="U332" s="741"/>
      <c r="V332" s="741"/>
      <c r="W332" s="741"/>
      <c r="X332" s="741"/>
      <c r="Y332" s="741"/>
      <c r="Z332" s="741"/>
      <c r="AA332" s="741"/>
      <c r="AB332" s="741"/>
      <c r="AC332" s="741"/>
      <c r="AD332" s="741"/>
      <c r="AE332" s="741"/>
      <c r="AF332" s="741"/>
      <c r="AG332" s="741"/>
      <c r="AH332" s="741"/>
      <c r="AI332" s="741"/>
      <c r="AJ332" s="741"/>
      <c r="AK332" s="741"/>
      <c r="AL332" s="741"/>
      <c r="AM332" s="741"/>
      <c r="AN332" s="741"/>
      <c r="AO332" s="741"/>
      <c r="AP332" s="741"/>
      <c r="AQ332" s="741"/>
      <c r="AR332" s="741"/>
    </row>
    <row r="333" spans="1:44">
      <c r="A333" s="741"/>
      <c r="B333" s="741"/>
      <c r="C333" s="741"/>
      <c r="D333" s="741"/>
      <c r="E333" s="741"/>
      <c r="F333" s="741"/>
      <c r="G333" s="741"/>
      <c r="H333" s="741"/>
      <c r="I333" s="741"/>
      <c r="J333" s="741"/>
      <c r="K333" s="741"/>
      <c r="L333" s="741"/>
      <c r="M333" s="741"/>
      <c r="N333" s="741"/>
      <c r="O333" s="741"/>
      <c r="P333" s="741"/>
      <c r="Q333" s="741"/>
      <c r="R333" s="741"/>
      <c r="S333" s="741"/>
      <c r="T333" s="741"/>
      <c r="U333" s="741"/>
      <c r="V333" s="741"/>
      <c r="W333" s="741"/>
      <c r="X333" s="741"/>
      <c r="Y333" s="741"/>
      <c r="Z333" s="741"/>
      <c r="AA333" s="741"/>
      <c r="AB333" s="741"/>
      <c r="AC333" s="741"/>
      <c r="AD333" s="741"/>
      <c r="AE333" s="741"/>
      <c r="AF333" s="741"/>
      <c r="AG333" s="741"/>
      <c r="AH333" s="741"/>
      <c r="AI333" s="741"/>
      <c r="AJ333" s="741"/>
      <c r="AK333" s="741"/>
      <c r="AL333" s="741"/>
      <c r="AM333" s="741"/>
      <c r="AN333" s="741"/>
      <c r="AO333" s="741"/>
      <c r="AP333" s="741"/>
      <c r="AQ333" s="741"/>
      <c r="AR333" s="741"/>
    </row>
    <row r="334" spans="1:44">
      <c r="A334" s="741"/>
      <c r="B334" s="741"/>
      <c r="C334" s="741"/>
      <c r="D334" s="741"/>
      <c r="E334" s="741"/>
      <c r="F334" s="741"/>
      <c r="G334" s="741"/>
      <c r="H334" s="741"/>
      <c r="I334" s="741"/>
      <c r="J334" s="741"/>
      <c r="K334" s="741"/>
      <c r="L334" s="741"/>
      <c r="M334" s="741"/>
      <c r="N334" s="741"/>
      <c r="O334" s="741"/>
      <c r="P334" s="741"/>
      <c r="Q334" s="741"/>
      <c r="R334" s="741"/>
      <c r="S334" s="741"/>
      <c r="T334" s="741"/>
      <c r="U334" s="741"/>
      <c r="V334" s="741"/>
      <c r="W334" s="741"/>
      <c r="X334" s="741"/>
      <c r="Y334" s="741"/>
      <c r="Z334" s="741"/>
      <c r="AA334" s="741"/>
      <c r="AB334" s="741"/>
      <c r="AC334" s="741"/>
      <c r="AD334" s="741"/>
      <c r="AE334" s="741"/>
      <c r="AF334" s="741"/>
      <c r="AG334" s="741"/>
      <c r="AH334" s="741"/>
      <c r="AI334" s="741"/>
      <c r="AJ334" s="741"/>
      <c r="AK334" s="741"/>
      <c r="AL334" s="741"/>
      <c r="AM334" s="741"/>
      <c r="AN334" s="741"/>
      <c r="AO334" s="741"/>
      <c r="AP334" s="741"/>
      <c r="AQ334" s="741"/>
      <c r="AR334" s="741"/>
    </row>
    <row r="335" spans="1:44">
      <c r="A335" s="741"/>
      <c r="B335" s="741"/>
      <c r="C335" s="741"/>
      <c r="D335" s="741"/>
      <c r="E335" s="741"/>
      <c r="F335" s="741"/>
      <c r="G335" s="741"/>
      <c r="H335" s="741"/>
      <c r="I335" s="741"/>
      <c r="J335" s="741"/>
      <c r="K335" s="741"/>
      <c r="L335" s="741"/>
      <c r="M335" s="741"/>
      <c r="N335" s="741"/>
      <c r="O335" s="741"/>
      <c r="P335" s="741"/>
      <c r="Q335" s="741"/>
      <c r="R335" s="741"/>
      <c r="S335" s="741"/>
      <c r="T335" s="741"/>
      <c r="U335" s="741"/>
      <c r="V335" s="741"/>
      <c r="W335" s="741"/>
      <c r="X335" s="741"/>
      <c r="Y335" s="741"/>
      <c r="Z335" s="741"/>
      <c r="AA335" s="741"/>
      <c r="AB335" s="741"/>
      <c r="AC335" s="741"/>
      <c r="AD335" s="741"/>
      <c r="AE335" s="741"/>
      <c r="AF335" s="741"/>
      <c r="AG335" s="741"/>
      <c r="AH335" s="741"/>
      <c r="AI335" s="741"/>
      <c r="AJ335" s="741"/>
      <c r="AK335" s="741"/>
      <c r="AL335" s="741"/>
      <c r="AM335" s="741"/>
      <c r="AN335" s="741"/>
      <c r="AO335" s="741"/>
      <c r="AP335" s="741"/>
      <c r="AQ335" s="741"/>
      <c r="AR335" s="741"/>
    </row>
  </sheetData>
  <mergeCells count="9">
    <mergeCell ref="A59:K60"/>
    <mergeCell ref="A61:K62"/>
    <mergeCell ref="A63:K64"/>
    <mergeCell ref="A5:J6"/>
    <mergeCell ref="A18:J19"/>
    <mergeCell ref="A25:J26"/>
    <mergeCell ref="A23:J24"/>
    <mergeCell ref="A30:J31"/>
    <mergeCell ref="A16:J17"/>
  </mergeCells>
  <printOptions horizontalCentered="1"/>
  <pageMargins left="0.75" right="0.75" top="1" bottom="1" header="0.5" footer="0.5"/>
  <pageSetup scale="76" firstPageNumber="2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51"/>
  <sheetViews>
    <sheetView topLeftCell="A13" zoomScale="85" workbookViewId="0">
      <selection activeCell="D50" sqref="D50"/>
    </sheetView>
  </sheetViews>
  <sheetFormatPr defaultRowHeight="12.75"/>
  <cols>
    <col min="1" max="1" width="9.140625" style="816"/>
    <col min="2" max="2" width="39.28515625" style="816" customWidth="1"/>
    <col min="3" max="3" width="18.7109375" style="816" customWidth="1"/>
    <col min="4" max="4" width="12" style="816" customWidth="1"/>
    <col min="5" max="5" width="9.140625" style="816"/>
    <col min="6" max="16384" width="9.140625" style="817"/>
  </cols>
  <sheetData>
    <row r="1" spans="1:37" ht="15.75">
      <c r="A1" s="731" t="str">
        <f>Scope!A1</f>
        <v>Plano, Illinois 6 x LM6000 Power Project, Rev 0</v>
      </c>
      <c r="B1" s="818"/>
      <c r="C1" s="818"/>
      <c r="D1" s="818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</row>
    <row r="2" spans="1:37" ht="15.75">
      <c r="A2" s="730" t="s">
        <v>1660</v>
      </c>
      <c r="B2" s="818"/>
      <c r="C2" s="818"/>
      <c r="D2" s="818"/>
      <c r="E2" s="755"/>
      <c r="F2" s="755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</row>
    <row r="3" spans="1:37" ht="13.5" thickBot="1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</row>
    <row r="4" spans="1:37" ht="13.5" thickBot="1">
      <c r="A4" s="819"/>
      <c r="B4" s="820"/>
      <c r="C4" s="821"/>
      <c r="D4" s="822" t="s">
        <v>1622</v>
      </c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  <c r="AF4" s="755"/>
      <c r="AG4" s="755"/>
      <c r="AH4" s="755"/>
      <c r="AI4" s="755"/>
      <c r="AJ4" s="755"/>
      <c r="AK4" s="755"/>
    </row>
    <row r="5" spans="1:37">
      <c r="A5"/>
      <c r="B5" s="762"/>
      <c r="C5" s="823"/>
      <c r="D5" s="764"/>
      <c r="E5" s="753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  <c r="AF5" s="755"/>
      <c r="AG5" s="755"/>
      <c r="AH5" s="755"/>
      <c r="AI5" s="755"/>
      <c r="AJ5" s="755"/>
      <c r="AK5" s="755"/>
    </row>
    <row r="6" spans="1:37">
      <c r="A6" s="761" t="s">
        <v>1661</v>
      </c>
      <c r="B6" s="762"/>
      <c r="C6" s="823"/>
      <c r="D6" s="824">
        <f>Mob_Backup!H16</f>
        <v>20400.267076923075</v>
      </c>
      <c r="E6" s="753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  <c r="AF6" s="755"/>
      <c r="AG6" s="755"/>
      <c r="AH6" s="755"/>
      <c r="AI6" s="755"/>
      <c r="AJ6" s="755"/>
      <c r="AK6" s="755"/>
    </row>
    <row r="7" spans="1:37">
      <c r="A7" s="761"/>
      <c r="B7" s="762"/>
      <c r="C7" s="823"/>
      <c r="D7" s="825"/>
      <c r="E7" s="753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  <c r="AF7" s="755"/>
      <c r="AG7" s="755"/>
      <c r="AH7" s="755"/>
      <c r="AI7" s="755"/>
      <c r="AJ7" s="755"/>
      <c r="AK7" s="755"/>
    </row>
    <row r="8" spans="1:37">
      <c r="A8" s="767" t="s">
        <v>1662</v>
      </c>
      <c r="B8" s="762"/>
      <c r="C8" s="823"/>
      <c r="D8" s="824">
        <f>Mob_Backup!H22</f>
        <v>206512.06259999998</v>
      </c>
      <c r="E8" s="753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  <c r="AF8" s="755"/>
      <c r="AG8" s="755"/>
      <c r="AH8" s="755"/>
      <c r="AI8" s="755"/>
      <c r="AJ8" s="755"/>
      <c r="AK8" s="755"/>
    </row>
    <row r="9" spans="1:37">
      <c r="A9" s="761"/>
      <c r="B9" s="762"/>
      <c r="C9" s="823"/>
      <c r="D9" s="825"/>
      <c r="E9" s="753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  <c r="AF9" s="755"/>
      <c r="AG9" s="755"/>
      <c r="AH9" s="755"/>
      <c r="AI9" s="755"/>
      <c r="AJ9" s="755"/>
      <c r="AK9" s="755"/>
    </row>
    <row r="10" spans="1:37">
      <c r="A10" s="761" t="s">
        <v>1627</v>
      </c>
      <c r="B10" s="762"/>
      <c r="C10" s="823"/>
      <c r="D10" s="825"/>
      <c r="E10" s="753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  <c r="AF10" s="755"/>
      <c r="AG10" s="755"/>
      <c r="AH10" s="755"/>
      <c r="AI10" s="755"/>
      <c r="AJ10" s="755"/>
      <c r="AK10" s="755"/>
    </row>
    <row r="11" spans="1:37">
      <c r="A11" s="753"/>
      <c r="B11" s="762" t="s">
        <v>1663</v>
      </c>
      <c r="C11" s="826"/>
      <c r="D11" s="824">
        <f>Mob_Backup!H28</f>
        <v>12200</v>
      </c>
      <c r="E11" s="753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  <c r="AF11" s="755"/>
      <c r="AG11" s="755"/>
      <c r="AH11" s="755"/>
      <c r="AI11" s="755"/>
      <c r="AJ11" s="755"/>
      <c r="AK11" s="755"/>
    </row>
    <row r="12" spans="1:37">
      <c r="A12" s="753"/>
      <c r="B12" s="762" t="s">
        <v>1664</v>
      </c>
      <c r="C12" s="826"/>
      <c r="D12" s="824">
        <f>Mob_Backup!H36</f>
        <v>14500</v>
      </c>
      <c r="E12" s="753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  <c r="AF12" s="755"/>
      <c r="AG12" s="755"/>
      <c r="AH12" s="755"/>
      <c r="AI12" s="755"/>
      <c r="AJ12" s="755"/>
      <c r="AK12" s="755"/>
    </row>
    <row r="13" spans="1:37">
      <c r="A13" s="753"/>
      <c r="B13" s="762" t="s">
        <v>1665</v>
      </c>
      <c r="C13" s="826"/>
      <c r="D13" s="824">
        <f>Mob_Backup!H42</f>
        <v>27056</v>
      </c>
      <c r="E13" s="753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  <c r="AF13" s="755"/>
      <c r="AG13" s="755"/>
      <c r="AH13" s="755"/>
      <c r="AI13" s="755"/>
      <c r="AJ13" s="755"/>
      <c r="AK13" s="755"/>
    </row>
    <row r="14" spans="1:37">
      <c r="A14" s="753"/>
      <c r="B14" s="762" t="s">
        <v>1666</v>
      </c>
      <c r="C14" s="826"/>
      <c r="D14" s="824">
        <f>Mob_Backup!H60</f>
        <v>49240</v>
      </c>
      <c r="E14" s="753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  <c r="AF14" s="755"/>
      <c r="AG14" s="755"/>
      <c r="AH14" s="755"/>
      <c r="AI14" s="755"/>
      <c r="AJ14" s="755"/>
      <c r="AK14" s="755"/>
    </row>
    <row r="15" spans="1:37">
      <c r="A15" s="753"/>
      <c r="B15" s="762" t="s">
        <v>1667</v>
      </c>
      <c r="C15" s="826"/>
      <c r="D15" s="824">
        <f>Mob_Backup!H68</f>
        <v>8635.7142857142862</v>
      </c>
      <c r="E15" s="753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  <c r="AF15" s="755"/>
      <c r="AG15" s="755"/>
      <c r="AH15" s="755"/>
      <c r="AI15" s="755"/>
      <c r="AJ15" s="755"/>
      <c r="AK15" s="755"/>
    </row>
    <row r="16" spans="1:37">
      <c r="A16" s="753"/>
      <c r="B16" s="762" t="s">
        <v>1668</v>
      </c>
      <c r="C16" s="826"/>
      <c r="D16" s="824">
        <f>Mob_Backup!H74</f>
        <v>4780</v>
      </c>
      <c r="E16" s="753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  <c r="AF16" s="755"/>
      <c r="AG16" s="755"/>
      <c r="AH16" s="755"/>
      <c r="AI16" s="755"/>
      <c r="AJ16" s="755"/>
      <c r="AK16" s="755"/>
    </row>
    <row r="17" spans="1:37">
      <c r="A17" s="753"/>
      <c r="B17" s="762" t="s">
        <v>1669</v>
      </c>
      <c r="C17" s="826"/>
      <c r="D17" s="824">
        <f>Mob_Backup!H82</f>
        <v>4800</v>
      </c>
      <c r="E17" s="753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  <c r="AF17" s="755"/>
      <c r="AG17" s="755"/>
      <c r="AH17" s="755"/>
      <c r="AI17" s="755"/>
      <c r="AJ17" s="755"/>
      <c r="AK17" s="755"/>
    </row>
    <row r="18" spans="1:37">
      <c r="A18" s="753"/>
      <c r="B18" s="762" t="s">
        <v>1670</v>
      </c>
      <c r="C18" s="826"/>
      <c r="D18" s="824">
        <f>Mob_Backup!H99</f>
        <v>75402</v>
      </c>
      <c r="E18" s="753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  <c r="AF18" s="755"/>
      <c r="AG18" s="755"/>
      <c r="AH18" s="755"/>
      <c r="AI18" s="755"/>
      <c r="AJ18" s="755"/>
      <c r="AK18" s="755"/>
    </row>
    <row r="19" spans="1:37">
      <c r="A19" s="753"/>
      <c r="B19" s="762" t="s">
        <v>1671</v>
      </c>
      <c r="C19" s="826"/>
      <c r="D19" s="824">
        <f>Mob_Backup!H118</f>
        <v>43550</v>
      </c>
      <c r="E19" s="753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  <c r="AF19" s="755"/>
      <c r="AG19" s="755"/>
      <c r="AH19" s="755"/>
      <c r="AI19" s="755"/>
      <c r="AJ19" s="755"/>
      <c r="AK19" s="755"/>
    </row>
    <row r="20" spans="1:37">
      <c r="A20" s="753"/>
      <c r="B20" s="762" t="s">
        <v>1672</v>
      </c>
      <c r="C20" s="826"/>
      <c r="D20" s="824">
        <f>Mob_Backup!H121</f>
        <v>0</v>
      </c>
      <c r="E20" s="753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  <c r="AF20" s="755"/>
      <c r="AG20" s="755"/>
      <c r="AH20" s="755"/>
      <c r="AI20" s="755"/>
      <c r="AJ20" s="755"/>
      <c r="AK20" s="755"/>
    </row>
    <row r="21" spans="1:37">
      <c r="A21" s="753"/>
      <c r="B21" s="740" t="s">
        <v>1673</v>
      </c>
      <c r="C21" s="826"/>
      <c r="D21" s="824">
        <f ca="1">Mob_Backup!H126</f>
        <v>3637.1914240118986</v>
      </c>
      <c r="E21" s="753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  <c r="AF21" s="755"/>
      <c r="AG21" s="755"/>
      <c r="AH21" s="755"/>
      <c r="AI21" s="755"/>
      <c r="AJ21" s="755"/>
      <c r="AK21" s="755"/>
    </row>
    <row r="22" spans="1:37">
      <c r="A22" s="753"/>
      <c r="B22" s="740" t="s">
        <v>1674</v>
      </c>
      <c r="C22" s="826"/>
      <c r="D22" s="824">
        <f>Mob_Backup!H133</f>
        <v>15250</v>
      </c>
      <c r="E22" s="753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  <c r="AF22" s="755"/>
      <c r="AG22" s="755"/>
      <c r="AH22" s="755"/>
      <c r="AI22" s="755"/>
      <c r="AJ22" s="755"/>
      <c r="AK22" s="755"/>
    </row>
    <row r="23" spans="1:37">
      <c r="A23" s="753"/>
      <c r="B23" s="762"/>
      <c r="C23" s="826"/>
      <c r="D23" s="825"/>
      <c r="E23" s="753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  <c r="AF23" s="755"/>
      <c r="AG23" s="755"/>
      <c r="AH23" s="755"/>
      <c r="AI23" s="755"/>
      <c r="AJ23" s="755"/>
      <c r="AK23" s="755"/>
    </row>
    <row r="24" spans="1:37">
      <c r="A24" s="753"/>
      <c r="B24" s="767" t="s">
        <v>1675</v>
      </c>
      <c r="C24" s="827"/>
      <c r="D24" s="824">
        <f ca="1">SUBTOTAL(9,D11:D23)</f>
        <v>259050.90570972618</v>
      </c>
      <c r="E24" s="753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  <c r="AF24" s="755"/>
      <c r="AG24" s="755"/>
      <c r="AH24" s="755"/>
      <c r="AI24" s="755"/>
      <c r="AJ24" s="755"/>
      <c r="AK24" s="755"/>
    </row>
    <row r="25" spans="1:37">
      <c r="A25" s="753"/>
      <c r="B25" s="762"/>
      <c r="C25" s="826"/>
      <c r="D25" s="825"/>
      <c r="E25" s="753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  <c r="AF25" s="755"/>
      <c r="AG25" s="755"/>
      <c r="AH25" s="755"/>
      <c r="AI25" s="755"/>
      <c r="AJ25" s="755"/>
      <c r="AK25" s="755"/>
    </row>
    <row r="26" spans="1:37">
      <c r="A26" s="753"/>
      <c r="B26" s="762"/>
      <c r="C26" s="826"/>
      <c r="D26" s="825"/>
      <c r="E26" s="753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  <c r="AF26" s="755"/>
      <c r="AG26" s="755"/>
      <c r="AH26" s="755"/>
      <c r="AI26" s="755"/>
      <c r="AJ26" s="755"/>
      <c r="AK26" s="755"/>
    </row>
    <row r="27" spans="1:37">
      <c r="A27" s="761" t="s">
        <v>1628</v>
      </c>
      <c r="B27" s="762"/>
      <c r="C27" s="826"/>
      <c r="D27" s="825"/>
      <c r="E27" s="753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  <c r="AF27" s="755"/>
      <c r="AG27" s="755"/>
      <c r="AH27" s="755"/>
      <c r="AI27" s="755"/>
      <c r="AJ27" s="755"/>
      <c r="AK27" s="755"/>
    </row>
    <row r="28" spans="1:37">
      <c r="A28" s="753"/>
      <c r="B28" s="762" t="s">
        <v>1676</v>
      </c>
      <c r="C28" s="826"/>
      <c r="D28" s="824">
        <f>Mob_Backup!H169</f>
        <v>85522.5</v>
      </c>
      <c r="E28" s="753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  <c r="AF28" s="755"/>
      <c r="AG28" s="755"/>
      <c r="AH28" s="755"/>
      <c r="AI28" s="755"/>
      <c r="AJ28" s="755"/>
      <c r="AK28" s="755"/>
    </row>
    <row r="29" spans="1:37">
      <c r="A29" s="753"/>
      <c r="B29" s="762" t="s">
        <v>1677</v>
      </c>
      <c r="C29" s="826"/>
      <c r="D29" s="824">
        <f>Mob_Backup!H183</f>
        <v>21420</v>
      </c>
      <c r="E29" s="753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  <c r="AF29" s="755"/>
      <c r="AG29" s="755"/>
      <c r="AH29" s="755"/>
      <c r="AI29" s="755"/>
      <c r="AJ29" s="755"/>
      <c r="AK29" s="755"/>
    </row>
    <row r="30" spans="1:37">
      <c r="A30" s="753"/>
      <c r="B30" s="762" t="s">
        <v>1678</v>
      </c>
      <c r="C30" s="826"/>
      <c r="D30" s="824">
        <f>Mob_Backup!H203</f>
        <v>12160</v>
      </c>
      <c r="E30" s="753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  <c r="AF30" s="755"/>
      <c r="AG30" s="755"/>
      <c r="AH30" s="755"/>
      <c r="AI30" s="755"/>
      <c r="AJ30" s="755"/>
      <c r="AK30" s="755"/>
    </row>
    <row r="31" spans="1:37">
      <c r="A31" s="753"/>
      <c r="B31" s="762" t="s">
        <v>1679</v>
      </c>
      <c r="C31" s="826"/>
      <c r="D31" s="824">
        <f>Mob_Backup!H211</f>
        <v>12075</v>
      </c>
      <c r="E31" s="753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  <c r="AF31" s="755"/>
      <c r="AG31" s="755"/>
      <c r="AH31" s="755"/>
      <c r="AI31" s="755"/>
      <c r="AJ31" s="755"/>
      <c r="AK31" s="755"/>
    </row>
    <row r="32" spans="1:37">
      <c r="A32" s="753"/>
      <c r="B32" s="762" t="s">
        <v>1680</v>
      </c>
      <c r="C32" s="826"/>
      <c r="D32" s="824">
        <f>Mob_Backup!H219</f>
        <v>6300</v>
      </c>
      <c r="E32" s="753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  <c r="AF32" s="755"/>
      <c r="AG32" s="755"/>
      <c r="AH32" s="755"/>
      <c r="AI32" s="755"/>
      <c r="AJ32" s="755"/>
      <c r="AK32" s="755"/>
    </row>
    <row r="33" spans="1:37">
      <c r="A33" s="753"/>
      <c r="B33" s="762" t="s">
        <v>1681</v>
      </c>
      <c r="C33" s="826"/>
      <c r="D33" s="824">
        <f>Mob_Backup!H269</f>
        <v>76812.75</v>
      </c>
      <c r="E33" s="753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  <c r="AF33" s="755"/>
      <c r="AG33" s="755"/>
      <c r="AH33" s="755"/>
      <c r="AI33" s="755"/>
      <c r="AJ33" s="755"/>
      <c r="AK33" s="755"/>
    </row>
    <row r="34" spans="1:37">
      <c r="A34" s="753"/>
      <c r="B34" s="762" t="s">
        <v>1682</v>
      </c>
      <c r="C34" s="826"/>
      <c r="D34" s="824">
        <f>Mob_Backup!H275</f>
        <v>10500</v>
      </c>
      <c r="E34" s="753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  <c r="AF34" s="755"/>
      <c r="AG34" s="755"/>
      <c r="AH34" s="755"/>
      <c r="AI34" s="755"/>
      <c r="AJ34" s="755"/>
      <c r="AK34" s="755"/>
    </row>
    <row r="35" spans="1:37">
      <c r="A35" s="753"/>
      <c r="B35" s="762"/>
      <c r="C35" s="826"/>
      <c r="D35" s="825"/>
      <c r="E35" s="753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  <c r="AF35" s="755"/>
      <c r="AG35" s="755"/>
      <c r="AH35" s="755"/>
      <c r="AI35" s="755"/>
      <c r="AJ35" s="755"/>
      <c r="AK35" s="755"/>
    </row>
    <row r="36" spans="1:37">
      <c r="A36" s="753"/>
      <c r="B36" s="767" t="s">
        <v>1683</v>
      </c>
      <c r="C36" s="827"/>
      <c r="D36" s="824">
        <f>SUBTOTAL(9,D27:D35)</f>
        <v>224790.25</v>
      </c>
      <c r="E36" s="753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  <c r="AF36" s="755"/>
      <c r="AG36" s="755"/>
      <c r="AH36" s="755"/>
      <c r="AI36" s="755"/>
      <c r="AJ36" s="755"/>
      <c r="AK36" s="755"/>
    </row>
    <row r="37" spans="1:37">
      <c r="A37" s="753"/>
      <c r="B37" s="762"/>
      <c r="C37" s="826"/>
      <c r="D37" s="825"/>
      <c r="E37" s="753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  <c r="AF37" s="755"/>
      <c r="AG37" s="755"/>
      <c r="AH37" s="755"/>
      <c r="AI37" s="755"/>
      <c r="AJ37" s="755"/>
      <c r="AK37" s="755"/>
    </row>
    <row r="38" spans="1:37" ht="13.5" thickBot="1">
      <c r="A38" s="761" t="s">
        <v>1629</v>
      </c>
      <c r="B38" s="762"/>
      <c r="C38" s="826"/>
      <c r="D38" s="828">
        <f ca="1">D36+D24+D8+D6</f>
        <v>710753.48538664915</v>
      </c>
      <c r="E38" s="753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  <c r="AF38" s="755"/>
      <c r="AG38" s="755"/>
      <c r="AH38" s="755"/>
      <c r="AI38" s="755"/>
      <c r="AJ38" s="755"/>
      <c r="AK38" s="755"/>
    </row>
    <row r="39" spans="1:37">
      <c r="A39" s="761"/>
      <c r="B39" s="762"/>
      <c r="C39" s="823"/>
      <c r="D39" s="758"/>
      <c r="E39" s="753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  <c r="AF39" s="755"/>
      <c r="AG39" s="755"/>
      <c r="AH39" s="755"/>
      <c r="AI39" s="755"/>
      <c r="AJ39" s="755"/>
      <c r="AK39" s="755"/>
    </row>
    <row r="40" spans="1:37" ht="13.5" thickBot="1">
      <c r="A40" s="817"/>
      <c r="B40" s="817"/>
      <c r="C40" s="817"/>
      <c r="D40" s="817"/>
      <c r="E40" s="753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  <c r="AF40" s="755"/>
      <c r="AG40" s="755"/>
      <c r="AH40" s="755"/>
      <c r="AI40" s="755"/>
      <c r="AJ40" s="755"/>
      <c r="AK40" s="755"/>
    </row>
    <row r="41" spans="1:37" hidden="1">
      <c r="A41" s="761" t="s">
        <v>1630</v>
      </c>
      <c r="B41" s="753"/>
      <c r="C41" s="823"/>
      <c r="D41" s="829" t="s">
        <v>1631</v>
      </c>
      <c r="E41" s="753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  <c r="AF41" s="755"/>
      <c r="AG41" s="755"/>
      <c r="AH41" s="755"/>
      <c r="AI41" s="755"/>
      <c r="AJ41" s="755"/>
      <c r="AK41" s="755"/>
    </row>
    <row r="42" spans="1:37" ht="13.5" hidden="1" thickBot="1">
      <c r="A42" s="761"/>
      <c r="B42" s="753"/>
      <c r="C42" s="762"/>
      <c r="D42" s="824"/>
      <c r="E42" s="753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  <c r="AF42" s="755"/>
      <c r="AG42" s="755"/>
      <c r="AH42" s="755"/>
      <c r="AI42" s="755"/>
      <c r="AJ42" s="755"/>
      <c r="AK42" s="755"/>
    </row>
    <row r="43" spans="1:37" hidden="1">
      <c r="A43" s="761" t="s">
        <v>1632</v>
      </c>
      <c r="B43" s="753"/>
      <c r="C43" s="762"/>
      <c r="D43" s="830" t="s">
        <v>1631</v>
      </c>
      <c r="E43" s="753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  <c r="AF43" s="755"/>
      <c r="AG43" s="755"/>
      <c r="AH43" s="755"/>
      <c r="AI43" s="755"/>
      <c r="AJ43" s="755"/>
      <c r="AK43" s="755"/>
    </row>
    <row r="44" spans="1:37" hidden="1">
      <c r="A44" s="761"/>
      <c r="B44" s="761"/>
      <c r="C44" s="762"/>
      <c r="D44" s="824"/>
      <c r="E44" s="753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  <c r="AF44" s="755"/>
      <c r="AG44" s="755"/>
      <c r="AH44" s="755"/>
      <c r="AI44" s="755"/>
      <c r="AJ44" s="755"/>
      <c r="AK44" s="755"/>
    </row>
    <row r="45" spans="1:37" ht="13.5" thickBot="1">
      <c r="A45" s="761" t="s">
        <v>1633</v>
      </c>
      <c r="B45" s="753"/>
      <c r="C45" s="753"/>
      <c r="D45" s="777" t="str">
        <f>Mob_Backup!H295</f>
        <v>NA</v>
      </c>
      <c r="E45" s="753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  <c r="AF45" s="755"/>
      <c r="AG45" s="755"/>
      <c r="AH45" s="755"/>
      <c r="AI45" s="755"/>
      <c r="AJ45" s="755"/>
      <c r="AK45" s="755"/>
    </row>
    <row r="46" spans="1:37" ht="13.5" thickBot="1">
      <c r="A46" s="802"/>
      <c r="B46" s="753"/>
      <c r="C46" s="753"/>
      <c r="D46" s="758"/>
      <c r="E46" s="753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  <c r="AF46" s="755"/>
      <c r="AG46" s="755"/>
      <c r="AH46" s="755"/>
      <c r="AI46" s="755"/>
      <c r="AJ46" s="755"/>
      <c r="AK46" s="755"/>
    </row>
    <row r="47" spans="1:37" ht="13.5" thickBot="1">
      <c r="A47" s="767" t="s">
        <v>1634</v>
      </c>
      <c r="B47" s="753"/>
      <c r="C47" s="826"/>
      <c r="D47" s="831">
        <f>Mob_Backup!H301</f>
        <v>1341562.5</v>
      </c>
      <c r="E47" s="753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  <c r="AF47" s="755"/>
      <c r="AG47" s="755"/>
      <c r="AH47" s="755"/>
      <c r="AI47" s="755"/>
      <c r="AJ47" s="755"/>
      <c r="AK47" s="755"/>
    </row>
    <row r="48" spans="1:37" ht="13.5" thickBot="1">
      <c r="A48" s="761"/>
      <c r="B48" s="753"/>
      <c r="C48" s="823"/>
      <c r="D48" s="758"/>
      <c r="E48" s="753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  <c r="AF48" s="755"/>
      <c r="AG48" s="755"/>
      <c r="AH48" s="755"/>
      <c r="AI48" s="755"/>
      <c r="AJ48" s="755"/>
      <c r="AK48" s="755"/>
    </row>
    <row r="49" spans="1:37" ht="13.5" hidden="1" thickBot="1">
      <c r="A49" s="753"/>
      <c r="B49" s="753"/>
      <c r="C49" s="753"/>
      <c r="D49" s="753"/>
      <c r="E49" s="753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  <c r="AF49" s="755"/>
      <c r="AG49" s="755"/>
      <c r="AH49" s="755"/>
      <c r="AI49" s="755"/>
      <c r="AJ49" s="755"/>
      <c r="AK49" s="755"/>
    </row>
    <row r="50" spans="1:37" ht="13.5" thickBot="1">
      <c r="A50" s="761" t="s">
        <v>1684</v>
      </c>
      <c r="B50" s="753"/>
      <c r="C50" s="753"/>
      <c r="D50" s="803">
        <f>Mob_Backup!H281</f>
        <v>250000</v>
      </c>
      <c r="E50" s="753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  <c r="AF50" s="755"/>
      <c r="AG50" s="755"/>
      <c r="AH50" s="755"/>
      <c r="AI50" s="755"/>
      <c r="AJ50" s="755"/>
      <c r="AK50" s="755"/>
    </row>
    <row r="51" spans="1:37" ht="13.5" hidden="1" thickBot="1">
      <c r="A51" s="767" t="s">
        <v>1636</v>
      </c>
      <c r="B51" s="753"/>
      <c r="C51" s="753"/>
      <c r="D51" s="813">
        <f>ROUND(Mob_Backup!H287*Mob_Estimate!D8,-4)</f>
        <v>0</v>
      </c>
      <c r="E51" s="753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  <c r="AF51" s="755"/>
      <c r="AG51" s="755"/>
      <c r="AH51" s="755"/>
      <c r="AI51" s="755"/>
      <c r="AJ51" s="755"/>
      <c r="AK51" s="755"/>
    </row>
    <row r="52" spans="1:37">
      <c r="A52" s="753"/>
      <c r="B52" s="753"/>
      <c r="C52" s="753"/>
      <c r="D52" s="753"/>
      <c r="E52" s="753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  <c r="AF52" s="755"/>
      <c r="AG52" s="755"/>
      <c r="AH52" s="755"/>
      <c r="AI52" s="755"/>
      <c r="AJ52" s="755"/>
      <c r="AK52" s="755"/>
    </row>
    <row r="53" spans="1:37">
      <c r="A53" s="753"/>
      <c r="B53" s="753"/>
      <c r="C53" s="753"/>
      <c r="D53" s="753"/>
      <c r="E53" s="753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  <c r="AF53" s="755"/>
      <c r="AG53" s="755"/>
      <c r="AH53" s="755"/>
      <c r="AI53" s="755"/>
      <c r="AJ53" s="755"/>
      <c r="AK53" s="755"/>
    </row>
    <row r="54" spans="1:37">
      <c r="A54" s="753"/>
      <c r="B54" s="753"/>
      <c r="C54" s="753"/>
      <c r="D54" s="753"/>
      <c r="E54" s="753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  <c r="AF54" s="755"/>
      <c r="AG54" s="755"/>
      <c r="AH54" s="755"/>
      <c r="AI54" s="755"/>
      <c r="AJ54" s="755"/>
      <c r="AK54" s="755"/>
    </row>
    <row r="55" spans="1:37">
      <c r="A55" s="753"/>
      <c r="B55" s="753"/>
      <c r="C55" s="753"/>
      <c r="D55" s="753"/>
      <c r="E55" s="753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  <c r="AF55" s="755"/>
      <c r="AG55" s="755"/>
      <c r="AH55" s="755"/>
      <c r="AI55" s="755"/>
      <c r="AJ55" s="755"/>
      <c r="AK55" s="755"/>
    </row>
    <row r="56" spans="1:37">
      <c r="A56" s="753"/>
      <c r="B56" s="753"/>
      <c r="C56" s="753"/>
      <c r="D56" s="753"/>
      <c r="E56" s="753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  <c r="AF56" s="755"/>
      <c r="AG56" s="755"/>
      <c r="AH56" s="755"/>
      <c r="AI56" s="755"/>
      <c r="AJ56" s="755"/>
      <c r="AK56" s="755"/>
    </row>
    <row r="57" spans="1:37">
      <c r="A57" s="753"/>
      <c r="B57" s="753"/>
      <c r="C57" s="753"/>
      <c r="D57" s="753"/>
      <c r="E57" s="753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  <c r="AF57" s="755"/>
      <c r="AG57" s="755"/>
      <c r="AH57" s="755"/>
      <c r="AI57" s="755"/>
      <c r="AJ57" s="755"/>
      <c r="AK57" s="755"/>
    </row>
    <row r="58" spans="1:37">
      <c r="A58" s="753"/>
      <c r="B58" s="753"/>
      <c r="C58" s="753"/>
      <c r="D58" s="753"/>
      <c r="E58" s="753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  <c r="AF58" s="755"/>
      <c r="AG58" s="755"/>
      <c r="AH58" s="755"/>
      <c r="AI58" s="755"/>
      <c r="AJ58" s="755"/>
      <c r="AK58" s="755"/>
    </row>
    <row r="59" spans="1:37">
      <c r="A59" s="753"/>
      <c r="B59" s="753"/>
      <c r="C59" s="753"/>
      <c r="D59" s="753"/>
      <c r="E59" s="753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  <c r="AF59" s="755"/>
      <c r="AG59" s="755"/>
      <c r="AH59" s="755"/>
      <c r="AI59" s="755"/>
      <c r="AJ59" s="755"/>
      <c r="AK59" s="755"/>
    </row>
    <row r="60" spans="1:37">
      <c r="A60" s="753"/>
      <c r="B60" s="753"/>
      <c r="C60" s="753"/>
      <c r="D60" s="753"/>
      <c r="E60" s="753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  <c r="AF60" s="755"/>
      <c r="AG60" s="755"/>
      <c r="AH60" s="755"/>
      <c r="AI60" s="755"/>
      <c r="AJ60" s="755"/>
      <c r="AK60" s="755"/>
    </row>
    <row r="61" spans="1:37">
      <c r="A61" s="753"/>
      <c r="B61" s="753"/>
      <c r="C61" s="753"/>
      <c r="D61" s="753"/>
      <c r="E61" s="753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  <c r="AF61" s="755"/>
      <c r="AG61" s="755"/>
      <c r="AH61" s="755"/>
      <c r="AI61" s="755"/>
      <c r="AJ61" s="755"/>
      <c r="AK61" s="755"/>
    </row>
    <row r="62" spans="1:37">
      <c r="A62" s="753"/>
      <c r="B62" s="753"/>
      <c r="C62" s="753"/>
      <c r="D62" s="753"/>
      <c r="E62" s="753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  <c r="AF62" s="755"/>
      <c r="AG62" s="755"/>
      <c r="AH62" s="755"/>
      <c r="AI62" s="755"/>
      <c r="AJ62" s="755"/>
      <c r="AK62" s="755"/>
    </row>
    <row r="63" spans="1:37">
      <c r="A63" s="753"/>
      <c r="B63" s="753"/>
      <c r="C63" s="753"/>
      <c r="D63" s="753"/>
      <c r="E63" s="753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  <c r="AF63" s="755"/>
      <c r="AG63" s="755"/>
      <c r="AH63" s="755"/>
      <c r="AI63" s="755"/>
      <c r="AJ63" s="755"/>
      <c r="AK63" s="755"/>
    </row>
    <row r="64" spans="1:37">
      <c r="A64" s="753"/>
      <c r="B64" s="753"/>
      <c r="C64" s="753"/>
      <c r="D64" s="753"/>
      <c r="E64" s="753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  <c r="AF64" s="755"/>
      <c r="AG64" s="755"/>
      <c r="AH64" s="755"/>
      <c r="AI64" s="755"/>
      <c r="AJ64" s="755"/>
      <c r="AK64" s="755"/>
    </row>
    <row r="65" spans="1:37">
      <c r="A65" s="753"/>
      <c r="B65" s="753"/>
      <c r="C65" s="753"/>
      <c r="D65" s="753"/>
      <c r="E65" s="753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  <c r="AF65" s="755"/>
      <c r="AG65" s="755"/>
      <c r="AH65" s="755"/>
      <c r="AI65" s="755"/>
      <c r="AJ65" s="755"/>
      <c r="AK65" s="755"/>
    </row>
    <row r="66" spans="1:37">
      <c r="A66" s="753"/>
      <c r="B66" s="753"/>
      <c r="C66" s="753"/>
      <c r="D66" s="753"/>
      <c r="E66" s="753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  <c r="AF66" s="755"/>
      <c r="AG66" s="755"/>
      <c r="AH66" s="755"/>
      <c r="AI66" s="755"/>
      <c r="AJ66" s="755"/>
      <c r="AK66" s="755"/>
    </row>
    <row r="67" spans="1:37">
      <c r="A67" s="753"/>
      <c r="B67" s="753"/>
      <c r="C67" s="753"/>
      <c r="D67" s="753"/>
      <c r="E67" s="753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  <c r="AF67" s="755"/>
      <c r="AG67" s="755"/>
      <c r="AH67" s="755"/>
      <c r="AI67" s="755"/>
      <c r="AJ67" s="755"/>
      <c r="AK67" s="755"/>
    </row>
    <row r="68" spans="1:37">
      <c r="A68" s="753"/>
      <c r="B68" s="753"/>
      <c r="C68" s="753"/>
      <c r="D68" s="753"/>
      <c r="E68" s="753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  <c r="AF68" s="755"/>
      <c r="AG68" s="755"/>
      <c r="AH68" s="755"/>
      <c r="AI68" s="755"/>
      <c r="AJ68" s="755"/>
      <c r="AK68" s="755"/>
    </row>
    <row r="69" spans="1:37">
      <c r="A69" s="753"/>
      <c r="B69" s="753"/>
      <c r="C69" s="753"/>
      <c r="D69" s="753"/>
      <c r="E69" s="753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  <c r="AF69" s="755"/>
      <c r="AG69" s="755"/>
      <c r="AH69" s="755"/>
      <c r="AI69" s="755"/>
      <c r="AJ69" s="755"/>
      <c r="AK69" s="755"/>
    </row>
    <row r="70" spans="1:37">
      <c r="A70" s="753"/>
      <c r="B70" s="753"/>
      <c r="C70" s="753"/>
      <c r="D70" s="753"/>
      <c r="E70" s="753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  <c r="AF70" s="755"/>
      <c r="AG70" s="755"/>
      <c r="AH70" s="755"/>
      <c r="AI70" s="755"/>
      <c r="AJ70" s="755"/>
      <c r="AK70" s="755"/>
    </row>
    <row r="71" spans="1:37">
      <c r="A71" s="753"/>
      <c r="B71" s="753"/>
      <c r="C71" s="753"/>
      <c r="D71" s="753"/>
      <c r="E71" s="753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  <c r="AF71" s="755"/>
      <c r="AG71" s="755"/>
      <c r="AH71" s="755"/>
      <c r="AI71" s="755"/>
      <c r="AJ71" s="755"/>
      <c r="AK71" s="755"/>
    </row>
    <row r="72" spans="1:37">
      <c r="A72" s="753"/>
      <c r="B72" s="753"/>
      <c r="C72" s="753"/>
      <c r="D72" s="753"/>
      <c r="E72" s="753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  <c r="AF72" s="755"/>
      <c r="AG72" s="755"/>
      <c r="AH72" s="755"/>
      <c r="AI72" s="755"/>
      <c r="AJ72" s="755"/>
      <c r="AK72" s="755"/>
    </row>
    <row r="73" spans="1:37">
      <c r="A73" s="753"/>
      <c r="B73" s="753"/>
      <c r="C73" s="753"/>
      <c r="D73" s="753"/>
      <c r="E73" s="753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  <c r="AF73" s="755"/>
      <c r="AG73" s="755"/>
      <c r="AH73" s="755"/>
      <c r="AI73" s="755"/>
      <c r="AJ73" s="755"/>
      <c r="AK73" s="755"/>
    </row>
    <row r="74" spans="1:37">
      <c r="A74" s="753"/>
      <c r="B74" s="753"/>
      <c r="C74" s="753"/>
      <c r="D74" s="753"/>
      <c r="E74" s="753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  <c r="AF74" s="755"/>
      <c r="AG74" s="755"/>
      <c r="AH74" s="755"/>
      <c r="AI74" s="755"/>
      <c r="AJ74" s="755"/>
      <c r="AK74" s="755"/>
    </row>
    <row r="75" spans="1:37">
      <c r="A75" s="753"/>
      <c r="B75" s="753"/>
      <c r="C75" s="753"/>
      <c r="D75" s="753"/>
      <c r="E75" s="753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  <c r="AF75" s="755"/>
      <c r="AG75" s="755"/>
      <c r="AH75" s="755"/>
      <c r="AI75" s="755"/>
      <c r="AJ75" s="755"/>
      <c r="AK75" s="755"/>
    </row>
    <row r="76" spans="1:37">
      <c r="A76" s="753"/>
      <c r="B76" s="753"/>
      <c r="C76" s="753"/>
      <c r="D76" s="753"/>
      <c r="E76" s="753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  <c r="AF76" s="755"/>
      <c r="AG76" s="755"/>
      <c r="AH76" s="755"/>
      <c r="AI76" s="755"/>
      <c r="AJ76" s="755"/>
      <c r="AK76" s="755"/>
    </row>
    <row r="77" spans="1:37">
      <c r="A77" s="753"/>
      <c r="B77" s="753"/>
      <c r="C77" s="753"/>
      <c r="D77" s="753"/>
      <c r="E77" s="753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  <c r="AF77" s="755"/>
      <c r="AG77" s="755"/>
      <c r="AH77" s="755"/>
      <c r="AI77" s="755"/>
      <c r="AJ77" s="755"/>
      <c r="AK77" s="755"/>
    </row>
    <row r="78" spans="1:37">
      <c r="A78" s="753"/>
      <c r="B78" s="753"/>
      <c r="C78" s="753"/>
      <c r="D78" s="753"/>
      <c r="E78" s="753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  <c r="AF78" s="755"/>
      <c r="AG78" s="755"/>
      <c r="AH78" s="755"/>
      <c r="AI78" s="755"/>
      <c r="AJ78" s="755"/>
      <c r="AK78" s="755"/>
    </row>
    <row r="79" spans="1:37">
      <c r="A79" s="753"/>
      <c r="B79" s="753"/>
      <c r="C79" s="753"/>
      <c r="D79" s="753"/>
      <c r="E79" s="753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  <c r="AF79" s="755"/>
      <c r="AG79" s="755"/>
      <c r="AH79" s="755"/>
      <c r="AI79" s="755"/>
      <c r="AJ79" s="755"/>
      <c r="AK79" s="755"/>
    </row>
    <row r="80" spans="1:37">
      <c r="A80" s="753"/>
      <c r="B80" s="753"/>
      <c r="C80" s="753"/>
      <c r="D80" s="753"/>
      <c r="E80" s="753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  <c r="AF80" s="755"/>
      <c r="AG80" s="755"/>
      <c r="AH80" s="755"/>
      <c r="AI80" s="755"/>
      <c r="AJ80" s="755"/>
      <c r="AK80" s="755"/>
    </row>
    <row r="81" spans="1:37">
      <c r="A81" s="753"/>
      <c r="B81" s="753"/>
      <c r="C81" s="753"/>
      <c r="D81" s="753"/>
      <c r="E81" s="753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  <c r="AF81" s="755"/>
      <c r="AG81" s="755"/>
      <c r="AH81" s="755"/>
      <c r="AI81" s="755"/>
      <c r="AJ81" s="755"/>
      <c r="AK81" s="755"/>
    </row>
    <row r="82" spans="1:37">
      <c r="A82" s="753"/>
      <c r="B82" s="753"/>
      <c r="C82" s="753"/>
      <c r="D82" s="753"/>
      <c r="E82" s="753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  <c r="AF82" s="755"/>
      <c r="AG82" s="755"/>
      <c r="AH82" s="755"/>
      <c r="AI82" s="755"/>
      <c r="AJ82" s="755"/>
      <c r="AK82" s="755"/>
    </row>
    <row r="83" spans="1:37">
      <c r="A83" s="753"/>
      <c r="B83" s="753"/>
      <c r="C83" s="753"/>
      <c r="D83" s="753"/>
      <c r="E83" s="753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  <c r="AF83" s="755"/>
      <c r="AG83" s="755"/>
      <c r="AH83" s="755"/>
      <c r="AI83" s="755"/>
      <c r="AJ83" s="755"/>
      <c r="AK83" s="755"/>
    </row>
    <row r="84" spans="1:37">
      <c r="A84" s="753"/>
      <c r="B84" s="753"/>
      <c r="C84" s="753"/>
      <c r="D84" s="753"/>
      <c r="E84" s="753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  <c r="AF84" s="755"/>
      <c r="AG84" s="755"/>
      <c r="AH84" s="755"/>
      <c r="AI84" s="755"/>
      <c r="AJ84" s="755"/>
      <c r="AK84" s="755"/>
    </row>
    <row r="85" spans="1:37">
      <c r="A85" s="753"/>
      <c r="B85" s="753"/>
      <c r="C85" s="753"/>
      <c r="D85" s="753"/>
      <c r="E85" s="753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  <c r="AF85" s="755"/>
      <c r="AG85" s="755"/>
      <c r="AH85" s="755"/>
      <c r="AI85" s="755"/>
      <c r="AJ85" s="755"/>
      <c r="AK85" s="755"/>
    </row>
    <row r="86" spans="1:37">
      <c r="A86" s="753"/>
      <c r="B86" s="753"/>
      <c r="C86" s="753"/>
      <c r="D86" s="753"/>
      <c r="E86" s="753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  <c r="AF86" s="755"/>
      <c r="AG86" s="755"/>
      <c r="AH86" s="755"/>
      <c r="AI86" s="755"/>
      <c r="AJ86" s="755"/>
      <c r="AK86" s="755"/>
    </row>
    <row r="87" spans="1:37">
      <c r="A87" s="753"/>
      <c r="B87" s="753"/>
      <c r="C87" s="753"/>
      <c r="D87" s="753"/>
      <c r="E87" s="753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  <c r="AF87" s="755"/>
      <c r="AG87" s="755"/>
      <c r="AH87" s="755"/>
      <c r="AI87" s="755"/>
      <c r="AJ87" s="755"/>
      <c r="AK87" s="755"/>
    </row>
    <row r="88" spans="1:37">
      <c r="A88" s="753"/>
      <c r="B88" s="753"/>
      <c r="C88" s="753"/>
      <c r="D88" s="753"/>
      <c r="E88" s="753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  <c r="AF88" s="755"/>
      <c r="AG88" s="755"/>
      <c r="AH88" s="755"/>
      <c r="AI88" s="755"/>
      <c r="AJ88" s="755"/>
      <c r="AK88" s="755"/>
    </row>
    <row r="89" spans="1:37">
      <c r="A89" s="753"/>
      <c r="B89" s="753"/>
      <c r="C89" s="753"/>
      <c r="D89" s="753"/>
      <c r="E89" s="753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  <c r="AF89" s="755"/>
      <c r="AG89" s="755"/>
      <c r="AH89" s="755"/>
      <c r="AI89" s="755"/>
      <c r="AJ89" s="755"/>
      <c r="AK89" s="755"/>
    </row>
    <row r="90" spans="1:37">
      <c r="A90" s="753"/>
      <c r="B90" s="753"/>
      <c r="C90" s="753"/>
      <c r="D90" s="753"/>
      <c r="E90" s="753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  <c r="AF90" s="755"/>
      <c r="AG90" s="755"/>
      <c r="AH90" s="755"/>
      <c r="AI90" s="755"/>
      <c r="AJ90" s="755"/>
      <c r="AK90" s="755"/>
    </row>
    <row r="91" spans="1:37">
      <c r="A91" s="753"/>
      <c r="B91" s="753"/>
      <c r="C91" s="753"/>
      <c r="D91" s="753"/>
      <c r="E91" s="753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  <c r="AF91" s="755"/>
      <c r="AG91" s="755"/>
      <c r="AH91" s="755"/>
      <c r="AI91" s="755"/>
      <c r="AJ91" s="755"/>
      <c r="AK91" s="755"/>
    </row>
    <row r="92" spans="1:37">
      <c r="A92" s="753"/>
      <c r="B92" s="753"/>
      <c r="C92" s="753"/>
      <c r="D92" s="753"/>
      <c r="E92" s="753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  <c r="AF92" s="755"/>
      <c r="AG92" s="755"/>
      <c r="AH92" s="755"/>
      <c r="AI92" s="755"/>
      <c r="AJ92" s="755"/>
      <c r="AK92" s="755"/>
    </row>
    <row r="93" spans="1:37">
      <c r="A93" s="753"/>
      <c r="B93" s="753"/>
      <c r="C93" s="753"/>
      <c r="D93" s="753"/>
      <c r="E93" s="753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  <c r="AF93" s="755"/>
      <c r="AG93" s="755"/>
      <c r="AH93" s="755"/>
      <c r="AI93" s="755"/>
      <c r="AJ93" s="755"/>
      <c r="AK93" s="755"/>
    </row>
    <row r="94" spans="1:37">
      <c r="A94" s="753"/>
      <c r="B94" s="753"/>
      <c r="C94" s="753"/>
      <c r="D94" s="753"/>
      <c r="E94" s="753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  <c r="AF94" s="755"/>
      <c r="AG94" s="755"/>
      <c r="AH94" s="755"/>
      <c r="AI94" s="755"/>
      <c r="AJ94" s="755"/>
      <c r="AK94" s="755"/>
    </row>
    <row r="95" spans="1:37">
      <c r="A95" s="753"/>
      <c r="B95" s="753"/>
      <c r="C95" s="753"/>
      <c r="D95" s="753"/>
      <c r="E95" s="753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  <c r="AF95" s="755"/>
      <c r="AG95" s="755"/>
      <c r="AH95" s="755"/>
      <c r="AI95" s="755"/>
      <c r="AJ95" s="755"/>
      <c r="AK95" s="755"/>
    </row>
    <row r="96" spans="1:37">
      <c r="A96" s="753"/>
      <c r="B96" s="753"/>
      <c r="C96" s="753"/>
      <c r="D96" s="753"/>
      <c r="E96" s="753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  <c r="AF96" s="755"/>
      <c r="AG96" s="755"/>
      <c r="AH96" s="755"/>
      <c r="AI96" s="755"/>
      <c r="AJ96" s="755"/>
      <c r="AK96" s="755"/>
    </row>
    <row r="97" spans="1:37">
      <c r="A97" s="753"/>
      <c r="B97" s="753"/>
      <c r="C97" s="753"/>
      <c r="D97" s="753"/>
      <c r="E97" s="753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  <c r="AF97" s="755"/>
      <c r="AG97" s="755"/>
      <c r="AH97" s="755"/>
      <c r="AI97" s="755"/>
      <c r="AJ97" s="755"/>
      <c r="AK97" s="755"/>
    </row>
    <row r="98" spans="1:37">
      <c r="A98" s="753"/>
      <c r="B98" s="753"/>
      <c r="C98" s="753"/>
      <c r="D98" s="753"/>
      <c r="E98" s="753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  <c r="AF98" s="755"/>
      <c r="AG98" s="755"/>
      <c r="AH98" s="755"/>
      <c r="AI98" s="755"/>
      <c r="AJ98" s="755"/>
      <c r="AK98" s="755"/>
    </row>
    <row r="99" spans="1:37">
      <c r="A99" s="753"/>
      <c r="B99" s="753"/>
      <c r="C99" s="753"/>
      <c r="D99" s="753"/>
      <c r="E99" s="753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  <c r="AF99" s="755"/>
      <c r="AG99" s="755"/>
      <c r="AH99" s="755"/>
      <c r="AI99" s="755"/>
      <c r="AJ99" s="755"/>
      <c r="AK99" s="755"/>
    </row>
    <row r="100" spans="1:37">
      <c r="A100" s="753"/>
      <c r="B100" s="753"/>
      <c r="C100" s="753"/>
      <c r="D100" s="753"/>
      <c r="E100" s="753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  <c r="AF100" s="755"/>
      <c r="AG100" s="755"/>
      <c r="AH100" s="755"/>
      <c r="AI100" s="755"/>
      <c r="AJ100" s="755"/>
      <c r="AK100" s="755"/>
    </row>
    <row r="101" spans="1:37">
      <c r="A101" s="753"/>
      <c r="B101" s="753"/>
      <c r="C101" s="753"/>
      <c r="D101" s="753"/>
      <c r="E101" s="753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  <c r="AF101" s="755"/>
      <c r="AG101" s="755"/>
      <c r="AH101" s="755"/>
      <c r="AI101" s="755"/>
      <c r="AJ101" s="755"/>
      <c r="AK101" s="755"/>
    </row>
    <row r="102" spans="1:37">
      <c r="A102" s="753"/>
      <c r="B102" s="753"/>
      <c r="C102" s="753"/>
      <c r="D102" s="753"/>
      <c r="E102" s="753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  <c r="AF102" s="755"/>
      <c r="AG102" s="755"/>
      <c r="AH102" s="755"/>
      <c r="AI102" s="755"/>
      <c r="AJ102" s="755"/>
      <c r="AK102" s="755"/>
    </row>
    <row r="103" spans="1:37">
      <c r="A103" s="753"/>
      <c r="B103" s="753"/>
      <c r="C103" s="753"/>
      <c r="D103" s="753"/>
      <c r="E103" s="753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  <c r="AF103" s="755"/>
      <c r="AG103" s="755"/>
      <c r="AH103" s="755"/>
      <c r="AI103" s="755"/>
      <c r="AJ103" s="755"/>
      <c r="AK103" s="755"/>
    </row>
    <row r="104" spans="1:37">
      <c r="A104" s="753"/>
      <c r="B104" s="753"/>
      <c r="C104" s="753"/>
      <c r="D104" s="753"/>
      <c r="E104" s="753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  <c r="AF104" s="755"/>
      <c r="AG104" s="755"/>
      <c r="AH104" s="755"/>
      <c r="AI104" s="755"/>
      <c r="AJ104" s="755"/>
      <c r="AK104" s="755"/>
    </row>
    <row r="105" spans="1:37">
      <c r="A105" s="753"/>
      <c r="B105" s="753"/>
      <c r="C105" s="753"/>
      <c r="D105" s="753"/>
      <c r="E105" s="753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  <c r="AF105" s="755"/>
      <c r="AG105" s="755"/>
      <c r="AH105" s="755"/>
      <c r="AI105" s="755"/>
      <c r="AJ105" s="755"/>
      <c r="AK105" s="755"/>
    </row>
    <row r="106" spans="1:37">
      <c r="A106" s="753"/>
      <c r="B106" s="753"/>
      <c r="C106" s="753"/>
      <c r="D106" s="753"/>
      <c r="E106" s="753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  <c r="AF106" s="755"/>
      <c r="AG106" s="755"/>
      <c r="AH106" s="755"/>
      <c r="AI106" s="755"/>
      <c r="AJ106" s="755"/>
      <c r="AK106" s="755"/>
    </row>
    <row r="107" spans="1:37">
      <c r="A107" s="753"/>
      <c r="B107" s="753"/>
      <c r="C107" s="753"/>
      <c r="D107" s="753"/>
      <c r="E107" s="753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  <c r="AF107" s="755"/>
      <c r="AG107" s="755"/>
      <c r="AH107" s="755"/>
      <c r="AI107" s="755"/>
      <c r="AJ107" s="755"/>
      <c r="AK107" s="755"/>
    </row>
    <row r="108" spans="1:37">
      <c r="A108" s="753"/>
      <c r="B108" s="753"/>
      <c r="C108" s="753"/>
      <c r="D108" s="753"/>
      <c r="E108" s="753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  <c r="AF108" s="755"/>
      <c r="AG108" s="755"/>
      <c r="AH108" s="755"/>
      <c r="AI108" s="755"/>
      <c r="AJ108" s="755"/>
      <c r="AK108" s="755"/>
    </row>
    <row r="109" spans="1:37">
      <c r="A109" s="753"/>
      <c r="B109" s="753"/>
      <c r="C109" s="753"/>
      <c r="D109" s="753"/>
      <c r="E109" s="753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  <c r="AF109" s="755"/>
      <c r="AG109" s="755"/>
      <c r="AH109" s="755"/>
      <c r="AI109" s="755"/>
      <c r="AJ109" s="755"/>
      <c r="AK109" s="755"/>
    </row>
    <row r="110" spans="1:37">
      <c r="A110" s="753"/>
      <c r="B110" s="753"/>
      <c r="C110" s="753"/>
      <c r="D110" s="753"/>
      <c r="E110" s="753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  <c r="AF110" s="755"/>
      <c r="AG110" s="755"/>
      <c r="AH110" s="755"/>
      <c r="AI110" s="755"/>
      <c r="AJ110" s="755"/>
      <c r="AK110" s="755"/>
    </row>
    <row r="111" spans="1:37">
      <c r="A111" s="753"/>
      <c r="B111" s="753"/>
      <c r="C111" s="753"/>
      <c r="D111" s="753"/>
      <c r="E111" s="753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  <c r="AF111" s="755"/>
      <c r="AG111" s="755"/>
      <c r="AH111" s="755"/>
      <c r="AI111" s="755"/>
      <c r="AJ111" s="755"/>
      <c r="AK111" s="755"/>
    </row>
    <row r="112" spans="1:37">
      <c r="A112" s="753"/>
      <c r="B112" s="753"/>
      <c r="C112" s="753"/>
      <c r="D112" s="753"/>
      <c r="E112" s="753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  <c r="AF112" s="755"/>
      <c r="AG112" s="755"/>
      <c r="AH112" s="755"/>
      <c r="AI112" s="755"/>
      <c r="AJ112" s="755"/>
      <c r="AK112" s="755"/>
    </row>
    <row r="113" spans="1:37">
      <c r="A113" s="753"/>
      <c r="B113" s="753"/>
      <c r="C113" s="753"/>
      <c r="D113" s="753"/>
      <c r="E113" s="753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  <c r="AF113" s="755"/>
      <c r="AG113" s="755"/>
      <c r="AH113" s="755"/>
      <c r="AI113" s="755"/>
      <c r="AJ113" s="755"/>
      <c r="AK113" s="755"/>
    </row>
    <row r="114" spans="1:37">
      <c r="A114" s="753"/>
      <c r="B114" s="753"/>
      <c r="C114" s="753"/>
      <c r="D114" s="753"/>
      <c r="E114" s="753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  <c r="AF114" s="755"/>
      <c r="AG114" s="755"/>
      <c r="AH114" s="755"/>
      <c r="AI114" s="755"/>
      <c r="AJ114" s="755"/>
      <c r="AK114" s="755"/>
    </row>
    <row r="115" spans="1:37">
      <c r="A115" s="753"/>
      <c r="B115" s="753"/>
      <c r="C115" s="753"/>
      <c r="D115" s="753"/>
      <c r="E115" s="753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  <c r="AF115" s="755"/>
      <c r="AG115" s="755"/>
      <c r="AH115" s="755"/>
      <c r="AI115" s="755"/>
      <c r="AJ115" s="755"/>
      <c r="AK115" s="755"/>
    </row>
    <row r="116" spans="1:37">
      <c r="A116" s="753"/>
      <c r="B116" s="753"/>
      <c r="C116" s="753"/>
      <c r="D116" s="753"/>
      <c r="E116" s="753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  <c r="AF116" s="755"/>
      <c r="AG116" s="755"/>
      <c r="AH116" s="755"/>
      <c r="AI116" s="755"/>
      <c r="AJ116" s="755"/>
      <c r="AK116" s="755"/>
    </row>
    <row r="117" spans="1:37">
      <c r="A117" s="753"/>
      <c r="B117" s="753"/>
      <c r="C117" s="753"/>
      <c r="D117" s="753"/>
      <c r="E117" s="753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  <c r="AF117" s="755"/>
      <c r="AG117" s="755"/>
      <c r="AH117" s="755"/>
      <c r="AI117" s="755"/>
      <c r="AJ117" s="755"/>
      <c r="AK117" s="755"/>
    </row>
    <row r="118" spans="1:37">
      <c r="A118" s="753"/>
      <c r="B118" s="753"/>
      <c r="C118" s="753"/>
      <c r="D118" s="753"/>
      <c r="E118" s="753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  <c r="AF118" s="755"/>
      <c r="AG118" s="755"/>
      <c r="AH118" s="755"/>
      <c r="AI118" s="755"/>
      <c r="AJ118" s="755"/>
      <c r="AK118" s="755"/>
    </row>
    <row r="119" spans="1:37">
      <c r="A119" s="753"/>
      <c r="B119" s="753"/>
      <c r="C119" s="753"/>
      <c r="D119" s="753"/>
      <c r="E119" s="753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  <c r="AF119" s="755"/>
      <c r="AG119" s="755"/>
      <c r="AH119" s="755"/>
      <c r="AI119" s="755"/>
      <c r="AJ119" s="755"/>
      <c r="AK119" s="755"/>
    </row>
    <row r="120" spans="1:37">
      <c r="A120" s="753"/>
      <c r="B120" s="753"/>
      <c r="C120" s="753"/>
      <c r="D120" s="753"/>
      <c r="E120" s="753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  <c r="AF120" s="755"/>
      <c r="AG120" s="755"/>
      <c r="AH120" s="755"/>
      <c r="AI120" s="755"/>
      <c r="AJ120" s="755"/>
      <c r="AK120" s="755"/>
    </row>
    <row r="121" spans="1:37">
      <c r="A121" s="753"/>
      <c r="B121" s="753"/>
      <c r="C121" s="753"/>
      <c r="D121" s="753"/>
      <c r="E121" s="753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  <c r="AF121" s="755"/>
      <c r="AG121" s="755"/>
      <c r="AH121" s="755"/>
      <c r="AI121" s="755"/>
      <c r="AJ121" s="755"/>
      <c r="AK121" s="755"/>
    </row>
    <row r="122" spans="1:37">
      <c r="A122" s="753"/>
      <c r="B122" s="753"/>
      <c r="C122" s="753"/>
      <c r="D122" s="753"/>
      <c r="E122" s="753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  <c r="AF122" s="755"/>
      <c r="AG122" s="755"/>
      <c r="AH122" s="755"/>
      <c r="AI122" s="755"/>
      <c r="AJ122" s="755"/>
      <c r="AK122" s="755"/>
    </row>
    <row r="123" spans="1:37">
      <c r="A123" s="753"/>
      <c r="B123" s="753"/>
      <c r="C123" s="753"/>
      <c r="D123" s="753"/>
      <c r="E123" s="753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  <c r="AF123" s="755"/>
      <c r="AG123" s="755"/>
      <c r="AH123" s="755"/>
      <c r="AI123" s="755"/>
      <c r="AJ123" s="755"/>
      <c r="AK123" s="755"/>
    </row>
    <row r="124" spans="1:37">
      <c r="A124" s="753"/>
      <c r="B124" s="753"/>
      <c r="C124" s="753"/>
      <c r="D124" s="753"/>
      <c r="E124" s="753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  <c r="AF124" s="755"/>
      <c r="AG124" s="755"/>
      <c r="AH124" s="755"/>
      <c r="AI124" s="755"/>
      <c r="AJ124" s="755"/>
      <c r="AK124" s="755"/>
    </row>
    <row r="125" spans="1:37">
      <c r="A125" s="753"/>
      <c r="B125" s="753"/>
      <c r="C125" s="753"/>
      <c r="D125" s="753"/>
      <c r="E125" s="753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  <c r="AF125" s="755"/>
      <c r="AG125" s="755"/>
      <c r="AH125" s="755"/>
      <c r="AI125" s="755"/>
      <c r="AJ125" s="755"/>
      <c r="AK125" s="755"/>
    </row>
    <row r="126" spans="1:37">
      <c r="A126" s="753"/>
      <c r="B126" s="753"/>
      <c r="C126" s="753"/>
      <c r="D126" s="753"/>
      <c r="E126" s="753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  <c r="AF126" s="755"/>
      <c r="AG126" s="755"/>
      <c r="AH126" s="755"/>
      <c r="AI126" s="755"/>
      <c r="AJ126" s="755"/>
      <c r="AK126" s="755"/>
    </row>
    <row r="127" spans="1:37">
      <c r="A127" s="753"/>
      <c r="B127" s="753"/>
      <c r="C127" s="753"/>
      <c r="D127" s="753"/>
      <c r="E127" s="753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  <c r="AF127" s="755"/>
      <c r="AG127" s="755"/>
      <c r="AH127" s="755"/>
      <c r="AI127" s="755"/>
      <c r="AJ127" s="755"/>
      <c r="AK127" s="755"/>
    </row>
    <row r="128" spans="1:37">
      <c r="A128" s="753"/>
      <c r="B128" s="753"/>
      <c r="C128" s="753"/>
      <c r="D128" s="753"/>
      <c r="E128" s="753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  <c r="AF128" s="755"/>
      <c r="AG128" s="755"/>
      <c r="AH128" s="755"/>
      <c r="AI128" s="755"/>
      <c r="AJ128" s="755"/>
      <c r="AK128" s="755"/>
    </row>
    <row r="129" spans="1:37">
      <c r="A129" s="753"/>
      <c r="B129" s="753"/>
      <c r="C129" s="753"/>
      <c r="D129" s="753"/>
      <c r="E129" s="753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  <c r="AF129" s="755"/>
      <c r="AG129" s="755"/>
      <c r="AH129" s="755"/>
      <c r="AI129" s="755"/>
      <c r="AJ129" s="755"/>
      <c r="AK129" s="755"/>
    </row>
    <row r="130" spans="1:37">
      <c r="A130" s="753"/>
      <c r="B130" s="753"/>
      <c r="C130" s="753"/>
      <c r="D130" s="753"/>
      <c r="E130" s="753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  <c r="AF130" s="755"/>
      <c r="AG130" s="755"/>
      <c r="AH130" s="755"/>
      <c r="AI130" s="755"/>
      <c r="AJ130" s="755"/>
      <c r="AK130" s="755"/>
    </row>
    <row r="131" spans="1:37">
      <c r="A131" s="753"/>
      <c r="B131" s="753"/>
      <c r="C131" s="753"/>
      <c r="D131" s="753"/>
      <c r="E131" s="753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  <c r="AF131" s="755"/>
      <c r="AG131" s="755"/>
      <c r="AH131" s="755"/>
      <c r="AI131" s="755"/>
      <c r="AJ131" s="755"/>
      <c r="AK131" s="755"/>
    </row>
    <row r="132" spans="1:37">
      <c r="A132" s="753"/>
      <c r="B132" s="753"/>
      <c r="C132" s="753"/>
      <c r="D132" s="753"/>
      <c r="E132" s="753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  <c r="AF132" s="755"/>
      <c r="AG132" s="755"/>
      <c r="AH132" s="755"/>
      <c r="AI132" s="755"/>
      <c r="AJ132" s="755"/>
      <c r="AK132" s="755"/>
    </row>
    <row r="133" spans="1:37">
      <c r="A133" s="753"/>
      <c r="B133" s="753"/>
      <c r="C133" s="753"/>
      <c r="D133" s="753"/>
      <c r="E133" s="753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  <c r="AF133" s="755"/>
      <c r="AG133" s="755"/>
      <c r="AH133" s="755"/>
      <c r="AI133" s="755"/>
      <c r="AJ133" s="755"/>
      <c r="AK133" s="755"/>
    </row>
    <row r="134" spans="1:37">
      <c r="A134" s="753"/>
      <c r="B134" s="753"/>
      <c r="C134" s="753"/>
      <c r="D134" s="753"/>
      <c r="E134" s="753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  <c r="AF134" s="755"/>
      <c r="AG134" s="755"/>
      <c r="AH134" s="755"/>
      <c r="AI134" s="755"/>
      <c r="AJ134" s="755"/>
      <c r="AK134" s="755"/>
    </row>
    <row r="135" spans="1:37">
      <c r="A135" s="753"/>
      <c r="B135" s="753"/>
      <c r="C135" s="753"/>
      <c r="D135" s="753"/>
      <c r="E135" s="753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  <c r="AF135" s="755"/>
      <c r="AG135" s="755"/>
      <c r="AH135" s="755"/>
      <c r="AI135" s="755"/>
      <c r="AJ135" s="755"/>
      <c r="AK135" s="755"/>
    </row>
    <row r="136" spans="1:37">
      <c r="A136" s="753"/>
      <c r="B136" s="753"/>
      <c r="C136" s="753"/>
      <c r="D136" s="753"/>
      <c r="E136" s="753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  <c r="AF136" s="755"/>
      <c r="AG136" s="755"/>
      <c r="AH136" s="755"/>
      <c r="AI136" s="755"/>
      <c r="AJ136" s="755"/>
      <c r="AK136" s="755"/>
    </row>
    <row r="137" spans="1:37">
      <c r="A137" s="753"/>
      <c r="B137" s="753"/>
      <c r="C137" s="753"/>
      <c r="D137" s="753"/>
      <c r="E137" s="753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  <c r="AF137" s="755"/>
      <c r="AG137" s="755"/>
      <c r="AH137" s="755"/>
      <c r="AI137" s="755"/>
      <c r="AJ137" s="755"/>
      <c r="AK137" s="755"/>
    </row>
    <row r="138" spans="1:37">
      <c r="A138" s="753"/>
      <c r="B138" s="753"/>
      <c r="C138" s="753"/>
      <c r="D138" s="753"/>
      <c r="E138" s="753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  <c r="AF138" s="755"/>
      <c r="AG138" s="755"/>
      <c r="AH138" s="755"/>
      <c r="AI138" s="755"/>
      <c r="AJ138" s="755"/>
      <c r="AK138" s="755"/>
    </row>
    <row r="139" spans="1:37">
      <c r="A139" s="753"/>
      <c r="B139" s="753"/>
      <c r="C139" s="753"/>
      <c r="D139" s="753"/>
      <c r="E139" s="753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  <c r="AF139" s="755"/>
      <c r="AG139" s="755"/>
      <c r="AH139" s="755"/>
      <c r="AI139" s="755"/>
      <c r="AJ139" s="755"/>
      <c r="AK139" s="755"/>
    </row>
    <row r="140" spans="1:37">
      <c r="A140" s="753"/>
      <c r="B140" s="753"/>
      <c r="C140" s="753"/>
      <c r="D140" s="753"/>
      <c r="E140" s="753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  <c r="AF140" s="755"/>
      <c r="AG140" s="755"/>
      <c r="AH140" s="755"/>
      <c r="AI140" s="755"/>
      <c r="AJ140" s="755"/>
      <c r="AK140" s="755"/>
    </row>
    <row r="141" spans="1:37">
      <c r="A141" s="753"/>
      <c r="B141" s="753"/>
      <c r="C141" s="753"/>
      <c r="D141" s="753"/>
      <c r="E141" s="753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  <c r="AF141" s="755"/>
      <c r="AG141" s="755"/>
      <c r="AH141" s="755"/>
      <c r="AI141" s="755"/>
      <c r="AJ141" s="755"/>
      <c r="AK141" s="755"/>
    </row>
    <row r="142" spans="1:37">
      <c r="A142" s="753"/>
      <c r="B142" s="753"/>
      <c r="C142" s="753"/>
      <c r="D142" s="753"/>
      <c r="E142" s="753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  <c r="AF142" s="755"/>
      <c r="AG142" s="755"/>
      <c r="AH142" s="755"/>
      <c r="AI142" s="755"/>
      <c r="AJ142" s="755"/>
      <c r="AK142" s="755"/>
    </row>
    <row r="143" spans="1:37">
      <c r="A143" s="753"/>
      <c r="B143" s="753"/>
      <c r="C143" s="753"/>
      <c r="D143" s="753"/>
      <c r="E143" s="753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  <c r="AF143" s="755"/>
      <c r="AG143" s="755"/>
      <c r="AH143" s="755"/>
      <c r="AI143" s="755"/>
      <c r="AJ143" s="755"/>
      <c r="AK143" s="755"/>
    </row>
    <row r="144" spans="1:37">
      <c r="A144" s="753"/>
      <c r="B144" s="753"/>
      <c r="C144" s="753"/>
      <c r="D144" s="753"/>
      <c r="E144" s="753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  <c r="AF144" s="755"/>
      <c r="AG144" s="755"/>
      <c r="AH144" s="755"/>
      <c r="AI144" s="755"/>
      <c r="AJ144" s="755"/>
      <c r="AK144" s="755"/>
    </row>
    <row r="145" spans="1:37">
      <c r="A145" s="753"/>
      <c r="B145" s="753"/>
      <c r="C145" s="753"/>
      <c r="D145" s="753"/>
      <c r="E145" s="753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  <c r="AF145" s="755"/>
      <c r="AG145" s="755"/>
      <c r="AH145" s="755"/>
      <c r="AI145" s="755"/>
      <c r="AJ145" s="755"/>
      <c r="AK145" s="755"/>
    </row>
    <row r="146" spans="1:37">
      <c r="A146" s="753"/>
      <c r="B146" s="753"/>
      <c r="C146" s="753"/>
      <c r="D146" s="753"/>
      <c r="E146" s="753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  <c r="AF146" s="755"/>
      <c r="AG146" s="755"/>
      <c r="AH146" s="755"/>
      <c r="AI146" s="755"/>
      <c r="AJ146" s="755"/>
      <c r="AK146" s="755"/>
    </row>
    <row r="147" spans="1:37">
      <c r="A147" s="753"/>
      <c r="B147" s="753"/>
      <c r="C147" s="753"/>
      <c r="D147" s="753"/>
      <c r="E147" s="753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  <c r="AF147" s="755"/>
      <c r="AG147" s="755"/>
      <c r="AH147" s="755"/>
      <c r="AI147" s="755"/>
      <c r="AJ147" s="755"/>
      <c r="AK147" s="755"/>
    </row>
    <row r="148" spans="1:37">
      <c r="A148" s="753"/>
      <c r="B148" s="753"/>
      <c r="C148" s="753"/>
      <c r="D148" s="753"/>
      <c r="E148" s="753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  <c r="AF148" s="755"/>
      <c r="AG148" s="755"/>
      <c r="AH148" s="755"/>
      <c r="AI148" s="755"/>
      <c r="AJ148" s="755"/>
      <c r="AK148" s="755"/>
    </row>
    <row r="149" spans="1:37">
      <c r="A149" s="753"/>
      <c r="B149" s="753"/>
      <c r="C149" s="753"/>
      <c r="D149" s="753"/>
      <c r="E149" s="753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  <c r="AF149" s="755"/>
      <c r="AG149" s="755"/>
      <c r="AH149" s="755"/>
      <c r="AI149" s="755"/>
      <c r="AJ149" s="755"/>
      <c r="AK149" s="755"/>
    </row>
    <row r="150" spans="1:37">
      <c r="A150" s="753"/>
      <c r="B150" s="753"/>
      <c r="C150" s="753"/>
      <c r="D150" s="753"/>
      <c r="E150" s="753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  <c r="AF150" s="755"/>
      <c r="AG150" s="755"/>
      <c r="AH150" s="755"/>
      <c r="AI150" s="755"/>
      <c r="AJ150" s="755"/>
      <c r="AK150" s="755"/>
    </row>
    <row r="151" spans="1:37">
      <c r="A151" s="753"/>
      <c r="B151" s="753"/>
      <c r="C151" s="753"/>
      <c r="D151" s="753"/>
      <c r="E151" s="753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  <c r="AF151" s="755"/>
      <c r="AG151" s="755"/>
      <c r="AH151" s="755"/>
      <c r="AI151" s="755"/>
      <c r="AJ151" s="755"/>
      <c r="AK151" s="755"/>
    </row>
    <row r="152" spans="1:37">
      <c r="A152" s="753"/>
      <c r="B152" s="753"/>
      <c r="C152" s="753"/>
      <c r="D152" s="753"/>
      <c r="E152" s="753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  <c r="AF152" s="755"/>
      <c r="AG152" s="755"/>
      <c r="AH152" s="755"/>
      <c r="AI152" s="755"/>
      <c r="AJ152" s="755"/>
      <c r="AK152" s="755"/>
    </row>
    <row r="153" spans="1:37">
      <c r="A153" s="753"/>
      <c r="B153" s="753"/>
      <c r="C153" s="753"/>
      <c r="D153" s="753"/>
      <c r="E153" s="753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  <c r="AF153" s="755"/>
      <c r="AG153" s="755"/>
      <c r="AH153" s="755"/>
      <c r="AI153" s="755"/>
      <c r="AJ153" s="755"/>
      <c r="AK153" s="755"/>
    </row>
    <row r="154" spans="1:37">
      <c r="A154" s="753"/>
      <c r="B154" s="753"/>
      <c r="C154" s="753"/>
      <c r="D154" s="753"/>
      <c r="E154" s="753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  <c r="AF154" s="755"/>
      <c r="AG154" s="755"/>
      <c r="AH154" s="755"/>
      <c r="AI154" s="755"/>
      <c r="AJ154" s="755"/>
      <c r="AK154" s="755"/>
    </row>
    <row r="155" spans="1:37">
      <c r="A155" s="753"/>
      <c r="B155" s="753"/>
      <c r="C155" s="753"/>
      <c r="D155" s="753"/>
      <c r="E155" s="753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  <c r="AF155" s="755"/>
      <c r="AG155" s="755"/>
      <c r="AH155" s="755"/>
      <c r="AI155" s="755"/>
      <c r="AJ155" s="755"/>
      <c r="AK155" s="755"/>
    </row>
    <row r="156" spans="1:37">
      <c r="A156" s="753"/>
      <c r="B156" s="753"/>
      <c r="C156" s="753"/>
      <c r="D156" s="753"/>
      <c r="E156" s="753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  <c r="AF156" s="755"/>
      <c r="AG156" s="755"/>
      <c r="AH156" s="755"/>
      <c r="AI156" s="755"/>
      <c r="AJ156" s="755"/>
      <c r="AK156" s="755"/>
    </row>
    <row r="157" spans="1:37">
      <c r="A157" s="753"/>
      <c r="B157" s="753"/>
      <c r="C157" s="753"/>
      <c r="D157" s="753"/>
      <c r="E157" s="753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  <c r="AF157" s="755"/>
      <c r="AG157" s="755"/>
      <c r="AH157" s="755"/>
      <c r="AI157" s="755"/>
      <c r="AJ157" s="755"/>
      <c r="AK157" s="755"/>
    </row>
    <row r="158" spans="1:37">
      <c r="A158" s="753"/>
      <c r="B158" s="753"/>
      <c r="C158" s="753"/>
      <c r="D158" s="753"/>
      <c r="E158" s="753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  <c r="AF158" s="755"/>
      <c r="AG158" s="755"/>
      <c r="AH158" s="755"/>
      <c r="AI158" s="755"/>
      <c r="AJ158" s="755"/>
      <c r="AK158" s="755"/>
    </row>
    <row r="159" spans="1:37">
      <c r="A159" s="753"/>
      <c r="B159" s="753"/>
      <c r="C159" s="753"/>
      <c r="D159" s="753"/>
      <c r="E159" s="753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  <c r="AF159" s="755"/>
      <c r="AG159" s="755"/>
      <c r="AH159" s="755"/>
      <c r="AI159" s="755"/>
      <c r="AJ159" s="755"/>
      <c r="AK159" s="755"/>
    </row>
    <row r="160" spans="1:37">
      <c r="A160" s="753"/>
      <c r="B160" s="753"/>
      <c r="C160" s="753"/>
      <c r="D160" s="753"/>
      <c r="E160" s="753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  <c r="AF160" s="755"/>
      <c r="AG160" s="755"/>
      <c r="AH160" s="755"/>
      <c r="AI160" s="755"/>
      <c r="AJ160" s="755"/>
      <c r="AK160" s="755"/>
    </row>
    <row r="161" spans="1:37">
      <c r="A161" s="753"/>
      <c r="B161" s="753"/>
      <c r="C161" s="753"/>
      <c r="D161" s="753"/>
      <c r="E161" s="753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  <c r="AF161" s="755"/>
      <c r="AG161" s="755"/>
      <c r="AH161" s="755"/>
      <c r="AI161" s="755"/>
      <c r="AJ161" s="755"/>
      <c r="AK161" s="755"/>
    </row>
    <row r="162" spans="1:37">
      <c r="A162" s="753"/>
      <c r="B162" s="753"/>
      <c r="C162" s="753"/>
      <c r="D162" s="753"/>
      <c r="E162" s="753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  <c r="AF162" s="755"/>
      <c r="AG162" s="755"/>
      <c r="AH162" s="755"/>
      <c r="AI162" s="755"/>
      <c r="AJ162" s="755"/>
      <c r="AK162" s="755"/>
    </row>
    <row r="163" spans="1:37">
      <c r="A163" s="753"/>
      <c r="B163" s="753"/>
      <c r="C163" s="753"/>
      <c r="D163" s="753"/>
      <c r="E163" s="753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  <c r="AF163" s="755"/>
      <c r="AG163" s="755"/>
      <c r="AH163" s="755"/>
      <c r="AI163" s="755"/>
      <c r="AJ163" s="755"/>
      <c r="AK163" s="755"/>
    </row>
    <row r="164" spans="1:37">
      <c r="A164" s="753"/>
      <c r="B164" s="753"/>
      <c r="C164" s="753"/>
      <c r="D164" s="753"/>
      <c r="E164" s="753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  <c r="AF164" s="755"/>
      <c r="AG164" s="755"/>
      <c r="AH164" s="755"/>
      <c r="AI164" s="755"/>
      <c r="AJ164" s="755"/>
      <c r="AK164" s="755"/>
    </row>
    <row r="165" spans="1:37">
      <c r="A165" s="753"/>
      <c r="B165" s="753"/>
      <c r="C165" s="753"/>
      <c r="D165" s="753"/>
      <c r="E165" s="753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  <c r="AF165" s="755"/>
      <c r="AG165" s="755"/>
      <c r="AH165" s="755"/>
      <c r="AI165" s="755"/>
      <c r="AJ165" s="755"/>
      <c r="AK165" s="755"/>
    </row>
    <row r="166" spans="1:37">
      <c r="A166" s="753"/>
      <c r="B166" s="753"/>
      <c r="C166" s="753"/>
      <c r="D166" s="753"/>
      <c r="E166" s="753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  <c r="AF166" s="755"/>
      <c r="AG166" s="755"/>
      <c r="AH166" s="755"/>
      <c r="AI166" s="755"/>
      <c r="AJ166" s="755"/>
      <c r="AK166" s="755"/>
    </row>
    <row r="167" spans="1:37">
      <c r="A167" s="753"/>
      <c r="B167" s="753"/>
      <c r="C167" s="753"/>
      <c r="D167" s="753"/>
      <c r="E167" s="753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  <c r="AF167" s="755"/>
      <c r="AG167" s="755"/>
      <c r="AH167" s="755"/>
      <c r="AI167" s="755"/>
      <c r="AJ167" s="755"/>
      <c r="AK167" s="755"/>
    </row>
    <row r="168" spans="1:37">
      <c r="A168" s="753"/>
      <c r="B168" s="753"/>
      <c r="C168" s="753"/>
      <c r="D168" s="753"/>
      <c r="E168" s="753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  <c r="AF168" s="755"/>
      <c r="AG168" s="755"/>
      <c r="AH168" s="755"/>
      <c r="AI168" s="755"/>
      <c r="AJ168" s="755"/>
      <c r="AK168" s="755"/>
    </row>
    <row r="169" spans="1:37">
      <c r="A169" s="753"/>
      <c r="B169" s="753"/>
      <c r="C169" s="753"/>
      <c r="D169" s="753"/>
      <c r="E169" s="753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  <c r="AF169" s="755"/>
      <c r="AG169" s="755"/>
      <c r="AH169" s="755"/>
      <c r="AI169" s="755"/>
      <c r="AJ169" s="755"/>
      <c r="AK169" s="755"/>
    </row>
    <row r="170" spans="1:37">
      <c r="A170" s="753"/>
      <c r="B170" s="753"/>
      <c r="C170" s="753"/>
      <c r="D170" s="753"/>
      <c r="E170" s="753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  <c r="AF170" s="755"/>
      <c r="AG170" s="755"/>
      <c r="AH170" s="755"/>
      <c r="AI170" s="755"/>
      <c r="AJ170" s="755"/>
      <c r="AK170" s="755"/>
    </row>
    <row r="171" spans="1:37">
      <c r="A171" s="753"/>
      <c r="B171" s="753"/>
      <c r="C171" s="753"/>
      <c r="D171" s="753"/>
      <c r="E171" s="753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  <c r="AF171" s="755"/>
      <c r="AG171" s="755"/>
      <c r="AH171" s="755"/>
      <c r="AI171" s="755"/>
      <c r="AJ171" s="755"/>
      <c r="AK171" s="755"/>
    </row>
    <row r="172" spans="1:37">
      <c r="A172" s="753"/>
      <c r="B172" s="753"/>
      <c r="C172" s="753"/>
      <c r="D172" s="753"/>
      <c r="E172" s="753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  <c r="AF172" s="755"/>
      <c r="AG172" s="755"/>
      <c r="AH172" s="755"/>
      <c r="AI172" s="755"/>
      <c r="AJ172" s="755"/>
      <c r="AK172" s="755"/>
    </row>
    <row r="173" spans="1:37">
      <c r="A173" s="753"/>
      <c r="B173" s="753"/>
      <c r="C173" s="753"/>
      <c r="D173" s="753"/>
      <c r="E173" s="753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  <c r="AF173" s="755"/>
      <c r="AG173" s="755"/>
      <c r="AH173" s="755"/>
      <c r="AI173" s="755"/>
      <c r="AJ173" s="755"/>
      <c r="AK173" s="755"/>
    </row>
    <row r="174" spans="1:37">
      <c r="A174" s="753"/>
      <c r="B174" s="753"/>
      <c r="C174" s="753"/>
      <c r="D174" s="753"/>
      <c r="E174" s="753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  <c r="AF174" s="755"/>
      <c r="AG174" s="755"/>
      <c r="AH174" s="755"/>
      <c r="AI174" s="755"/>
      <c r="AJ174" s="755"/>
      <c r="AK174" s="755"/>
    </row>
    <row r="175" spans="1:37">
      <c r="A175" s="753"/>
      <c r="B175" s="753"/>
      <c r="C175" s="753"/>
      <c r="D175" s="753"/>
      <c r="E175" s="753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  <c r="AF175" s="755"/>
      <c r="AG175" s="755"/>
      <c r="AH175" s="755"/>
      <c r="AI175" s="755"/>
      <c r="AJ175" s="755"/>
      <c r="AK175" s="755"/>
    </row>
    <row r="176" spans="1:37">
      <c r="A176" s="753"/>
      <c r="B176" s="753"/>
      <c r="C176" s="753"/>
      <c r="D176" s="753"/>
      <c r="E176" s="753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  <c r="AF176" s="755"/>
      <c r="AG176" s="755"/>
      <c r="AH176" s="755"/>
      <c r="AI176" s="755"/>
      <c r="AJ176" s="755"/>
      <c r="AK176" s="755"/>
    </row>
    <row r="177" spans="1:37">
      <c r="A177" s="753"/>
      <c r="B177" s="753"/>
      <c r="C177" s="753"/>
      <c r="D177" s="753"/>
      <c r="E177" s="753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  <c r="AF177" s="755"/>
      <c r="AG177" s="755"/>
      <c r="AH177" s="755"/>
      <c r="AI177" s="755"/>
      <c r="AJ177" s="755"/>
      <c r="AK177" s="755"/>
    </row>
    <row r="178" spans="1:37">
      <c r="A178" s="753"/>
      <c r="B178" s="753"/>
      <c r="C178" s="753"/>
      <c r="D178" s="753"/>
      <c r="E178" s="753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  <c r="AF178" s="755"/>
      <c r="AG178" s="755"/>
      <c r="AH178" s="755"/>
      <c r="AI178" s="755"/>
      <c r="AJ178" s="755"/>
      <c r="AK178" s="755"/>
    </row>
    <row r="179" spans="1:37">
      <c r="A179" s="753"/>
      <c r="B179" s="753"/>
      <c r="C179" s="753"/>
      <c r="D179" s="753"/>
      <c r="E179" s="753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  <c r="AF179" s="755"/>
      <c r="AG179" s="755"/>
      <c r="AH179" s="755"/>
      <c r="AI179" s="755"/>
      <c r="AJ179" s="755"/>
      <c r="AK179" s="755"/>
    </row>
    <row r="180" spans="1:37">
      <c r="A180" s="753"/>
      <c r="B180" s="753"/>
      <c r="C180" s="753"/>
      <c r="D180" s="753"/>
      <c r="E180" s="753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  <c r="AF180" s="755"/>
      <c r="AG180" s="755"/>
      <c r="AH180" s="755"/>
      <c r="AI180" s="755"/>
      <c r="AJ180" s="755"/>
      <c r="AK180" s="755"/>
    </row>
    <row r="181" spans="1:37">
      <c r="A181" s="753"/>
      <c r="B181" s="753"/>
      <c r="C181" s="753"/>
      <c r="D181" s="753"/>
      <c r="E181" s="753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  <c r="AF181" s="755"/>
      <c r="AG181" s="755"/>
      <c r="AH181" s="755"/>
      <c r="AI181" s="755"/>
      <c r="AJ181" s="755"/>
      <c r="AK181" s="755"/>
    </row>
    <row r="182" spans="1:37">
      <c r="A182" s="753"/>
      <c r="B182" s="753"/>
      <c r="C182" s="753"/>
      <c r="D182" s="753"/>
      <c r="E182" s="753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  <c r="AF182" s="755"/>
      <c r="AG182" s="755"/>
      <c r="AH182" s="755"/>
      <c r="AI182" s="755"/>
      <c r="AJ182" s="755"/>
      <c r="AK182" s="755"/>
    </row>
    <row r="183" spans="1:37">
      <c r="A183" s="753"/>
      <c r="B183" s="753"/>
      <c r="C183" s="753"/>
      <c r="D183" s="753"/>
      <c r="E183" s="753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  <c r="AF183" s="755"/>
      <c r="AG183" s="755"/>
      <c r="AH183" s="755"/>
      <c r="AI183" s="755"/>
      <c r="AJ183" s="755"/>
      <c r="AK183" s="755"/>
    </row>
    <row r="184" spans="1:37">
      <c r="A184" s="753"/>
      <c r="B184" s="753"/>
      <c r="C184" s="753"/>
      <c r="D184" s="753"/>
      <c r="E184" s="753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  <c r="AF184" s="755"/>
      <c r="AG184" s="755"/>
      <c r="AH184" s="755"/>
      <c r="AI184" s="755"/>
      <c r="AJ184" s="755"/>
      <c r="AK184" s="755"/>
    </row>
    <row r="185" spans="1:37">
      <c r="A185" s="753"/>
      <c r="B185" s="753"/>
      <c r="C185" s="753"/>
      <c r="D185" s="753"/>
      <c r="E185" s="753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  <c r="AF185" s="755"/>
      <c r="AG185" s="755"/>
      <c r="AH185" s="755"/>
      <c r="AI185" s="755"/>
      <c r="AJ185" s="755"/>
      <c r="AK185" s="755"/>
    </row>
    <row r="186" spans="1:37">
      <c r="A186" s="753"/>
      <c r="B186" s="753"/>
      <c r="C186" s="753"/>
      <c r="D186" s="753"/>
      <c r="E186" s="753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  <c r="AF186" s="755"/>
      <c r="AG186" s="755"/>
      <c r="AH186" s="755"/>
      <c r="AI186" s="755"/>
      <c r="AJ186" s="755"/>
      <c r="AK186" s="755"/>
    </row>
    <row r="187" spans="1:37">
      <c r="A187" s="753"/>
      <c r="B187" s="753"/>
      <c r="C187" s="753"/>
      <c r="D187" s="753"/>
      <c r="E187" s="753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  <c r="AF187" s="755"/>
      <c r="AG187" s="755"/>
      <c r="AH187" s="755"/>
      <c r="AI187" s="755"/>
      <c r="AJ187" s="755"/>
      <c r="AK187" s="755"/>
    </row>
    <row r="188" spans="1:37">
      <c r="A188" s="753"/>
      <c r="B188" s="753"/>
      <c r="C188" s="753"/>
      <c r="D188" s="753"/>
      <c r="E188" s="753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  <c r="AF188" s="755"/>
      <c r="AG188" s="755"/>
      <c r="AH188" s="755"/>
      <c r="AI188" s="755"/>
      <c r="AJ188" s="755"/>
      <c r="AK188" s="755"/>
    </row>
    <row r="189" spans="1:37">
      <c r="A189" s="753"/>
      <c r="B189" s="753"/>
      <c r="C189" s="753"/>
      <c r="D189" s="753"/>
      <c r="E189" s="753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  <c r="AF189" s="755"/>
      <c r="AG189" s="755"/>
      <c r="AH189" s="755"/>
      <c r="AI189" s="755"/>
      <c r="AJ189" s="755"/>
      <c r="AK189" s="755"/>
    </row>
    <row r="190" spans="1:37">
      <c r="A190" s="753"/>
      <c r="B190" s="753"/>
      <c r="C190" s="753"/>
      <c r="D190" s="753"/>
      <c r="E190" s="753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  <c r="AF190" s="755"/>
      <c r="AG190" s="755"/>
      <c r="AH190" s="755"/>
      <c r="AI190" s="755"/>
      <c r="AJ190" s="755"/>
      <c r="AK190" s="755"/>
    </row>
    <row r="191" spans="1:37">
      <c r="A191" s="753"/>
      <c r="B191" s="753"/>
      <c r="C191" s="753"/>
      <c r="D191" s="753"/>
      <c r="E191" s="753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  <c r="AF191" s="755"/>
      <c r="AG191" s="755"/>
      <c r="AH191" s="755"/>
      <c r="AI191" s="755"/>
      <c r="AJ191" s="755"/>
      <c r="AK191" s="755"/>
    </row>
    <row r="192" spans="1:37">
      <c r="A192" s="753"/>
      <c r="B192" s="753"/>
      <c r="C192" s="753"/>
      <c r="D192" s="753"/>
      <c r="E192" s="753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  <c r="AF192" s="755"/>
      <c r="AG192" s="755"/>
      <c r="AH192" s="755"/>
      <c r="AI192" s="755"/>
      <c r="AJ192" s="755"/>
      <c r="AK192" s="755"/>
    </row>
    <row r="193" spans="1:37">
      <c r="A193" s="753"/>
      <c r="B193" s="753"/>
      <c r="C193" s="753"/>
      <c r="D193" s="753"/>
      <c r="E193" s="753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  <c r="AF193" s="755"/>
      <c r="AG193" s="755"/>
      <c r="AH193" s="755"/>
      <c r="AI193" s="755"/>
      <c r="AJ193" s="755"/>
      <c r="AK193" s="755"/>
    </row>
    <row r="194" spans="1:37">
      <c r="A194" s="753"/>
      <c r="B194" s="753"/>
      <c r="C194" s="753"/>
      <c r="D194" s="753"/>
      <c r="E194" s="753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  <c r="AF194" s="755"/>
      <c r="AG194" s="755"/>
      <c r="AH194" s="755"/>
      <c r="AI194" s="755"/>
      <c r="AJ194" s="755"/>
      <c r="AK194" s="755"/>
    </row>
    <row r="195" spans="1:37">
      <c r="A195" s="753"/>
      <c r="B195" s="753"/>
      <c r="C195" s="753"/>
      <c r="D195" s="753"/>
      <c r="E195" s="753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  <c r="AF195" s="755"/>
      <c r="AG195" s="755"/>
      <c r="AH195" s="755"/>
      <c r="AI195" s="755"/>
      <c r="AJ195" s="755"/>
      <c r="AK195" s="755"/>
    </row>
    <row r="196" spans="1:37">
      <c r="A196" s="753"/>
      <c r="B196" s="753"/>
      <c r="C196" s="753"/>
      <c r="D196" s="753"/>
      <c r="E196" s="753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  <c r="AF196" s="755"/>
      <c r="AG196" s="755"/>
      <c r="AH196" s="755"/>
      <c r="AI196" s="755"/>
      <c r="AJ196" s="755"/>
      <c r="AK196" s="755"/>
    </row>
    <row r="197" spans="1:37">
      <c r="A197" s="753"/>
      <c r="B197" s="753"/>
      <c r="C197" s="753"/>
      <c r="D197" s="753"/>
      <c r="E197" s="753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  <c r="AF197" s="755"/>
      <c r="AG197" s="755"/>
      <c r="AH197" s="755"/>
      <c r="AI197" s="755"/>
      <c r="AJ197" s="755"/>
      <c r="AK197" s="755"/>
    </row>
    <row r="198" spans="1:37">
      <c r="A198" s="753"/>
      <c r="B198" s="753"/>
      <c r="C198" s="753"/>
      <c r="D198" s="753"/>
      <c r="E198" s="753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  <c r="AF198" s="755"/>
      <c r="AG198" s="755"/>
      <c r="AH198" s="755"/>
      <c r="AI198" s="755"/>
      <c r="AJ198" s="755"/>
      <c r="AK198" s="755"/>
    </row>
    <row r="199" spans="1:37">
      <c r="A199" s="753"/>
      <c r="B199" s="753"/>
      <c r="C199" s="753"/>
      <c r="D199" s="753"/>
      <c r="E199" s="753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  <c r="AF199" s="755"/>
      <c r="AG199" s="755"/>
      <c r="AH199" s="755"/>
      <c r="AI199" s="755"/>
      <c r="AJ199" s="755"/>
      <c r="AK199" s="755"/>
    </row>
    <row r="200" spans="1:37">
      <c r="A200" s="753"/>
      <c r="B200" s="753"/>
      <c r="C200" s="753"/>
      <c r="D200" s="753"/>
      <c r="E200" s="753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  <c r="AF200" s="755"/>
      <c r="AG200" s="755"/>
      <c r="AH200" s="755"/>
      <c r="AI200" s="755"/>
      <c r="AJ200" s="755"/>
      <c r="AK200" s="755"/>
    </row>
    <row r="201" spans="1:37">
      <c r="A201" s="753"/>
      <c r="B201" s="753"/>
      <c r="C201" s="753"/>
      <c r="D201" s="753"/>
      <c r="E201" s="753"/>
      <c r="F201" s="755"/>
      <c r="G201" s="755"/>
      <c r="H201" s="755"/>
      <c r="I201" s="755"/>
      <c r="J201" s="755"/>
      <c r="K201" s="755"/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  <c r="AF201" s="755"/>
      <c r="AG201" s="755"/>
      <c r="AH201" s="755"/>
      <c r="AI201" s="755"/>
      <c r="AJ201" s="755"/>
      <c r="AK201" s="755"/>
    </row>
    <row r="202" spans="1:37">
      <c r="A202" s="753"/>
      <c r="B202" s="753"/>
      <c r="C202" s="753"/>
      <c r="D202" s="753"/>
      <c r="E202" s="753"/>
      <c r="F202" s="755"/>
      <c r="G202" s="755"/>
      <c r="H202" s="755"/>
      <c r="I202" s="755"/>
      <c r="J202" s="755"/>
      <c r="K202" s="755"/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  <c r="AF202" s="755"/>
      <c r="AG202" s="755"/>
      <c r="AH202" s="755"/>
      <c r="AI202" s="755"/>
      <c r="AJ202" s="755"/>
      <c r="AK202" s="755"/>
    </row>
    <row r="203" spans="1:37">
      <c r="A203" s="753"/>
      <c r="B203" s="753"/>
      <c r="C203" s="753"/>
      <c r="D203" s="753"/>
      <c r="E203" s="753"/>
      <c r="F203" s="755"/>
      <c r="G203" s="755"/>
      <c r="H203" s="755"/>
      <c r="I203" s="755"/>
      <c r="J203" s="755"/>
      <c r="K203" s="755"/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  <c r="AF203" s="755"/>
      <c r="AG203" s="755"/>
      <c r="AH203" s="755"/>
      <c r="AI203" s="755"/>
      <c r="AJ203" s="755"/>
      <c r="AK203" s="755"/>
    </row>
    <row r="204" spans="1:37">
      <c r="A204" s="753"/>
      <c r="B204" s="753"/>
      <c r="C204" s="753"/>
      <c r="D204" s="753"/>
      <c r="E204" s="753"/>
      <c r="F204" s="755"/>
      <c r="G204" s="755"/>
      <c r="H204" s="755"/>
      <c r="I204" s="755"/>
      <c r="J204" s="755"/>
      <c r="K204" s="755"/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  <c r="AF204" s="755"/>
      <c r="AG204" s="755"/>
      <c r="AH204" s="755"/>
      <c r="AI204" s="755"/>
      <c r="AJ204" s="755"/>
      <c r="AK204" s="755"/>
    </row>
    <row r="205" spans="1:37">
      <c r="A205" s="753"/>
      <c r="B205" s="753"/>
      <c r="C205" s="753"/>
      <c r="D205" s="753"/>
      <c r="E205" s="753"/>
      <c r="F205" s="755"/>
      <c r="G205" s="755"/>
      <c r="H205" s="755"/>
      <c r="I205" s="755"/>
      <c r="J205" s="755"/>
      <c r="K205" s="755"/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  <c r="AF205" s="755"/>
      <c r="AG205" s="755"/>
      <c r="AH205" s="755"/>
      <c r="AI205" s="755"/>
      <c r="AJ205" s="755"/>
      <c r="AK205" s="755"/>
    </row>
    <row r="206" spans="1:37">
      <c r="A206" s="753"/>
      <c r="B206" s="753"/>
      <c r="C206" s="753"/>
      <c r="D206" s="753"/>
      <c r="E206" s="753"/>
      <c r="F206" s="755"/>
      <c r="G206" s="755"/>
      <c r="H206" s="755"/>
      <c r="I206" s="755"/>
      <c r="J206" s="755"/>
      <c r="K206" s="755"/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  <c r="AF206" s="755"/>
      <c r="AG206" s="755"/>
      <c r="AH206" s="755"/>
      <c r="AI206" s="755"/>
      <c r="AJ206" s="755"/>
      <c r="AK206" s="755"/>
    </row>
    <row r="207" spans="1:37">
      <c r="A207" s="753"/>
      <c r="B207" s="753"/>
      <c r="C207" s="753"/>
      <c r="D207" s="753"/>
      <c r="E207" s="753"/>
      <c r="F207" s="755"/>
      <c r="G207" s="755"/>
      <c r="H207" s="755"/>
      <c r="I207" s="755"/>
      <c r="J207" s="755"/>
      <c r="K207" s="755"/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  <c r="AF207" s="755"/>
      <c r="AG207" s="755"/>
      <c r="AH207" s="755"/>
      <c r="AI207" s="755"/>
      <c r="AJ207" s="755"/>
      <c r="AK207" s="755"/>
    </row>
    <row r="208" spans="1:37">
      <c r="A208" s="753"/>
      <c r="B208" s="753"/>
      <c r="C208" s="753"/>
      <c r="D208" s="753"/>
      <c r="E208" s="753"/>
      <c r="F208" s="755"/>
      <c r="G208" s="755"/>
      <c r="H208" s="755"/>
      <c r="I208" s="755"/>
      <c r="J208" s="755"/>
      <c r="K208" s="755"/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  <c r="AF208" s="755"/>
      <c r="AG208" s="755"/>
      <c r="AH208" s="755"/>
      <c r="AI208" s="755"/>
      <c r="AJ208" s="755"/>
      <c r="AK208" s="755"/>
    </row>
    <row r="209" spans="1:37">
      <c r="A209" s="753"/>
      <c r="B209" s="753"/>
      <c r="C209" s="753"/>
      <c r="D209" s="753"/>
      <c r="E209" s="753"/>
      <c r="F209" s="755"/>
      <c r="G209" s="755"/>
      <c r="H209" s="755"/>
      <c r="I209" s="755"/>
      <c r="J209" s="755"/>
      <c r="K209" s="755"/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  <c r="AF209" s="755"/>
      <c r="AG209" s="755"/>
      <c r="AH209" s="755"/>
      <c r="AI209" s="755"/>
      <c r="AJ209" s="755"/>
      <c r="AK209" s="755"/>
    </row>
    <row r="210" spans="1:37">
      <c r="A210" s="753"/>
      <c r="B210" s="753"/>
      <c r="C210" s="753"/>
      <c r="D210" s="753"/>
      <c r="E210" s="753"/>
      <c r="F210" s="755"/>
      <c r="G210" s="755"/>
      <c r="H210" s="755"/>
      <c r="I210" s="755"/>
      <c r="J210" s="755"/>
      <c r="K210" s="755"/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  <c r="AF210" s="755"/>
      <c r="AG210" s="755"/>
      <c r="AH210" s="755"/>
      <c r="AI210" s="755"/>
      <c r="AJ210" s="755"/>
      <c r="AK210" s="755"/>
    </row>
    <row r="211" spans="1:37">
      <c r="A211" s="753"/>
      <c r="B211" s="753"/>
      <c r="C211" s="753"/>
      <c r="D211" s="753"/>
      <c r="E211" s="753"/>
      <c r="F211" s="755"/>
      <c r="G211" s="755"/>
      <c r="H211" s="755"/>
      <c r="I211" s="755"/>
      <c r="J211" s="755"/>
      <c r="K211" s="755"/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  <c r="AF211" s="755"/>
      <c r="AG211" s="755"/>
      <c r="AH211" s="755"/>
      <c r="AI211" s="755"/>
      <c r="AJ211" s="755"/>
      <c r="AK211" s="755"/>
    </row>
    <row r="212" spans="1:37">
      <c r="A212" s="753"/>
      <c r="B212" s="753"/>
      <c r="C212" s="753"/>
      <c r="D212" s="753"/>
      <c r="E212" s="753"/>
      <c r="F212" s="755"/>
      <c r="G212" s="755"/>
      <c r="H212" s="755"/>
      <c r="I212" s="755"/>
      <c r="J212" s="755"/>
      <c r="K212" s="755"/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  <c r="AF212" s="755"/>
      <c r="AG212" s="755"/>
      <c r="AH212" s="755"/>
      <c r="AI212" s="755"/>
      <c r="AJ212" s="755"/>
      <c r="AK212" s="755"/>
    </row>
    <row r="213" spans="1:37">
      <c r="A213" s="753"/>
      <c r="B213" s="753"/>
      <c r="C213" s="753"/>
      <c r="D213" s="753"/>
      <c r="E213" s="753"/>
      <c r="F213" s="755"/>
      <c r="G213" s="755"/>
      <c r="H213" s="755"/>
      <c r="I213" s="755"/>
      <c r="J213" s="755"/>
      <c r="K213" s="755"/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  <c r="AF213" s="755"/>
      <c r="AG213" s="755"/>
      <c r="AH213" s="755"/>
      <c r="AI213" s="755"/>
      <c r="AJ213" s="755"/>
      <c r="AK213" s="755"/>
    </row>
    <row r="214" spans="1:37">
      <c r="A214" s="753"/>
      <c r="B214" s="753"/>
      <c r="C214" s="753"/>
      <c r="D214" s="753"/>
      <c r="E214" s="753"/>
      <c r="F214" s="755"/>
      <c r="G214" s="755"/>
      <c r="H214" s="755"/>
      <c r="I214" s="755"/>
      <c r="J214" s="755"/>
      <c r="K214" s="755"/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  <c r="AF214" s="755"/>
      <c r="AG214" s="755"/>
      <c r="AH214" s="755"/>
      <c r="AI214" s="755"/>
      <c r="AJ214" s="755"/>
      <c r="AK214" s="755"/>
    </row>
    <row r="215" spans="1:37">
      <c r="A215" s="753"/>
      <c r="B215" s="753"/>
      <c r="C215" s="753"/>
      <c r="D215" s="753"/>
      <c r="E215" s="753"/>
      <c r="F215" s="755"/>
      <c r="G215" s="755"/>
      <c r="H215" s="755"/>
      <c r="I215" s="755"/>
      <c r="J215" s="755"/>
      <c r="K215" s="755"/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  <c r="AF215" s="755"/>
      <c r="AG215" s="755"/>
      <c r="AH215" s="755"/>
      <c r="AI215" s="755"/>
      <c r="AJ215" s="755"/>
      <c r="AK215" s="755"/>
    </row>
    <row r="216" spans="1:37">
      <c r="A216" s="753"/>
      <c r="B216" s="753"/>
      <c r="C216" s="753"/>
      <c r="D216" s="753"/>
      <c r="E216" s="753"/>
      <c r="F216" s="755"/>
      <c r="G216" s="755"/>
      <c r="H216" s="755"/>
      <c r="I216" s="755"/>
      <c r="J216" s="755"/>
      <c r="K216" s="755"/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  <c r="AF216" s="755"/>
      <c r="AG216" s="755"/>
      <c r="AH216" s="755"/>
      <c r="AI216" s="755"/>
      <c r="AJ216" s="755"/>
      <c r="AK216" s="755"/>
    </row>
    <row r="217" spans="1:37">
      <c r="A217" s="753"/>
      <c r="B217" s="753"/>
      <c r="C217" s="753"/>
      <c r="D217" s="753"/>
      <c r="E217" s="753"/>
      <c r="F217" s="755"/>
      <c r="G217" s="755"/>
      <c r="H217" s="755"/>
      <c r="I217" s="755"/>
      <c r="J217" s="755"/>
      <c r="K217" s="755"/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  <c r="AF217" s="755"/>
      <c r="AG217" s="755"/>
      <c r="AH217" s="755"/>
      <c r="AI217" s="755"/>
      <c r="AJ217" s="755"/>
      <c r="AK217" s="755"/>
    </row>
    <row r="218" spans="1:37">
      <c r="A218" s="753"/>
      <c r="B218" s="753"/>
      <c r="C218" s="753"/>
      <c r="D218" s="753"/>
      <c r="E218" s="753"/>
      <c r="F218" s="755"/>
      <c r="G218" s="755"/>
      <c r="H218" s="755"/>
      <c r="I218" s="755"/>
      <c r="J218" s="755"/>
      <c r="K218" s="755"/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  <c r="AF218" s="755"/>
      <c r="AG218" s="755"/>
      <c r="AH218" s="755"/>
      <c r="AI218" s="755"/>
      <c r="AJ218" s="755"/>
      <c r="AK218" s="755"/>
    </row>
    <row r="219" spans="1:37">
      <c r="A219" s="753"/>
      <c r="B219" s="753"/>
      <c r="C219" s="753"/>
      <c r="D219" s="753"/>
      <c r="E219" s="753"/>
      <c r="F219" s="755"/>
      <c r="G219" s="755"/>
      <c r="H219" s="755"/>
      <c r="I219" s="755"/>
      <c r="J219" s="755"/>
      <c r="K219" s="755"/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  <c r="AF219" s="755"/>
      <c r="AG219" s="755"/>
      <c r="AH219" s="755"/>
      <c r="AI219" s="755"/>
      <c r="AJ219" s="755"/>
      <c r="AK219" s="755"/>
    </row>
    <row r="220" spans="1:37">
      <c r="A220" s="753"/>
      <c r="B220" s="753"/>
      <c r="C220" s="753"/>
      <c r="D220" s="753"/>
      <c r="E220" s="753"/>
      <c r="F220" s="755"/>
      <c r="G220" s="755"/>
      <c r="H220" s="755"/>
      <c r="I220" s="755"/>
      <c r="J220" s="755"/>
      <c r="K220" s="755"/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  <c r="AF220" s="755"/>
      <c r="AG220" s="755"/>
      <c r="AH220" s="755"/>
      <c r="AI220" s="755"/>
      <c r="AJ220" s="755"/>
      <c r="AK220" s="755"/>
    </row>
    <row r="221" spans="1:37">
      <c r="A221" s="753"/>
      <c r="B221" s="753"/>
      <c r="C221" s="753"/>
      <c r="D221" s="753"/>
      <c r="E221" s="753"/>
      <c r="F221" s="755"/>
      <c r="G221" s="755"/>
      <c r="H221" s="755"/>
      <c r="I221" s="755"/>
      <c r="J221" s="755"/>
      <c r="K221" s="755"/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  <c r="AF221" s="755"/>
      <c r="AG221" s="755"/>
      <c r="AH221" s="755"/>
      <c r="AI221" s="755"/>
      <c r="AJ221" s="755"/>
      <c r="AK221" s="755"/>
    </row>
    <row r="222" spans="1:37">
      <c r="A222" s="753"/>
      <c r="B222" s="753"/>
      <c r="C222" s="753"/>
      <c r="D222" s="753"/>
      <c r="E222" s="753"/>
      <c r="F222" s="755"/>
      <c r="G222" s="755"/>
      <c r="H222" s="755"/>
      <c r="I222" s="755"/>
      <c r="J222" s="755"/>
      <c r="K222" s="755"/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  <c r="AF222" s="755"/>
      <c r="AG222" s="755"/>
      <c r="AH222" s="755"/>
      <c r="AI222" s="755"/>
      <c r="AJ222" s="755"/>
      <c r="AK222" s="755"/>
    </row>
    <row r="223" spans="1:37">
      <c r="A223" s="753"/>
      <c r="B223" s="753"/>
      <c r="C223" s="753"/>
      <c r="D223" s="753"/>
      <c r="E223" s="753"/>
      <c r="F223" s="755"/>
      <c r="G223" s="755"/>
      <c r="H223" s="755"/>
      <c r="I223" s="755"/>
      <c r="J223" s="755"/>
      <c r="K223" s="755"/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  <c r="AF223" s="755"/>
      <c r="AG223" s="755"/>
      <c r="AH223" s="755"/>
      <c r="AI223" s="755"/>
      <c r="AJ223" s="755"/>
      <c r="AK223" s="755"/>
    </row>
    <row r="224" spans="1:37">
      <c r="A224" s="753"/>
      <c r="B224" s="753"/>
      <c r="C224" s="753"/>
      <c r="D224" s="753"/>
      <c r="E224" s="753"/>
      <c r="F224" s="755"/>
      <c r="G224" s="755"/>
      <c r="H224" s="755"/>
      <c r="I224" s="755"/>
      <c r="J224" s="755"/>
      <c r="K224" s="755"/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  <c r="AF224" s="755"/>
      <c r="AG224" s="755"/>
      <c r="AH224" s="755"/>
      <c r="AI224" s="755"/>
      <c r="AJ224" s="755"/>
      <c r="AK224" s="755"/>
    </row>
    <row r="225" spans="1:37">
      <c r="A225" s="753"/>
      <c r="B225" s="753"/>
      <c r="C225" s="753"/>
      <c r="D225" s="753"/>
      <c r="E225" s="753"/>
      <c r="F225" s="755"/>
      <c r="G225" s="755"/>
      <c r="H225" s="755"/>
      <c r="I225" s="755"/>
      <c r="J225" s="755"/>
      <c r="K225" s="755"/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  <c r="AF225" s="755"/>
      <c r="AG225" s="755"/>
      <c r="AH225" s="755"/>
      <c r="AI225" s="755"/>
      <c r="AJ225" s="755"/>
      <c r="AK225" s="755"/>
    </row>
    <row r="226" spans="1:37">
      <c r="A226" s="753"/>
      <c r="B226" s="753"/>
      <c r="C226" s="753"/>
      <c r="D226" s="753"/>
      <c r="E226" s="753"/>
      <c r="F226" s="755"/>
      <c r="G226" s="755"/>
      <c r="H226" s="755"/>
      <c r="I226" s="755"/>
      <c r="J226" s="755"/>
      <c r="K226" s="755"/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  <c r="AF226" s="755"/>
      <c r="AG226" s="755"/>
      <c r="AH226" s="755"/>
      <c r="AI226" s="755"/>
      <c r="AJ226" s="755"/>
      <c r="AK226" s="755"/>
    </row>
    <row r="227" spans="1:37">
      <c r="A227" s="753"/>
      <c r="B227" s="753"/>
      <c r="C227" s="753"/>
      <c r="D227" s="753"/>
      <c r="E227" s="753"/>
      <c r="F227" s="755"/>
      <c r="G227" s="755"/>
      <c r="H227" s="755"/>
      <c r="I227" s="755"/>
      <c r="J227" s="755"/>
      <c r="K227" s="755"/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  <c r="AF227" s="755"/>
      <c r="AG227" s="755"/>
      <c r="AH227" s="755"/>
      <c r="AI227" s="755"/>
      <c r="AJ227" s="755"/>
      <c r="AK227" s="755"/>
    </row>
    <row r="228" spans="1:37">
      <c r="A228" s="753"/>
      <c r="B228" s="753"/>
      <c r="C228" s="753"/>
      <c r="D228" s="753"/>
      <c r="E228" s="753"/>
      <c r="F228" s="755"/>
      <c r="G228" s="755"/>
      <c r="H228" s="755"/>
      <c r="I228" s="755"/>
      <c r="J228" s="755"/>
      <c r="K228" s="755"/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  <c r="AF228" s="755"/>
      <c r="AG228" s="755"/>
      <c r="AH228" s="755"/>
      <c r="AI228" s="755"/>
      <c r="AJ228" s="755"/>
      <c r="AK228" s="755"/>
    </row>
    <row r="229" spans="1:37">
      <c r="A229" s="753"/>
      <c r="B229" s="753"/>
      <c r="C229" s="753"/>
      <c r="D229" s="753"/>
      <c r="E229" s="753"/>
      <c r="F229" s="755"/>
      <c r="G229" s="755"/>
      <c r="H229" s="755"/>
      <c r="I229" s="755"/>
      <c r="J229" s="755"/>
      <c r="K229" s="755"/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  <c r="AF229" s="755"/>
      <c r="AG229" s="755"/>
      <c r="AH229" s="755"/>
      <c r="AI229" s="755"/>
      <c r="AJ229" s="755"/>
      <c r="AK229" s="755"/>
    </row>
    <row r="230" spans="1:37">
      <c r="A230" s="753"/>
      <c r="B230" s="753"/>
      <c r="C230" s="753"/>
      <c r="D230" s="753"/>
      <c r="E230" s="753"/>
      <c r="F230" s="755"/>
      <c r="G230" s="755"/>
      <c r="H230" s="755"/>
      <c r="I230" s="755"/>
      <c r="J230" s="755"/>
      <c r="K230" s="755"/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  <c r="AF230" s="755"/>
      <c r="AG230" s="755"/>
      <c r="AH230" s="755"/>
      <c r="AI230" s="755"/>
      <c r="AJ230" s="755"/>
      <c r="AK230" s="755"/>
    </row>
    <row r="231" spans="1:37">
      <c r="A231" s="753"/>
      <c r="B231" s="753"/>
      <c r="C231" s="753"/>
      <c r="D231" s="753"/>
      <c r="E231" s="753"/>
      <c r="F231" s="755"/>
      <c r="G231" s="755"/>
      <c r="H231" s="755"/>
      <c r="I231" s="755"/>
      <c r="J231" s="755"/>
      <c r="K231" s="755"/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  <c r="AF231" s="755"/>
      <c r="AG231" s="755"/>
      <c r="AH231" s="755"/>
      <c r="AI231" s="755"/>
      <c r="AJ231" s="755"/>
      <c r="AK231" s="755"/>
    </row>
    <row r="232" spans="1:37">
      <c r="A232" s="753"/>
      <c r="B232" s="753"/>
      <c r="C232" s="753"/>
      <c r="D232" s="753"/>
      <c r="E232" s="753"/>
      <c r="F232" s="755"/>
      <c r="G232" s="755"/>
      <c r="H232" s="755"/>
      <c r="I232" s="755"/>
      <c r="J232" s="755"/>
      <c r="K232" s="755"/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  <c r="AF232" s="755"/>
      <c r="AG232" s="755"/>
      <c r="AH232" s="755"/>
      <c r="AI232" s="755"/>
      <c r="AJ232" s="755"/>
      <c r="AK232" s="755"/>
    </row>
    <row r="233" spans="1:37">
      <c r="A233" s="753"/>
      <c r="B233" s="753"/>
      <c r="C233" s="753"/>
      <c r="D233" s="753"/>
      <c r="E233" s="753"/>
      <c r="F233" s="755"/>
      <c r="G233" s="755"/>
      <c r="H233" s="755"/>
      <c r="I233" s="755"/>
      <c r="J233" s="755"/>
      <c r="K233" s="755"/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  <c r="AF233" s="755"/>
      <c r="AG233" s="755"/>
      <c r="AH233" s="755"/>
      <c r="AI233" s="755"/>
      <c r="AJ233" s="755"/>
      <c r="AK233" s="755"/>
    </row>
    <row r="234" spans="1:37">
      <c r="A234" s="753"/>
      <c r="B234" s="753"/>
      <c r="C234" s="753"/>
      <c r="D234" s="753"/>
      <c r="E234" s="753"/>
      <c r="F234" s="755"/>
      <c r="G234" s="755"/>
      <c r="H234" s="755"/>
      <c r="I234" s="755"/>
      <c r="J234" s="755"/>
      <c r="K234" s="755"/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  <c r="AF234" s="755"/>
      <c r="AG234" s="755"/>
      <c r="AH234" s="755"/>
      <c r="AI234" s="755"/>
      <c r="AJ234" s="755"/>
      <c r="AK234" s="755"/>
    </row>
    <row r="235" spans="1:37">
      <c r="A235" s="753"/>
      <c r="B235" s="753"/>
      <c r="C235" s="753"/>
      <c r="D235" s="753"/>
      <c r="E235" s="753"/>
      <c r="F235" s="755"/>
      <c r="G235" s="755"/>
      <c r="H235" s="755"/>
      <c r="I235" s="755"/>
      <c r="J235" s="755"/>
      <c r="K235" s="755"/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  <c r="AF235" s="755"/>
      <c r="AG235" s="755"/>
      <c r="AH235" s="755"/>
      <c r="AI235" s="755"/>
      <c r="AJ235" s="755"/>
      <c r="AK235" s="755"/>
    </row>
    <row r="236" spans="1:37">
      <c r="A236" s="753"/>
      <c r="B236" s="753"/>
      <c r="C236" s="753"/>
      <c r="D236" s="753"/>
      <c r="E236" s="753"/>
      <c r="F236" s="755"/>
      <c r="G236" s="755"/>
      <c r="H236" s="755"/>
      <c r="I236" s="755"/>
      <c r="J236" s="755"/>
      <c r="K236" s="755"/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  <c r="AF236" s="755"/>
      <c r="AG236" s="755"/>
      <c r="AH236" s="755"/>
      <c r="AI236" s="755"/>
      <c r="AJ236" s="755"/>
      <c r="AK236" s="755"/>
    </row>
    <row r="237" spans="1:37">
      <c r="A237" s="753"/>
      <c r="B237" s="753"/>
      <c r="C237" s="753"/>
      <c r="D237" s="753"/>
      <c r="E237" s="753"/>
      <c r="F237" s="755"/>
      <c r="G237" s="755"/>
      <c r="H237" s="755"/>
      <c r="I237" s="755"/>
      <c r="J237" s="755"/>
      <c r="K237" s="755"/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  <c r="AF237" s="755"/>
      <c r="AG237" s="755"/>
      <c r="AH237" s="755"/>
      <c r="AI237" s="755"/>
      <c r="AJ237" s="755"/>
      <c r="AK237" s="755"/>
    </row>
    <row r="238" spans="1:37">
      <c r="A238" s="753"/>
      <c r="B238" s="753"/>
      <c r="C238" s="753"/>
      <c r="D238" s="753"/>
      <c r="E238" s="753"/>
      <c r="F238" s="755"/>
      <c r="G238" s="755"/>
      <c r="H238" s="755"/>
      <c r="I238" s="755"/>
      <c r="J238" s="755"/>
      <c r="K238" s="755"/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  <c r="AF238" s="755"/>
      <c r="AG238" s="755"/>
      <c r="AH238" s="755"/>
      <c r="AI238" s="755"/>
      <c r="AJ238" s="755"/>
      <c r="AK238" s="755"/>
    </row>
    <row r="239" spans="1:37">
      <c r="A239" s="753"/>
      <c r="B239" s="753"/>
      <c r="C239" s="753"/>
      <c r="D239" s="753"/>
      <c r="E239" s="753"/>
      <c r="F239" s="755"/>
      <c r="G239" s="755"/>
      <c r="H239" s="755"/>
      <c r="I239" s="755"/>
      <c r="J239" s="755"/>
      <c r="K239" s="755"/>
      <c r="L239" s="75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  <c r="AF239" s="755"/>
      <c r="AG239" s="755"/>
      <c r="AH239" s="755"/>
      <c r="AI239" s="755"/>
      <c r="AJ239" s="755"/>
      <c r="AK239" s="755"/>
    </row>
    <row r="240" spans="1:37">
      <c r="A240" s="753"/>
      <c r="B240" s="753"/>
      <c r="C240" s="753"/>
      <c r="D240" s="753"/>
      <c r="E240" s="753"/>
      <c r="F240" s="755"/>
      <c r="G240" s="755"/>
      <c r="H240" s="755"/>
      <c r="I240" s="755"/>
      <c r="J240" s="755"/>
      <c r="K240" s="755"/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  <c r="AF240" s="755"/>
      <c r="AG240" s="755"/>
      <c r="AH240" s="755"/>
      <c r="AI240" s="755"/>
      <c r="AJ240" s="755"/>
      <c r="AK240" s="755"/>
    </row>
    <row r="241" spans="1:37">
      <c r="A241" s="753"/>
      <c r="B241" s="753"/>
      <c r="C241" s="753"/>
      <c r="D241" s="753"/>
      <c r="E241" s="753"/>
      <c r="F241" s="755"/>
      <c r="G241" s="755"/>
      <c r="H241" s="755"/>
      <c r="I241" s="755"/>
      <c r="J241" s="755"/>
      <c r="K241" s="755"/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  <c r="AF241" s="755"/>
      <c r="AG241" s="755"/>
      <c r="AH241" s="755"/>
      <c r="AI241" s="755"/>
      <c r="AJ241" s="755"/>
      <c r="AK241" s="755"/>
    </row>
    <row r="242" spans="1:37">
      <c r="A242" s="753"/>
      <c r="B242" s="753"/>
      <c r="C242" s="753"/>
      <c r="D242" s="753"/>
      <c r="E242" s="753"/>
      <c r="F242" s="755"/>
      <c r="G242" s="755"/>
      <c r="H242" s="755"/>
      <c r="I242" s="755"/>
      <c r="J242" s="755"/>
      <c r="K242" s="755"/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  <c r="AF242" s="755"/>
      <c r="AG242" s="755"/>
      <c r="AH242" s="755"/>
      <c r="AI242" s="755"/>
      <c r="AJ242" s="755"/>
      <c r="AK242" s="755"/>
    </row>
    <row r="243" spans="1:37">
      <c r="A243" s="753"/>
      <c r="B243" s="753"/>
      <c r="C243" s="753"/>
      <c r="D243" s="753"/>
      <c r="E243" s="753"/>
      <c r="F243" s="755"/>
      <c r="G243" s="755"/>
      <c r="H243" s="755"/>
      <c r="I243" s="755"/>
      <c r="J243" s="755"/>
      <c r="K243" s="755"/>
      <c r="L243" s="755"/>
      <c r="M243" s="75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  <c r="AF243" s="755"/>
      <c r="AG243" s="755"/>
      <c r="AH243" s="755"/>
      <c r="AI243" s="755"/>
      <c r="AJ243" s="755"/>
      <c r="AK243" s="755"/>
    </row>
    <row r="244" spans="1:37">
      <c r="A244" s="753"/>
      <c r="B244" s="753"/>
      <c r="C244" s="753"/>
      <c r="D244" s="753"/>
      <c r="E244" s="753"/>
      <c r="F244" s="755"/>
      <c r="G244" s="755"/>
      <c r="H244" s="755"/>
      <c r="I244" s="755"/>
      <c r="J244" s="755"/>
      <c r="K244" s="755"/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  <c r="AF244" s="755"/>
      <c r="AG244" s="755"/>
      <c r="AH244" s="755"/>
      <c r="AI244" s="755"/>
      <c r="AJ244" s="755"/>
      <c r="AK244" s="755"/>
    </row>
    <row r="245" spans="1:37">
      <c r="A245" s="753"/>
      <c r="B245" s="753"/>
      <c r="C245" s="753"/>
      <c r="D245" s="753"/>
      <c r="E245" s="753"/>
      <c r="F245" s="755"/>
      <c r="G245" s="755"/>
      <c r="H245" s="755"/>
      <c r="I245" s="755"/>
      <c r="J245" s="755"/>
      <c r="K245" s="755"/>
      <c r="L245" s="755"/>
      <c r="M245" s="755"/>
      <c r="N245" s="75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  <c r="AF245" s="755"/>
      <c r="AG245" s="755"/>
      <c r="AH245" s="755"/>
      <c r="AI245" s="755"/>
      <c r="AJ245" s="755"/>
      <c r="AK245" s="755"/>
    </row>
    <row r="246" spans="1:37">
      <c r="A246" s="753"/>
      <c r="B246" s="753"/>
      <c r="C246" s="753"/>
      <c r="D246" s="753"/>
      <c r="E246" s="753"/>
      <c r="F246" s="755"/>
      <c r="G246" s="755"/>
      <c r="H246" s="755"/>
      <c r="I246" s="755"/>
      <c r="J246" s="755"/>
      <c r="K246" s="755"/>
      <c r="L246" s="755"/>
      <c r="M246" s="755"/>
      <c r="N246" s="755"/>
      <c r="O246" s="75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  <c r="AF246" s="755"/>
      <c r="AG246" s="755"/>
      <c r="AH246" s="755"/>
      <c r="AI246" s="755"/>
      <c r="AJ246" s="755"/>
      <c r="AK246" s="755"/>
    </row>
    <row r="247" spans="1:37">
      <c r="A247" s="753"/>
      <c r="B247" s="753"/>
      <c r="C247" s="753"/>
      <c r="D247" s="753"/>
      <c r="E247" s="753"/>
      <c r="F247" s="755"/>
      <c r="G247" s="755"/>
      <c r="H247" s="755"/>
      <c r="I247" s="755"/>
      <c r="J247" s="755"/>
      <c r="K247" s="755"/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  <c r="AF247" s="755"/>
      <c r="AG247" s="755"/>
      <c r="AH247" s="755"/>
      <c r="AI247" s="755"/>
      <c r="AJ247" s="755"/>
      <c r="AK247" s="755"/>
    </row>
    <row r="248" spans="1:37">
      <c r="A248" s="753"/>
      <c r="B248" s="753"/>
      <c r="C248" s="753"/>
      <c r="D248" s="753"/>
      <c r="E248" s="753"/>
      <c r="F248" s="755"/>
      <c r="G248" s="755"/>
      <c r="H248" s="755"/>
      <c r="I248" s="755"/>
      <c r="J248" s="755"/>
      <c r="K248" s="755"/>
      <c r="L248" s="755"/>
      <c r="M248" s="755"/>
      <c r="N248" s="755"/>
      <c r="O248" s="755"/>
      <c r="P248" s="75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  <c r="AF248" s="755"/>
      <c r="AG248" s="755"/>
      <c r="AH248" s="755"/>
      <c r="AI248" s="755"/>
      <c r="AJ248" s="755"/>
      <c r="AK248" s="755"/>
    </row>
    <row r="249" spans="1:37">
      <c r="A249" s="753"/>
      <c r="B249" s="753"/>
      <c r="C249" s="753"/>
      <c r="D249" s="753"/>
      <c r="E249" s="753"/>
      <c r="F249" s="755"/>
      <c r="G249" s="755"/>
      <c r="H249" s="755"/>
      <c r="I249" s="755"/>
      <c r="J249" s="755"/>
      <c r="K249" s="755"/>
      <c r="L249" s="755"/>
      <c r="M249" s="755"/>
      <c r="N249" s="755"/>
      <c r="O249" s="755"/>
      <c r="P249" s="755"/>
      <c r="Q249" s="75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  <c r="AF249" s="755"/>
      <c r="AG249" s="755"/>
      <c r="AH249" s="755"/>
      <c r="AI249" s="755"/>
      <c r="AJ249" s="755"/>
      <c r="AK249" s="755"/>
    </row>
    <row r="250" spans="1:37">
      <c r="A250" s="753"/>
      <c r="B250" s="753"/>
      <c r="C250" s="753"/>
      <c r="D250" s="753"/>
      <c r="E250" s="753"/>
      <c r="F250" s="755"/>
      <c r="G250" s="755"/>
      <c r="H250" s="755"/>
      <c r="I250" s="755"/>
      <c r="J250" s="755"/>
      <c r="K250" s="755"/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  <c r="AF250" s="755"/>
      <c r="AG250" s="755"/>
      <c r="AH250" s="755"/>
      <c r="AI250" s="755"/>
      <c r="AJ250" s="755"/>
      <c r="AK250" s="755"/>
    </row>
    <row r="251" spans="1:37">
      <c r="A251" s="753"/>
      <c r="B251" s="753"/>
      <c r="C251" s="753"/>
      <c r="D251" s="753"/>
      <c r="E251" s="753"/>
      <c r="F251" s="755"/>
      <c r="G251" s="755"/>
      <c r="H251" s="755"/>
      <c r="I251" s="755"/>
      <c r="J251" s="755"/>
      <c r="K251" s="755"/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  <c r="AF251" s="755"/>
      <c r="AG251" s="755"/>
      <c r="AH251" s="755"/>
      <c r="AI251" s="755"/>
      <c r="AJ251" s="755"/>
      <c r="AK251" s="755"/>
    </row>
    <row r="252" spans="1:37">
      <c r="A252" s="753"/>
      <c r="B252" s="753"/>
      <c r="C252" s="753"/>
      <c r="D252" s="753"/>
      <c r="E252" s="753"/>
      <c r="F252" s="755"/>
      <c r="G252" s="755"/>
      <c r="H252" s="755"/>
      <c r="I252" s="755"/>
      <c r="J252" s="755"/>
      <c r="K252" s="755"/>
      <c r="L252" s="755"/>
      <c r="M252" s="755"/>
      <c r="N252" s="755"/>
      <c r="O252" s="755"/>
      <c r="P252" s="755"/>
      <c r="Q252" s="755"/>
      <c r="R252" s="75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  <c r="AF252" s="755"/>
      <c r="AG252" s="755"/>
      <c r="AH252" s="755"/>
      <c r="AI252" s="755"/>
      <c r="AJ252" s="755"/>
      <c r="AK252" s="755"/>
    </row>
    <row r="253" spans="1:37">
      <c r="A253" s="753"/>
      <c r="B253" s="753"/>
      <c r="C253" s="753"/>
      <c r="D253" s="753"/>
      <c r="E253" s="753"/>
      <c r="F253" s="755"/>
      <c r="G253" s="755"/>
      <c r="H253" s="755"/>
      <c r="I253" s="755"/>
      <c r="J253" s="755"/>
      <c r="K253" s="755"/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  <c r="AF253" s="755"/>
      <c r="AG253" s="755"/>
      <c r="AH253" s="755"/>
      <c r="AI253" s="755"/>
      <c r="AJ253" s="755"/>
      <c r="AK253" s="755"/>
    </row>
    <row r="254" spans="1:37">
      <c r="A254" s="753"/>
      <c r="B254" s="753"/>
      <c r="C254" s="753"/>
      <c r="D254" s="753"/>
      <c r="E254" s="753"/>
      <c r="F254" s="755"/>
      <c r="G254" s="755"/>
      <c r="H254" s="755"/>
      <c r="I254" s="755"/>
      <c r="J254" s="755"/>
      <c r="K254" s="755"/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  <c r="AF254" s="755"/>
      <c r="AG254" s="755"/>
      <c r="AH254" s="755"/>
      <c r="AI254" s="755"/>
      <c r="AJ254" s="755"/>
      <c r="AK254" s="755"/>
    </row>
    <row r="255" spans="1:37">
      <c r="A255" s="753"/>
      <c r="B255" s="753"/>
      <c r="C255" s="753"/>
      <c r="D255" s="753"/>
      <c r="E255" s="753"/>
      <c r="F255" s="755"/>
      <c r="G255" s="755"/>
      <c r="H255" s="755"/>
      <c r="I255" s="755"/>
      <c r="J255" s="755"/>
      <c r="K255" s="755"/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  <c r="AF255" s="755"/>
      <c r="AG255" s="755"/>
      <c r="AH255" s="755"/>
      <c r="AI255" s="755"/>
      <c r="AJ255" s="755"/>
      <c r="AK255" s="755"/>
    </row>
    <row r="256" spans="1:37">
      <c r="A256" s="753"/>
      <c r="B256" s="753"/>
      <c r="C256" s="753"/>
      <c r="D256" s="753"/>
      <c r="E256" s="753"/>
      <c r="F256" s="755"/>
      <c r="G256" s="755"/>
      <c r="H256" s="755"/>
      <c r="I256" s="755"/>
      <c r="J256" s="755"/>
      <c r="K256" s="755"/>
      <c r="L256" s="755"/>
      <c r="M256" s="755"/>
      <c r="N256" s="755"/>
      <c r="O256" s="755"/>
      <c r="P256" s="755"/>
      <c r="Q256" s="755"/>
      <c r="R256" s="75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</row>
    <row r="257" spans="1:37">
      <c r="A257" s="753"/>
      <c r="B257" s="753"/>
      <c r="C257" s="753"/>
      <c r="D257" s="753"/>
      <c r="E257" s="753"/>
      <c r="F257" s="755"/>
      <c r="G257" s="755"/>
      <c r="H257" s="755"/>
      <c r="I257" s="755"/>
      <c r="J257" s="755"/>
      <c r="K257" s="755"/>
      <c r="L257" s="755"/>
      <c r="M257" s="755"/>
      <c r="N257" s="755"/>
      <c r="O257" s="755"/>
      <c r="P257" s="755"/>
      <c r="Q257" s="755"/>
      <c r="R257" s="755"/>
      <c r="S257" s="75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</row>
    <row r="258" spans="1:37">
      <c r="A258" s="753"/>
      <c r="B258" s="753"/>
      <c r="C258" s="753"/>
      <c r="D258" s="753"/>
      <c r="E258" s="753"/>
      <c r="F258" s="755"/>
      <c r="G258" s="755"/>
      <c r="H258" s="755"/>
      <c r="I258" s="755"/>
      <c r="J258" s="755"/>
      <c r="K258" s="755"/>
      <c r="L258" s="755"/>
      <c r="M258" s="755"/>
      <c r="N258" s="755"/>
      <c r="O258" s="755"/>
      <c r="P258" s="755"/>
      <c r="Q258" s="755"/>
      <c r="R258" s="755"/>
      <c r="S258" s="755"/>
      <c r="T258" s="75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</row>
    <row r="259" spans="1:37">
      <c r="A259" s="753"/>
      <c r="B259" s="753"/>
      <c r="C259" s="753"/>
      <c r="D259" s="753"/>
      <c r="E259" s="753"/>
      <c r="F259" s="755"/>
      <c r="G259" s="755"/>
      <c r="H259" s="755"/>
      <c r="I259" s="755"/>
      <c r="J259" s="755"/>
      <c r="K259" s="755"/>
      <c r="L259" s="755"/>
      <c r="M259" s="755"/>
      <c r="N259" s="755"/>
      <c r="O259" s="755"/>
      <c r="P259" s="755"/>
      <c r="Q259" s="755"/>
      <c r="R259" s="755"/>
      <c r="S259" s="755"/>
      <c r="T259" s="75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</row>
    <row r="260" spans="1:37">
      <c r="A260" s="753"/>
      <c r="B260" s="753"/>
      <c r="C260" s="753"/>
      <c r="D260" s="753"/>
      <c r="E260" s="753"/>
      <c r="F260" s="755"/>
      <c r="G260" s="755"/>
      <c r="H260" s="755"/>
      <c r="I260" s="755"/>
      <c r="J260" s="755"/>
      <c r="K260" s="755"/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</row>
    <row r="261" spans="1:37">
      <c r="A261" s="753"/>
      <c r="B261" s="753"/>
      <c r="C261" s="753"/>
      <c r="D261" s="753"/>
      <c r="E261" s="753"/>
      <c r="F261" s="755"/>
      <c r="G261" s="755"/>
      <c r="H261" s="755"/>
      <c r="I261" s="755"/>
      <c r="J261" s="755"/>
      <c r="K261" s="755"/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/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</row>
    <row r="262" spans="1:37">
      <c r="A262" s="753"/>
      <c r="B262" s="753"/>
      <c r="C262" s="753"/>
      <c r="D262" s="753"/>
      <c r="E262" s="753"/>
      <c r="F262" s="755"/>
      <c r="G262" s="755"/>
      <c r="H262" s="755"/>
      <c r="I262" s="755"/>
      <c r="J262" s="755"/>
      <c r="K262" s="755"/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/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</row>
    <row r="263" spans="1:37">
      <c r="A263" s="753"/>
      <c r="B263" s="753"/>
      <c r="C263" s="753"/>
      <c r="D263" s="753"/>
      <c r="E263" s="753"/>
      <c r="F263" s="755"/>
      <c r="G263" s="755"/>
      <c r="H263" s="755"/>
      <c r="I263" s="755"/>
      <c r="J263" s="755"/>
      <c r="K263" s="755"/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/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</row>
    <row r="264" spans="1:37">
      <c r="A264" s="753"/>
      <c r="B264" s="753"/>
      <c r="C264" s="753"/>
      <c r="D264" s="753"/>
      <c r="E264" s="753"/>
      <c r="F264" s="755"/>
      <c r="G264" s="755"/>
      <c r="H264" s="755"/>
      <c r="I264" s="755"/>
      <c r="J264" s="755"/>
      <c r="K264" s="755"/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</row>
    <row r="265" spans="1:37">
      <c r="A265" s="753"/>
      <c r="B265" s="753"/>
      <c r="C265" s="753"/>
      <c r="D265" s="753"/>
      <c r="E265" s="753"/>
      <c r="F265" s="755"/>
      <c r="G265" s="755"/>
      <c r="H265" s="755"/>
      <c r="I265" s="755"/>
      <c r="J265" s="755"/>
      <c r="K265" s="755"/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</row>
    <row r="266" spans="1:37">
      <c r="A266" s="753"/>
      <c r="B266" s="753"/>
      <c r="C266" s="753"/>
      <c r="D266" s="753"/>
      <c r="E266" s="753"/>
      <c r="F266" s="755"/>
      <c r="G266" s="755"/>
      <c r="H266" s="755"/>
      <c r="I266" s="755"/>
      <c r="J266" s="755"/>
      <c r="K266" s="755"/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</row>
    <row r="267" spans="1:37">
      <c r="A267" s="753"/>
      <c r="B267" s="753"/>
      <c r="C267" s="753"/>
      <c r="D267" s="753"/>
      <c r="E267" s="753"/>
      <c r="F267" s="755"/>
      <c r="G267" s="755"/>
      <c r="H267" s="755"/>
      <c r="I267" s="755"/>
      <c r="J267" s="755"/>
      <c r="K267" s="755"/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</row>
    <row r="268" spans="1:37">
      <c r="A268" s="753"/>
      <c r="B268" s="753"/>
      <c r="C268" s="753"/>
      <c r="D268" s="753"/>
      <c r="E268" s="753"/>
      <c r="F268" s="755"/>
      <c r="G268" s="755"/>
      <c r="H268" s="755"/>
      <c r="I268" s="755"/>
      <c r="J268" s="755"/>
      <c r="K268" s="755"/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</row>
    <row r="269" spans="1:37">
      <c r="A269" s="753"/>
      <c r="B269" s="753"/>
      <c r="C269" s="753"/>
      <c r="D269" s="753"/>
      <c r="E269" s="753"/>
      <c r="F269" s="755"/>
      <c r="G269" s="755"/>
      <c r="H269" s="755"/>
      <c r="I269" s="755"/>
      <c r="J269" s="755"/>
      <c r="K269" s="755"/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</row>
    <row r="270" spans="1:37">
      <c r="A270" s="753"/>
      <c r="B270" s="753"/>
      <c r="C270" s="753"/>
      <c r="D270" s="753"/>
      <c r="E270" s="753"/>
      <c r="F270" s="755"/>
      <c r="G270" s="755"/>
      <c r="H270" s="755"/>
      <c r="I270" s="755"/>
      <c r="J270" s="755"/>
      <c r="K270" s="755"/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</row>
    <row r="271" spans="1:37">
      <c r="A271" s="753"/>
      <c r="B271" s="753"/>
      <c r="C271" s="753"/>
      <c r="D271" s="753"/>
      <c r="E271" s="753"/>
      <c r="F271" s="755"/>
      <c r="G271" s="755"/>
      <c r="H271" s="755"/>
      <c r="I271" s="755"/>
      <c r="J271" s="755"/>
      <c r="K271" s="755"/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</row>
    <row r="272" spans="1:37">
      <c r="A272" s="753"/>
      <c r="B272" s="753"/>
      <c r="C272" s="753"/>
      <c r="D272" s="753"/>
      <c r="E272" s="753"/>
      <c r="F272" s="755"/>
      <c r="G272" s="755"/>
      <c r="H272" s="755"/>
      <c r="I272" s="755"/>
      <c r="J272" s="755"/>
      <c r="K272" s="755"/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</row>
    <row r="273" spans="1:37">
      <c r="A273" s="753"/>
      <c r="B273" s="753"/>
      <c r="C273" s="753"/>
      <c r="D273" s="753"/>
      <c r="E273" s="753"/>
      <c r="F273" s="755"/>
      <c r="G273" s="755"/>
      <c r="H273" s="755"/>
      <c r="I273" s="755"/>
      <c r="J273" s="755"/>
      <c r="K273" s="755"/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</row>
    <row r="274" spans="1:37">
      <c r="A274" s="753"/>
      <c r="B274" s="753"/>
      <c r="C274" s="753"/>
      <c r="D274" s="753"/>
      <c r="E274" s="753"/>
      <c r="F274" s="755"/>
      <c r="G274" s="755"/>
      <c r="H274" s="755"/>
      <c r="I274" s="755"/>
      <c r="J274" s="755"/>
      <c r="K274" s="755"/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</row>
    <row r="275" spans="1:37">
      <c r="A275" s="753"/>
      <c r="B275" s="753"/>
      <c r="C275" s="753"/>
      <c r="D275" s="753"/>
      <c r="E275" s="753"/>
      <c r="F275" s="755"/>
      <c r="G275" s="755"/>
      <c r="H275" s="755"/>
      <c r="I275" s="755"/>
      <c r="J275" s="755"/>
      <c r="K275" s="755"/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</row>
    <row r="276" spans="1:37">
      <c r="A276" s="753"/>
      <c r="B276" s="753"/>
      <c r="C276" s="753"/>
      <c r="D276" s="753"/>
      <c r="E276" s="753"/>
      <c r="F276" s="755"/>
      <c r="G276" s="755"/>
      <c r="H276" s="755"/>
      <c r="I276" s="755"/>
      <c r="J276" s="755"/>
      <c r="K276" s="755"/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</row>
    <row r="277" spans="1:37">
      <c r="A277" s="753"/>
      <c r="B277" s="753"/>
      <c r="C277" s="753"/>
      <c r="D277" s="753"/>
      <c r="E277" s="753"/>
      <c r="F277" s="755"/>
      <c r="G277" s="755"/>
      <c r="H277" s="755"/>
      <c r="I277" s="755"/>
      <c r="J277" s="755"/>
      <c r="K277" s="755"/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</row>
    <row r="278" spans="1:37">
      <c r="A278" s="753"/>
      <c r="B278" s="753"/>
      <c r="C278" s="753"/>
      <c r="D278" s="753"/>
      <c r="E278" s="753"/>
      <c r="F278" s="755"/>
      <c r="G278" s="755"/>
      <c r="H278" s="755"/>
      <c r="I278" s="755"/>
      <c r="J278" s="755"/>
      <c r="K278" s="755"/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</row>
    <row r="279" spans="1:37">
      <c r="A279" s="753"/>
      <c r="B279" s="753"/>
      <c r="C279" s="753"/>
      <c r="D279" s="753"/>
      <c r="E279" s="753"/>
      <c r="F279" s="755"/>
      <c r="G279" s="755"/>
      <c r="H279" s="755"/>
      <c r="I279" s="755"/>
      <c r="J279" s="755"/>
      <c r="K279" s="755"/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</row>
    <row r="280" spans="1:37">
      <c r="A280" s="753"/>
      <c r="B280" s="753"/>
      <c r="C280" s="753"/>
      <c r="D280" s="753"/>
      <c r="E280" s="753"/>
      <c r="F280" s="755"/>
      <c r="G280" s="755"/>
      <c r="H280" s="755"/>
      <c r="I280" s="755"/>
      <c r="J280" s="755"/>
      <c r="K280" s="755"/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</row>
    <row r="281" spans="1:37">
      <c r="A281" s="753"/>
      <c r="B281" s="753"/>
      <c r="C281" s="753"/>
      <c r="D281" s="753"/>
      <c r="E281" s="753"/>
      <c r="F281" s="755"/>
      <c r="G281" s="755"/>
      <c r="H281" s="755"/>
      <c r="I281" s="755"/>
      <c r="J281" s="755"/>
      <c r="K281" s="755"/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</row>
    <row r="282" spans="1:37">
      <c r="A282" s="753"/>
      <c r="B282" s="753"/>
      <c r="C282" s="753"/>
      <c r="D282" s="753"/>
      <c r="E282" s="753"/>
      <c r="F282" s="755"/>
      <c r="G282" s="755"/>
      <c r="H282" s="755"/>
      <c r="I282" s="755"/>
      <c r="J282" s="755"/>
      <c r="K282" s="755"/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</row>
    <row r="283" spans="1:37">
      <c r="A283" s="753"/>
      <c r="B283" s="753"/>
      <c r="C283" s="753"/>
      <c r="D283" s="753"/>
      <c r="E283" s="753"/>
      <c r="F283" s="755"/>
      <c r="G283" s="755"/>
      <c r="H283" s="755"/>
      <c r="I283" s="755"/>
      <c r="J283" s="755"/>
      <c r="K283" s="755"/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</row>
    <row r="284" spans="1:37">
      <c r="A284" s="753"/>
      <c r="B284" s="753"/>
      <c r="C284" s="753"/>
      <c r="D284" s="753"/>
      <c r="E284" s="753"/>
      <c r="F284" s="755"/>
      <c r="G284" s="755"/>
      <c r="H284" s="755"/>
      <c r="I284" s="755"/>
      <c r="J284" s="755"/>
      <c r="K284" s="755"/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</row>
    <row r="285" spans="1:37">
      <c r="A285" s="753"/>
      <c r="B285" s="753"/>
      <c r="C285" s="753"/>
      <c r="D285" s="753"/>
      <c r="E285" s="753"/>
      <c r="F285" s="755"/>
      <c r="G285" s="755"/>
      <c r="H285" s="755"/>
      <c r="I285" s="755"/>
      <c r="J285" s="755"/>
      <c r="K285" s="755"/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</row>
    <row r="286" spans="1:37">
      <c r="A286" s="753"/>
      <c r="B286" s="753"/>
      <c r="C286" s="753"/>
      <c r="D286" s="753"/>
      <c r="E286" s="753"/>
      <c r="F286" s="755"/>
      <c r="G286" s="755"/>
      <c r="H286" s="755"/>
      <c r="I286" s="755"/>
      <c r="J286" s="755"/>
      <c r="K286" s="755"/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</row>
    <row r="287" spans="1:37">
      <c r="A287" s="753"/>
      <c r="B287" s="753"/>
      <c r="C287" s="753"/>
      <c r="D287" s="753"/>
      <c r="E287" s="753"/>
      <c r="F287" s="755"/>
      <c r="G287" s="755"/>
      <c r="H287" s="755"/>
      <c r="I287" s="755"/>
      <c r="J287" s="755"/>
      <c r="K287" s="755"/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</row>
    <row r="288" spans="1:37">
      <c r="A288" s="753"/>
      <c r="B288" s="753"/>
      <c r="C288" s="753"/>
      <c r="D288" s="753"/>
      <c r="E288" s="753"/>
      <c r="F288" s="755"/>
      <c r="G288" s="755"/>
      <c r="H288" s="755"/>
      <c r="I288" s="755"/>
      <c r="J288" s="755"/>
      <c r="K288" s="755"/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</row>
    <row r="289" spans="1:37">
      <c r="A289" s="753"/>
      <c r="B289" s="753"/>
      <c r="C289" s="753"/>
      <c r="D289" s="753"/>
      <c r="E289" s="753"/>
      <c r="F289" s="755"/>
      <c r="G289" s="755"/>
      <c r="H289" s="755"/>
      <c r="I289" s="755"/>
      <c r="J289" s="755"/>
      <c r="K289" s="755"/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</row>
    <row r="290" spans="1:37">
      <c r="A290" s="753"/>
      <c r="B290" s="753"/>
      <c r="C290" s="753"/>
      <c r="D290" s="753"/>
      <c r="E290" s="753"/>
      <c r="F290" s="755"/>
      <c r="G290" s="755"/>
      <c r="H290" s="755"/>
      <c r="I290" s="755"/>
      <c r="J290" s="755"/>
      <c r="K290" s="755"/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</row>
    <row r="291" spans="1:37">
      <c r="A291" s="753"/>
      <c r="B291" s="753"/>
      <c r="C291" s="753"/>
      <c r="D291" s="753"/>
      <c r="E291" s="753"/>
      <c r="F291" s="755"/>
      <c r="G291" s="755"/>
      <c r="H291" s="755"/>
      <c r="I291" s="755"/>
      <c r="J291" s="755"/>
      <c r="K291" s="755"/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</row>
    <row r="292" spans="1:37">
      <c r="A292" s="753"/>
      <c r="B292" s="753"/>
      <c r="C292" s="753"/>
      <c r="D292" s="753"/>
      <c r="E292" s="753"/>
      <c r="F292" s="755"/>
      <c r="G292" s="755"/>
      <c r="H292" s="755"/>
      <c r="I292" s="755"/>
      <c r="J292" s="755"/>
      <c r="K292" s="755"/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</row>
    <row r="293" spans="1:37">
      <c r="A293" s="753"/>
      <c r="B293" s="753"/>
      <c r="C293" s="753"/>
      <c r="D293" s="753"/>
      <c r="E293" s="753"/>
      <c r="F293" s="755"/>
      <c r="G293" s="755"/>
      <c r="H293" s="755"/>
      <c r="I293" s="755"/>
      <c r="J293" s="755"/>
      <c r="K293" s="755"/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</row>
    <row r="294" spans="1:37">
      <c r="A294" s="753"/>
      <c r="B294" s="753"/>
      <c r="C294" s="753"/>
      <c r="D294" s="753"/>
      <c r="E294" s="753"/>
      <c r="F294" s="755"/>
      <c r="G294" s="755"/>
      <c r="H294" s="755"/>
      <c r="I294" s="755"/>
      <c r="J294" s="755"/>
      <c r="K294" s="755"/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</row>
    <row r="295" spans="1:37">
      <c r="A295" s="753"/>
      <c r="B295" s="753"/>
      <c r="C295" s="753"/>
      <c r="D295" s="753"/>
      <c r="E295" s="753"/>
      <c r="F295" s="755"/>
      <c r="G295" s="755"/>
      <c r="H295" s="755"/>
      <c r="I295" s="755"/>
      <c r="J295" s="755"/>
      <c r="K295" s="755"/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</row>
    <row r="296" spans="1:37">
      <c r="A296" s="753"/>
      <c r="B296" s="753"/>
      <c r="C296" s="753"/>
      <c r="D296" s="753"/>
      <c r="E296" s="753"/>
      <c r="F296" s="755"/>
      <c r="G296" s="755"/>
      <c r="H296" s="755"/>
      <c r="I296" s="755"/>
      <c r="J296" s="755"/>
      <c r="K296" s="755"/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</row>
    <row r="297" spans="1:37">
      <c r="A297" s="753"/>
      <c r="B297" s="753"/>
      <c r="C297" s="753"/>
      <c r="D297" s="753"/>
      <c r="E297" s="753"/>
      <c r="F297" s="755"/>
      <c r="G297" s="755"/>
      <c r="H297" s="755"/>
      <c r="I297" s="755"/>
      <c r="J297" s="755"/>
      <c r="K297" s="755"/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</row>
    <row r="298" spans="1:37">
      <c r="A298" s="753"/>
      <c r="B298" s="753"/>
      <c r="C298" s="753"/>
      <c r="D298" s="753"/>
      <c r="E298" s="753"/>
      <c r="F298" s="755"/>
      <c r="G298" s="755"/>
      <c r="H298" s="755"/>
      <c r="I298" s="755"/>
      <c r="J298" s="755"/>
      <c r="K298" s="755"/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</row>
    <row r="299" spans="1:37">
      <c r="A299" s="753"/>
      <c r="B299" s="753"/>
      <c r="C299" s="753"/>
      <c r="D299" s="753"/>
      <c r="E299" s="753"/>
      <c r="F299" s="755"/>
      <c r="G299" s="755"/>
      <c r="H299" s="755"/>
      <c r="I299" s="755"/>
      <c r="J299" s="755"/>
      <c r="K299" s="755"/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</row>
    <row r="300" spans="1:37">
      <c r="A300" s="753"/>
      <c r="B300" s="753"/>
      <c r="C300" s="753"/>
      <c r="D300" s="753"/>
      <c r="E300" s="753"/>
      <c r="F300" s="755"/>
      <c r="G300" s="755"/>
      <c r="H300" s="755"/>
      <c r="I300" s="755"/>
      <c r="J300" s="755"/>
      <c r="K300" s="755"/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</row>
    <row r="301" spans="1:37">
      <c r="A301" s="753"/>
      <c r="B301" s="753"/>
      <c r="C301" s="753"/>
      <c r="D301" s="753"/>
      <c r="E301" s="753"/>
      <c r="F301" s="755"/>
      <c r="G301" s="755"/>
      <c r="H301" s="755"/>
      <c r="I301" s="755"/>
      <c r="J301" s="755"/>
      <c r="K301" s="755"/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</row>
    <row r="302" spans="1:37">
      <c r="A302" s="753"/>
      <c r="B302" s="753"/>
      <c r="C302" s="753"/>
      <c r="D302" s="753"/>
      <c r="E302" s="753"/>
      <c r="F302" s="755"/>
      <c r="G302" s="755"/>
      <c r="H302" s="755"/>
      <c r="I302" s="755"/>
      <c r="J302" s="755"/>
      <c r="K302" s="755"/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</row>
    <row r="303" spans="1:37">
      <c r="A303" s="753"/>
      <c r="B303" s="753"/>
      <c r="C303" s="753"/>
      <c r="D303" s="753"/>
      <c r="E303" s="753"/>
      <c r="F303" s="755"/>
      <c r="G303" s="755"/>
      <c r="H303" s="755"/>
      <c r="I303" s="755"/>
      <c r="J303" s="755"/>
      <c r="K303" s="755"/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</row>
    <row r="304" spans="1:37">
      <c r="A304" s="753"/>
      <c r="B304" s="753"/>
      <c r="C304" s="753"/>
      <c r="D304" s="753"/>
      <c r="E304" s="753"/>
      <c r="F304" s="755"/>
      <c r="G304" s="755"/>
      <c r="H304" s="755"/>
      <c r="I304" s="755"/>
      <c r="J304" s="755"/>
      <c r="K304" s="755"/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</row>
    <row r="305" spans="1:37">
      <c r="A305" s="753"/>
      <c r="B305" s="753"/>
      <c r="C305" s="753"/>
      <c r="D305" s="753"/>
      <c r="E305" s="753"/>
      <c r="F305" s="755"/>
      <c r="G305" s="755"/>
      <c r="H305" s="755"/>
      <c r="I305" s="755"/>
      <c r="J305" s="755"/>
      <c r="K305" s="755"/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</row>
    <row r="306" spans="1:37">
      <c r="A306" s="753"/>
      <c r="B306" s="753"/>
      <c r="C306" s="753"/>
      <c r="D306" s="753"/>
      <c r="E306" s="753"/>
      <c r="F306" s="755"/>
      <c r="G306" s="755"/>
      <c r="H306" s="755"/>
      <c r="I306" s="755"/>
      <c r="J306" s="755"/>
      <c r="K306" s="755"/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</row>
    <row r="307" spans="1:37">
      <c r="A307" s="753"/>
      <c r="B307" s="753"/>
      <c r="C307" s="753"/>
      <c r="D307" s="753"/>
      <c r="E307" s="753"/>
      <c r="F307" s="755"/>
      <c r="G307" s="755"/>
      <c r="H307" s="755"/>
      <c r="I307" s="755"/>
      <c r="J307" s="755"/>
      <c r="K307" s="755"/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</row>
    <row r="308" spans="1:37">
      <c r="A308" s="753"/>
      <c r="B308" s="753"/>
      <c r="C308" s="753"/>
      <c r="D308" s="753"/>
      <c r="E308" s="753"/>
      <c r="F308" s="755"/>
      <c r="G308" s="755"/>
      <c r="H308" s="755"/>
      <c r="I308" s="755"/>
      <c r="J308" s="755"/>
      <c r="K308" s="755"/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</row>
    <row r="309" spans="1:37">
      <c r="A309" s="753"/>
      <c r="B309" s="753"/>
      <c r="C309" s="753"/>
      <c r="D309" s="753"/>
      <c r="E309" s="753"/>
      <c r="F309" s="755"/>
      <c r="G309" s="755"/>
      <c r="H309" s="755"/>
      <c r="I309" s="755"/>
      <c r="J309" s="755"/>
      <c r="K309" s="755"/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</row>
    <row r="310" spans="1:37">
      <c r="A310" s="753"/>
      <c r="B310" s="753"/>
      <c r="C310" s="753"/>
      <c r="D310" s="753"/>
      <c r="E310" s="753"/>
      <c r="F310" s="755"/>
      <c r="G310" s="755"/>
      <c r="H310" s="755"/>
      <c r="I310" s="755"/>
      <c r="J310" s="755"/>
      <c r="K310" s="755"/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</row>
    <row r="311" spans="1:37">
      <c r="A311" s="753"/>
      <c r="B311" s="753"/>
      <c r="C311" s="753"/>
      <c r="D311" s="753"/>
      <c r="E311" s="753"/>
      <c r="F311" s="755"/>
      <c r="G311" s="755"/>
      <c r="H311" s="755"/>
      <c r="I311" s="755"/>
      <c r="J311" s="755"/>
      <c r="K311" s="755"/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</row>
    <row r="312" spans="1:37">
      <c r="A312" s="753"/>
      <c r="B312" s="753"/>
      <c r="C312" s="753"/>
      <c r="D312" s="753"/>
      <c r="E312" s="753"/>
      <c r="F312" s="755"/>
      <c r="G312" s="755"/>
      <c r="H312" s="755"/>
      <c r="I312" s="755"/>
      <c r="J312" s="755"/>
      <c r="K312" s="755"/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</row>
    <row r="313" spans="1:37">
      <c r="A313" s="753"/>
      <c r="B313" s="753"/>
      <c r="C313" s="753"/>
      <c r="D313" s="753"/>
      <c r="E313" s="753"/>
      <c r="F313" s="755"/>
      <c r="G313" s="755"/>
      <c r="H313" s="755"/>
      <c r="I313" s="755"/>
      <c r="J313" s="755"/>
      <c r="K313" s="755"/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</row>
    <row r="314" spans="1:37">
      <c r="A314" s="753"/>
      <c r="B314" s="753"/>
      <c r="C314" s="753"/>
      <c r="D314" s="753"/>
      <c r="E314" s="753"/>
      <c r="F314" s="755"/>
      <c r="G314" s="755"/>
      <c r="H314" s="755"/>
      <c r="I314" s="755"/>
      <c r="J314" s="755"/>
      <c r="K314" s="755"/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</row>
    <row r="315" spans="1:37">
      <c r="A315" s="753"/>
      <c r="B315" s="753"/>
      <c r="C315" s="753"/>
      <c r="D315" s="753"/>
      <c r="E315" s="753"/>
      <c r="F315" s="755"/>
      <c r="G315" s="755"/>
      <c r="H315" s="755"/>
      <c r="I315" s="755"/>
      <c r="J315" s="755"/>
      <c r="K315" s="755"/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</row>
    <row r="316" spans="1:37">
      <c r="A316" s="753"/>
      <c r="B316" s="753"/>
      <c r="C316" s="753"/>
      <c r="D316" s="753"/>
      <c r="E316" s="753"/>
      <c r="F316" s="755"/>
      <c r="G316" s="755"/>
      <c r="H316" s="755"/>
      <c r="I316" s="755"/>
      <c r="J316" s="755"/>
      <c r="K316" s="755"/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</row>
    <row r="317" spans="1:37">
      <c r="A317" s="753"/>
      <c r="B317" s="753"/>
      <c r="C317" s="753"/>
      <c r="D317" s="753"/>
      <c r="E317" s="753"/>
      <c r="F317" s="755"/>
      <c r="G317" s="755"/>
      <c r="H317" s="755"/>
      <c r="I317" s="755"/>
      <c r="J317" s="755"/>
      <c r="K317" s="755"/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</row>
    <row r="318" spans="1:37">
      <c r="A318" s="753"/>
      <c r="B318" s="753"/>
      <c r="C318" s="753"/>
      <c r="D318" s="753"/>
      <c r="E318" s="753"/>
      <c r="F318" s="755"/>
      <c r="G318" s="755"/>
      <c r="H318" s="755"/>
      <c r="I318" s="755"/>
      <c r="J318" s="755"/>
      <c r="K318" s="755"/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</row>
    <row r="319" spans="1:37">
      <c r="A319" s="753"/>
      <c r="B319" s="753"/>
      <c r="C319" s="753"/>
      <c r="D319" s="753"/>
      <c r="E319" s="753"/>
      <c r="F319" s="755"/>
      <c r="G319" s="755"/>
      <c r="H319" s="755"/>
      <c r="I319" s="755"/>
      <c r="J319" s="755"/>
      <c r="K319" s="755"/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</row>
    <row r="320" spans="1:37">
      <c r="A320" s="753"/>
      <c r="B320" s="753"/>
      <c r="C320" s="753"/>
      <c r="D320" s="753"/>
      <c r="E320" s="753"/>
      <c r="F320" s="755"/>
      <c r="G320" s="755"/>
      <c r="H320" s="755"/>
      <c r="I320" s="755"/>
      <c r="J320" s="755"/>
      <c r="K320" s="755"/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</row>
    <row r="321" spans="1:37">
      <c r="A321" s="753"/>
      <c r="B321" s="753"/>
      <c r="C321" s="753"/>
      <c r="D321" s="753"/>
      <c r="E321" s="753"/>
      <c r="F321" s="755"/>
      <c r="G321" s="755"/>
      <c r="H321" s="755"/>
      <c r="I321" s="755"/>
      <c r="J321" s="755"/>
      <c r="K321" s="755"/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</row>
    <row r="322" spans="1:37">
      <c r="A322" s="753"/>
      <c r="B322" s="753"/>
      <c r="C322" s="753"/>
      <c r="D322" s="753"/>
      <c r="E322" s="753"/>
      <c r="F322" s="755"/>
      <c r="G322" s="755"/>
      <c r="H322" s="755"/>
      <c r="I322" s="755"/>
      <c r="J322" s="755"/>
      <c r="K322" s="755"/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</row>
    <row r="323" spans="1:37">
      <c r="A323" s="753"/>
      <c r="B323" s="753"/>
      <c r="C323" s="753"/>
      <c r="D323" s="753"/>
      <c r="E323" s="753"/>
      <c r="F323" s="755"/>
      <c r="G323" s="755"/>
      <c r="H323" s="755"/>
      <c r="I323" s="755"/>
      <c r="J323" s="755"/>
      <c r="K323" s="755"/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</row>
    <row r="324" spans="1:37">
      <c r="A324" s="753"/>
      <c r="B324" s="753"/>
      <c r="C324" s="753"/>
      <c r="D324" s="753"/>
      <c r="E324" s="753"/>
      <c r="F324" s="755"/>
      <c r="G324" s="755"/>
      <c r="H324" s="755"/>
      <c r="I324" s="755"/>
      <c r="J324" s="755"/>
      <c r="K324" s="755"/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</row>
    <row r="325" spans="1:37">
      <c r="A325" s="753"/>
      <c r="B325" s="753"/>
      <c r="C325" s="753"/>
      <c r="D325" s="753"/>
      <c r="E325" s="753"/>
      <c r="F325" s="755"/>
      <c r="G325" s="755"/>
      <c r="H325" s="755"/>
      <c r="I325" s="755"/>
      <c r="J325" s="755"/>
      <c r="K325" s="755"/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</row>
    <row r="326" spans="1:37">
      <c r="A326" s="753"/>
      <c r="B326" s="753"/>
      <c r="C326" s="753"/>
      <c r="D326" s="753"/>
      <c r="E326" s="753"/>
      <c r="F326" s="755"/>
      <c r="G326" s="755"/>
      <c r="H326" s="755"/>
      <c r="I326" s="755"/>
      <c r="J326" s="755"/>
      <c r="K326" s="755"/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</row>
    <row r="327" spans="1:37">
      <c r="A327" s="753"/>
      <c r="B327" s="753"/>
      <c r="C327" s="753"/>
      <c r="D327" s="753"/>
      <c r="E327" s="753"/>
      <c r="F327" s="755"/>
      <c r="G327" s="755"/>
      <c r="H327" s="755"/>
      <c r="I327" s="755"/>
      <c r="J327" s="755"/>
      <c r="K327" s="755"/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</row>
    <row r="328" spans="1:37">
      <c r="A328" s="753"/>
      <c r="B328" s="753"/>
      <c r="C328" s="753"/>
      <c r="D328" s="753"/>
      <c r="E328" s="753"/>
      <c r="F328" s="755"/>
      <c r="G328" s="755"/>
      <c r="H328" s="755"/>
      <c r="I328" s="755"/>
      <c r="J328" s="755"/>
      <c r="K328" s="755"/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</row>
    <row r="329" spans="1:37">
      <c r="A329" s="753"/>
      <c r="B329" s="753"/>
      <c r="C329" s="753"/>
      <c r="D329" s="753"/>
      <c r="E329" s="753"/>
      <c r="F329" s="755"/>
      <c r="G329" s="755"/>
      <c r="H329" s="755"/>
      <c r="I329" s="755"/>
      <c r="J329" s="755"/>
      <c r="K329" s="755"/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</row>
    <row r="330" spans="1:37">
      <c r="A330" s="753"/>
      <c r="B330" s="753"/>
      <c r="C330" s="753"/>
      <c r="D330" s="753"/>
      <c r="E330" s="753"/>
      <c r="F330" s="755"/>
      <c r="G330" s="755"/>
      <c r="H330" s="755"/>
      <c r="I330" s="755"/>
      <c r="J330" s="755"/>
      <c r="K330" s="755"/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</row>
    <row r="331" spans="1:37">
      <c r="A331" s="753"/>
      <c r="B331" s="753"/>
      <c r="C331" s="753"/>
      <c r="D331" s="753"/>
      <c r="E331" s="753"/>
      <c r="F331" s="755"/>
      <c r="G331" s="755"/>
      <c r="H331" s="755"/>
      <c r="I331" s="755"/>
      <c r="J331" s="755"/>
      <c r="K331" s="755"/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</row>
    <row r="332" spans="1:37">
      <c r="A332" s="753"/>
      <c r="B332" s="753"/>
      <c r="C332" s="753"/>
      <c r="D332" s="753"/>
      <c r="E332" s="753"/>
      <c r="F332" s="755"/>
      <c r="G332" s="755"/>
      <c r="H332" s="755"/>
      <c r="I332" s="755"/>
      <c r="J332" s="755"/>
      <c r="K332" s="755"/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</row>
    <row r="333" spans="1:37">
      <c r="A333" s="753"/>
      <c r="B333" s="753"/>
      <c r="C333" s="753"/>
      <c r="D333" s="753"/>
      <c r="E333" s="753"/>
      <c r="F333" s="755"/>
      <c r="G333" s="755"/>
      <c r="H333" s="755"/>
      <c r="I333" s="755"/>
      <c r="J333" s="755"/>
      <c r="K333" s="755"/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</row>
    <row r="334" spans="1:37">
      <c r="A334" s="753"/>
      <c r="B334" s="753"/>
      <c r="C334" s="753"/>
      <c r="D334" s="753"/>
      <c r="E334" s="753"/>
      <c r="F334" s="755"/>
      <c r="G334" s="755"/>
      <c r="H334" s="755"/>
      <c r="I334" s="755"/>
      <c r="J334" s="755"/>
      <c r="K334" s="755"/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</row>
    <row r="335" spans="1:37">
      <c r="A335" s="753"/>
      <c r="B335" s="753"/>
      <c r="C335" s="753"/>
      <c r="D335" s="753"/>
      <c r="E335" s="753"/>
      <c r="F335" s="755"/>
      <c r="G335" s="755"/>
      <c r="H335" s="755"/>
      <c r="I335" s="755"/>
      <c r="J335" s="755"/>
      <c r="K335" s="755"/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</row>
    <row r="336" spans="1:37">
      <c r="A336" s="753"/>
      <c r="B336" s="753"/>
      <c r="C336" s="753"/>
      <c r="D336" s="753"/>
      <c r="E336" s="753"/>
      <c r="F336" s="755"/>
      <c r="G336" s="755"/>
      <c r="H336" s="755"/>
      <c r="I336" s="755"/>
      <c r="J336" s="755"/>
      <c r="K336" s="755"/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</row>
    <row r="337" spans="1:37">
      <c r="A337" s="753"/>
      <c r="B337" s="753"/>
      <c r="C337" s="753"/>
      <c r="D337" s="753"/>
      <c r="E337" s="753"/>
      <c r="F337" s="755"/>
      <c r="G337" s="755"/>
      <c r="H337" s="755"/>
      <c r="I337" s="755"/>
      <c r="J337" s="755"/>
      <c r="K337" s="755"/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</row>
    <row r="338" spans="1:37">
      <c r="A338" s="753"/>
      <c r="B338" s="753"/>
      <c r="C338" s="753"/>
      <c r="D338" s="753"/>
      <c r="E338" s="753"/>
      <c r="F338" s="755"/>
      <c r="G338" s="755"/>
      <c r="H338" s="755"/>
      <c r="I338" s="755"/>
      <c r="J338" s="755"/>
      <c r="K338" s="755"/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</row>
    <row r="339" spans="1:37">
      <c r="A339" s="753"/>
      <c r="B339" s="753"/>
      <c r="C339" s="753"/>
      <c r="D339" s="753"/>
      <c r="E339" s="753"/>
      <c r="F339" s="755"/>
      <c r="G339" s="755"/>
      <c r="H339" s="755"/>
      <c r="I339" s="755"/>
      <c r="J339" s="755"/>
      <c r="K339" s="755"/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</row>
    <row r="340" spans="1:37">
      <c r="A340" s="753"/>
      <c r="B340" s="753"/>
      <c r="C340" s="753"/>
      <c r="D340" s="753"/>
      <c r="E340" s="753"/>
      <c r="F340" s="755"/>
      <c r="G340" s="755"/>
      <c r="H340" s="755"/>
      <c r="I340" s="755"/>
      <c r="J340" s="755"/>
      <c r="K340" s="755"/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</row>
    <row r="341" spans="1:37">
      <c r="A341" s="753"/>
      <c r="B341" s="753"/>
      <c r="C341" s="753"/>
      <c r="D341" s="753"/>
      <c r="E341" s="753"/>
      <c r="F341" s="755"/>
      <c r="G341" s="755"/>
      <c r="H341" s="755"/>
      <c r="I341" s="755"/>
      <c r="J341" s="755"/>
      <c r="K341" s="755"/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</row>
    <row r="342" spans="1:37">
      <c r="A342" s="753"/>
      <c r="B342" s="753"/>
      <c r="C342" s="753"/>
      <c r="D342" s="753"/>
      <c r="E342" s="753"/>
      <c r="F342" s="755"/>
      <c r="G342" s="755"/>
      <c r="H342" s="755"/>
      <c r="I342" s="755"/>
      <c r="J342" s="755"/>
      <c r="K342" s="755"/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</row>
    <row r="343" spans="1:37">
      <c r="A343" s="753"/>
      <c r="B343" s="753"/>
      <c r="C343" s="753"/>
      <c r="D343" s="753"/>
      <c r="E343" s="753"/>
      <c r="F343" s="755"/>
      <c r="G343" s="755"/>
      <c r="H343" s="755"/>
      <c r="I343" s="755"/>
      <c r="J343" s="755"/>
      <c r="K343" s="755"/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</row>
    <row r="344" spans="1:37">
      <c r="A344" s="753"/>
      <c r="B344" s="753"/>
      <c r="C344" s="753"/>
      <c r="D344" s="753"/>
      <c r="E344" s="753"/>
      <c r="F344" s="755"/>
      <c r="G344" s="755"/>
      <c r="H344" s="755"/>
      <c r="I344" s="755"/>
      <c r="J344" s="755"/>
      <c r="K344" s="755"/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</row>
    <row r="345" spans="1:37">
      <c r="A345" s="753"/>
      <c r="B345" s="753"/>
      <c r="C345" s="753"/>
      <c r="D345" s="753"/>
      <c r="E345" s="753"/>
      <c r="F345" s="755"/>
      <c r="G345" s="755"/>
      <c r="H345" s="755"/>
      <c r="I345" s="755"/>
      <c r="J345" s="755"/>
      <c r="K345" s="755"/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</row>
    <row r="346" spans="1:37">
      <c r="A346" s="753"/>
      <c r="B346" s="753"/>
      <c r="C346" s="753"/>
      <c r="D346" s="753"/>
      <c r="E346" s="753"/>
      <c r="F346" s="755"/>
      <c r="G346" s="755"/>
      <c r="H346" s="755"/>
      <c r="I346" s="755"/>
      <c r="J346" s="755"/>
      <c r="K346" s="755"/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</row>
    <row r="347" spans="1:37">
      <c r="A347" s="753"/>
      <c r="B347" s="753"/>
      <c r="C347" s="753"/>
      <c r="D347" s="753"/>
      <c r="E347" s="753"/>
      <c r="F347" s="755"/>
      <c r="G347" s="755"/>
      <c r="H347" s="755"/>
      <c r="I347" s="755"/>
      <c r="J347" s="755"/>
      <c r="K347" s="755"/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</row>
    <row r="348" spans="1:37">
      <c r="A348" s="753"/>
      <c r="B348" s="753"/>
      <c r="C348" s="753"/>
      <c r="D348" s="753"/>
      <c r="E348" s="753"/>
      <c r="F348" s="755"/>
      <c r="G348" s="755"/>
      <c r="H348" s="755"/>
      <c r="I348" s="755"/>
      <c r="J348" s="755"/>
      <c r="K348" s="755"/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</row>
    <row r="349" spans="1:37">
      <c r="A349" s="753"/>
      <c r="B349" s="753"/>
      <c r="C349" s="753"/>
      <c r="D349" s="753"/>
      <c r="E349" s="753"/>
      <c r="F349" s="755"/>
      <c r="G349" s="755"/>
      <c r="H349" s="755"/>
      <c r="I349" s="755"/>
      <c r="J349" s="755"/>
      <c r="K349" s="755"/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</row>
    <row r="350" spans="1:37">
      <c r="A350" s="753"/>
      <c r="B350" s="753"/>
      <c r="C350" s="753"/>
      <c r="D350" s="753"/>
      <c r="E350" s="753"/>
      <c r="F350" s="755"/>
      <c r="G350" s="755"/>
      <c r="H350" s="755"/>
      <c r="I350" s="755"/>
      <c r="J350" s="755"/>
      <c r="K350" s="755"/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</row>
    <row r="351" spans="1:37">
      <c r="A351" s="753"/>
      <c r="B351" s="753"/>
      <c r="C351" s="753"/>
      <c r="D351" s="753"/>
      <c r="E351" s="753"/>
      <c r="F351" s="755"/>
      <c r="G351" s="755"/>
      <c r="H351" s="755"/>
      <c r="I351" s="755"/>
      <c r="J351" s="755"/>
      <c r="K351" s="755"/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</row>
  </sheetData>
  <printOptions horizontalCentered="1"/>
  <pageMargins left="0.75" right="0.75" top="1" bottom="1" header="0.5" footer="0.5"/>
  <pageSetup firstPageNumber="6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zoomScale="75" workbookViewId="0">
      <selection sqref="A1:W1"/>
    </sheetView>
  </sheetViews>
  <sheetFormatPr defaultRowHeight="12.75"/>
  <cols>
    <col min="1" max="1" width="32.140625" customWidth="1"/>
    <col min="5" max="5" width="10.5703125" bestFit="1" customWidth="1"/>
    <col min="6" max="6" width="10.85546875" bestFit="1" customWidth="1"/>
  </cols>
  <sheetData>
    <row r="1" spans="1:10" ht="15.75">
      <c r="A1" s="731" t="str">
        <f>Scope!A1</f>
        <v>Plano, Illinois 6 x LM6000 Power Project, Rev 0</v>
      </c>
      <c r="B1" s="832"/>
      <c r="C1" s="832"/>
      <c r="D1" s="832"/>
      <c r="E1" s="832"/>
      <c r="F1" s="832"/>
      <c r="G1" s="832"/>
      <c r="H1" s="832"/>
      <c r="I1" s="832"/>
      <c r="J1" s="753"/>
    </row>
    <row r="2" spans="1:10" ht="15.75">
      <c r="A2" s="833" t="s">
        <v>1685</v>
      </c>
      <c r="B2" s="832"/>
      <c r="C2" s="832"/>
      <c r="D2" s="832"/>
      <c r="E2" s="832"/>
      <c r="F2" s="832"/>
      <c r="G2" s="832"/>
      <c r="H2" s="832"/>
      <c r="I2" s="832"/>
      <c r="J2" s="753"/>
    </row>
    <row r="3" spans="1:10" ht="13.5" thickBot="1">
      <c r="A3" s="753"/>
      <c r="B3" s="753"/>
      <c r="C3" s="753"/>
      <c r="D3" s="753"/>
      <c r="E3" s="753"/>
      <c r="F3" s="753"/>
      <c r="G3" s="753"/>
      <c r="H3" s="753"/>
      <c r="I3" s="753"/>
      <c r="J3" s="753"/>
    </row>
    <row r="4" spans="1:10">
      <c r="A4" s="816"/>
      <c r="B4" s="834"/>
      <c r="C4" s="834" t="s">
        <v>1686</v>
      </c>
      <c r="D4" s="834" t="s">
        <v>1687</v>
      </c>
      <c r="E4" s="834" t="s">
        <v>1688</v>
      </c>
      <c r="F4" s="834" t="s">
        <v>1689</v>
      </c>
      <c r="G4" s="816"/>
      <c r="H4" s="816"/>
      <c r="I4" s="816"/>
      <c r="J4" s="816"/>
    </row>
    <row r="5" spans="1:10">
      <c r="A5" s="816"/>
      <c r="B5" s="835" t="s">
        <v>1177</v>
      </c>
      <c r="C5" s="835" t="s">
        <v>1690</v>
      </c>
      <c r="D5" s="835" t="s">
        <v>1691</v>
      </c>
      <c r="E5" s="835" t="s">
        <v>1692</v>
      </c>
      <c r="F5" s="835" t="s">
        <v>1693</v>
      </c>
      <c r="G5" s="816"/>
      <c r="H5" s="816"/>
      <c r="I5" s="816"/>
      <c r="J5" s="816"/>
    </row>
    <row r="6" spans="1:10" ht="13.5" thickBot="1">
      <c r="A6" s="816"/>
      <c r="B6" s="836" t="s">
        <v>1694</v>
      </c>
      <c r="C6" s="836" t="s">
        <v>1695</v>
      </c>
      <c r="D6" s="837" t="s">
        <v>1696</v>
      </c>
      <c r="E6" s="837" t="s">
        <v>1697</v>
      </c>
      <c r="F6" s="837" t="s">
        <v>1622</v>
      </c>
      <c r="G6" s="816"/>
      <c r="H6" s="816"/>
      <c r="I6" s="816"/>
      <c r="J6" s="816"/>
    </row>
    <row r="7" spans="1:10">
      <c r="A7" s="816"/>
      <c r="B7" s="838"/>
      <c r="C7" s="838"/>
      <c r="D7" s="838"/>
      <c r="E7" s="839"/>
      <c r="F7" s="840"/>
      <c r="G7" s="816"/>
      <c r="H7" s="816"/>
      <c r="I7" s="816"/>
      <c r="J7" s="816"/>
    </row>
    <row r="8" spans="1:10">
      <c r="A8" s="816" t="s">
        <v>1698</v>
      </c>
      <c r="B8" s="841">
        <f>Plt_Staff!B8</f>
        <v>1</v>
      </c>
      <c r="C8" s="842" t="s">
        <v>1699</v>
      </c>
      <c r="D8" s="841">
        <v>6</v>
      </c>
      <c r="E8" s="843">
        <f>'Pay &amp; Benefits Calculations'!P28/6</f>
        <v>10400.267076923075</v>
      </c>
      <c r="F8" s="844">
        <f>E8*D8*B8</f>
        <v>62401.602461538452</v>
      </c>
      <c r="G8" s="816"/>
      <c r="H8" s="816"/>
      <c r="I8" s="816"/>
      <c r="J8" s="816"/>
    </row>
    <row r="9" spans="1:10" hidden="1">
      <c r="A9" s="816" t="s">
        <v>1700</v>
      </c>
      <c r="B9" s="841">
        <v>0</v>
      </c>
      <c r="C9" s="842" t="s">
        <v>1701</v>
      </c>
      <c r="D9" s="841">
        <v>0</v>
      </c>
      <c r="E9" s="843"/>
      <c r="F9" s="844">
        <f>E9*D9*B9</f>
        <v>0</v>
      </c>
      <c r="G9" s="816"/>
      <c r="H9" s="816"/>
      <c r="I9" s="816"/>
      <c r="J9" s="816"/>
    </row>
    <row r="10" spans="1:10" hidden="1">
      <c r="A10" s="816" t="s">
        <v>1702</v>
      </c>
      <c r="B10" s="841">
        <v>0</v>
      </c>
      <c r="C10" s="842" t="s">
        <v>1699</v>
      </c>
      <c r="D10" s="841">
        <v>0</v>
      </c>
      <c r="E10" s="843"/>
      <c r="F10" s="844">
        <f>E10*D10*B10</f>
        <v>0</v>
      </c>
      <c r="G10" s="816"/>
      <c r="H10" s="816"/>
      <c r="I10" s="816"/>
      <c r="J10" s="816"/>
    </row>
    <row r="11" spans="1:10">
      <c r="A11" s="816" t="s">
        <v>1703</v>
      </c>
      <c r="B11" s="841">
        <f>Plt_Staff!B9</f>
        <v>1</v>
      </c>
      <c r="C11" s="842" t="s">
        <v>1699</v>
      </c>
      <c r="D11" s="841">
        <v>5</v>
      </c>
      <c r="E11" s="843">
        <f>('Pay &amp; Benefits Calculations'!P31+'Pay &amp; Benefits Calculations'!P49)/5</f>
        <v>4118.3864769230768</v>
      </c>
      <c r="F11" s="844">
        <f>E11*D11*B11</f>
        <v>20591.932384615386</v>
      </c>
      <c r="G11" s="816"/>
      <c r="H11" s="816"/>
      <c r="I11" s="816"/>
      <c r="J11" s="816"/>
    </row>
    <row r="12" spans="1:10" hidden="1">
      <c r="A12" s="816" t="s">
        <v>1704</v>
      </c>
      <c r="B12" s="841">
        <f>Plt_Staff!B12</f>
        <v>0</v>
      </c>
      <c r="C12" s="842" t="s">
        <v>1705</v>
      </c>
      <c r="D12" s="841">
        <v>5</v>
      </c>
      <c r="E12" s="843">
        <f>(Plt_Staff!H11+Plt_Staff!H12)/12</f>
        <v>258.12734999999998</v>
      </c>
      <c r="F12" s="844">
        <f>E12*D12*B12</f>
        <v>0</v>
      </c>
      <c r="G12" s="816"/>
      <c r="H12" s="816"/>
      <c r="I12" s="816"/>
      <c r="J12" s="816"/>
    </row>
    <row r="13" spans="1:10">
      <c r="A13" s="816" t="s">
        <v>1706</v>
      </c>
      <c r="B13" s="841">
        <f>'Pay &amp; Benefits Calculations'!N34</f>
        <v>2</v>
      </c>
      <c r="C13" s="842" t="s">
        <v>1707</v>
      </c>
      <c r="D13" s="841">
        <v>3</v>
      </c>
      <c r="E13" s="843">
        <f>('Pay &amp; Benefits Calculations'!P34+'Pay &amp; Benefits Calculations'!P52)/3</f>
        <v>17587.394953846157</v>
      </c>
      <c r="F13" s="844">
        <f>E13*D13</f>
        <v>52762.184861538466</v>
      </c>
      <c r="G13" s="816"/>
      <c r="H13" s="816"/>
      <c r="I13" s="816"/>
      <c r="J13" s="816"/>
    </row>
    <row r="14" spans="1:10">
      <c r="A14" s="816" t="s">
        <v>1708</v>
      </c>
      <c r="B14" s="841">
        <f>'Pay &amp; Benefits Calculations'!N35</f>
        <v>3</v>
      </c>
      <c r="C14" s="842" t="s">
        <v>1707</v>
      </c>
      <c r="D14" s="841">
        <v>3</v>
      </c>
      <c r="E14" s="843">
        <f>('Pay &amp; Benefits Calculations'!P35+'Pay &amp; Benefits Calculations'!P53)/3</f>
        <v>23585.447630769235</v>
      </c>
      <c r="F14" s="844">
        <f>E14*D14</f>
        <v>70756.342892307701</v>
      </c>
      <c r="G14" s="816"/>
      <c r="H14" s="816"/>
      <c r="I14" s="816"/>
      <c r="J14" s="816"/>
    </row>
    <row r="15" spans="1:10">
      <c r="A15" s="816"/>
      <c r="B15" s="841"/>
      <c r="C15" s="842"/>
      <c r="D15" s="841"/>
      <c r="E15" s="843"/>
      <c r="F15" s="844"/>
      <c r="G15" s="816"/>
      <c r="H15" s="816"/>
      <c r="I15" s="816"/>
      <c r="J15" s="816"/>
    </row>
    <row r="16" spans="1:10" ht="13.5" thickBot="1">
      <c r="A16" s="816"/>
      <c r="B16" s="837"/>
      <c r="C16" s="845"/>
      <c r="D16" s="837"/>
      <c r="E16" s="846"/>
      <c r="F16" s="847"/>
      <c r="G16" s="816"/>
      <c r="H16" s="816"/>
      <c r="I16" s="816"/>
      <c r="J16" s="816"/>
    </row>
    <row r="17" spans="1:10">
      <c r="A17" s="816"/>
      <c r="B17" s="848"/>
      <c r="C17" s="848"/>
      <c r="D17" s="848"/>
      <c r="E17" s="849"/>
      <c r="F17" s="849"/>
      <c r="G17" s="816"/>
      <c r="H17" s="816"/>
      <c r="I17" s="816"/>
      <c r="J17" s="816"/>
    </row>
    <row r="18" spans="1:10" ht="13.5" thickBot="1">
      <c r="A18" s="739"/>
      <c r="B18" s="848"/>
      <c r="C18" s="848"/>
      <c r="D18" s="848"/>
      <c r="E18" s="850"/>
      <c r="F18" s="849"/>
      <c r="G18" s="739"/>
      <c r="H18" s="739"/>
      <c r="I18" s="739"/>
      <c r="J18" s="739"/>
    </row>
    <row r="19" spans="1:10" ht="13.5" thickBot="1">
      <c r="A19" s="816" t="s">
        <v>1709</v>
      </c>
      <c r="B19" s="851">
        <f>SUM(B7:B16)</f>
        <v>7</v>
      </c>
      <c r="C19" s="852"/>
      <c r="D19" s="853"/>
      <c r="E19" s="854"/>
      <c r="F19" s="855">
        <f>SUM(F8:F16)</f>
        <v>206512.0626</v>
      </c>
      <c r="G19" s="816"/>
      <c r="H19" s="816"/>
      <c r="I19" s="816"/>
      <c r="J19" s="816"/>
    </row>
    <row r="20" spans="1:10">
      <c r="A20" s="816"/>
      <c r="B20" s="856"/>
      <c r="C20" s="816"/>
      <c r="D20" s="816"/>
      <c r="E20" s="856"/>
      <c r="F20" s="816"/>
      <c r="G20" s="816"/>
      <c r="H20" s="816"/>
      <c r="I20" s="816"/>
      <c r="J20" s="816"/>
    </row>
  </sheetData>
  <printOptions horizontalCentered="1"/>
  <pageMargins left="0.75" right="0.75" top="1" bottom="1" header="0.5" footer="0.5"/>
  <pageSetup scale="83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1"/>
  <sheetViews>
    <sheetView topLeftCell="A34" workbookViewId="0">
      <selection activeCell="A34" sqref="A34"/>
    </sheetView>
  </sheetViews>
  <sheetFormatPr defaultRowHeight="12.75"/>
  <cols>
    <col min="6" max="6" width="33" customWidth="1"/>
    <col min="8" max="8" width="12.5703125" customWidth="1"/>
    <col min="9" max="9" width="15.28515625" bestFit="1" customWidth="1"/>
    <col min="11" max="11" width="41.7109375" bestFit="1" customWidth="1"/>
  </cols>
  <sheetData>
    <row r="1" spans="1:44" ht="15.75">
      <c r="A1" s="731" t="str">
        <f>Scope!A1</f>
        <v>Plano, Illinois 6 x LM6000 Power Project, Rev 0</v>
      </c>
      <c r="B1" s="832"/>
      <c r="C1" s="832"/>
      <c r="D1" s="832"/>
      <c r="E1" s="832"/>
      <c r="F1" s="832"/>
      <c r="G1" s="832"/>
      <c r="H1" s="832"/>
      <c r="I1" s="832"/>
      <c r="J1" s="753"/>
      <c r="K1" s="753"/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  <c r="AF1" s="753"/>
      <c r="AG1" s="753"/>
      <c r="AH1" s="753"/>
      <c r="AI1" s="753"/>
      <c r="AJ1" s="753"/>
      <c r="AK1" s="753"/>
      <c r="AL1" s="753"/>
      <c r="AM1" s="753"/>
      <c r="AN1" s="753"/>
      <c r="AO1" s="753"/>
      <c r="AP1" s="753"/>
      <c r="AQ1" s="753"/>
      <c r="AR1" s="753"/>
    </row>
    <row r="2" spans="1:44" ht="15.75">
      <c r="A2" s="833" t="s">
        <v>1710</v>
      </c>
      <c r="B2" s="832"/>
      <c r="C2" s="832"/>
      <c r="D2" s="832"/>
      <c r="E2" s="832"/>
      <c r="F2" s="832"/>
      <c r="G2" s="832"/>
      <c r="H2" s="832"/>
      <c r="I2" s="832"/>
      <c r="J2" s="753"/>
      <c r="K2" s="753"/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  <c r="AF2" s="753"/>
      <c r="AG2" s="753"/>
      <c r="AH2" s="753"/>
      <c r="AI2" s="753"/>
      <c r="AJ2" s="753"/>
      <c r="AK2" s="753"/>
      <c r="AL2" s="753"/>
      <c r="AM2" s="753"/>
      <c r="AN2" s="753"/>
      <c r="AO2" s="753"/>
      <c r="AP2" s="753"/>
      <c r="AQ2" s="753"/>
      <c r="AR2" s="753"/>
    </row>
    <row r="3" spans="1:44">
      <c r="A3" s="753"/>
      <c r="B3" s="753"/>
      <c r="C3" s="753"/>
      <c r="D3" s="753"/>
      <c r="E3" s="753"/>
      <c r="F3" s="753"/>
      <c r="G3" s="753"/>
      <c r="H3" s="753"/>
      <c r="I3" s="753"/>
      <c r="J3" s="753"/>
      <c r="K3" s="753"/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  <c r="AF3" s="753"/>
      <c r="AG3" s="753"/>
      <c r="AH3" s="753"/>
      <c r="AI3" s="753"/>
      <c r="AJ3" s="753"/>
      <c r="AK3" s="753"/>
      <c r="AL3" s="753"/>
      <c r="AM3" s="753"/>
      <c r="AN3" s="753"/>
      <c r="AO3" s="753"/>
      <c r="AP3" s="753"/>
      <c r="AQ3" s="753"/>
      <c r="AR3" s="753"/>
    </row>
    <row r="4" spans="1:44">
      <c r="A4" s="753"/>
      <c r="B4" s="753"/>
      <c r="C4" s="753"/>
      <c r="D4" s="753"/>
      <c r="E4" s="753"/>
      <c r="F4" s="753"/>
      <c r="G4" s="753"/>
      <c r="H4" s="857" t="s">
        <v>1711</v>
      </c>
      <c r="I4" s="753"/>
      <c r="J4" s="753"/>
      <c r="K4" s="753"/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  <c r="AF4" s="753"/>
      <c r="AG4" s="753"/>
      <c r="AH4" s="753"/>
      <c r="AI4" s="753"/>
      <c r="AJ4" s="753"/>
      <c r="AK4" s="753"/>
      <c r="AL4" s="753"/>
      <c r="AM4" s="753"/>
      <c r="AN4" s="753"/>
      <c r="AO4" s="753"/>
      <c r="AP4" s="753"/>
      <c r="AQ4" s="753"/>
      <c r="AR4" s="753"/>
    </row>
    <row r="5" spans="1:44">
      <c r="A5" s="753"/>
      <c r="B5" s="753"/>
      <c r="C5" s="753"/>
      <c r="D5" s="753"/>
      <c r="E5" s="753"/>
      <c r="F5" s="753"/>
      <c r="G5" s="858" t="s">
        <v>1712</v>
      </c>
      <c r="H5" s="858" t="s">
        <v>1713</v>
      </c>
      <c r="I5" s="858" t="s">
        <v>1714</v>
      </c>
      <c r="J5" s="753"/>
      <c r="K5" s="753"/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  <c r="AF5" s="753"/>
      <c r="AG5" s="753"/>
      <c r="AH5" s="753"/>
      <c r="AI5" s="753"/>
      <c r="AJ5" s="753"/>
      <c r="AK5" s="753"/>
      <c r="AL5" s="753"/>
      <c r="AM5" s="753"/>
      <c r="AN5" s="753"/>
      <c r="AO5" s="753"/>
      <c r="AP5" s="753"/>
      <c r="AQ5" s="753"/>
      <c r="AR5" s="753"/>
    </row>
    <row r="6" spans="1:44">
      <c r="A6" s="761" t="s">
        <v>1715</v>
      </c>
      <c r="B6" s="753"/>
      <c r="C6" s="753"/>
      <c r="D6" s="753"/>
      <c r="E6" s="753"/>
      <c r="F6" s="753"/>
      <c r="G6" s="753"/>
      <c r="H6" s="753"/>
      <c r="I6" s="753"/>
      <c r="J6" s="753"/>
      <c r="K6" s="753"/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  <c r="AF6" s="753"/>
      <c r="AG6" s="753"/>
      <c r="AH6" s="753"/>
      <c r="AI6" s="753"/>
      <c r="AJ6" s="753"/>
      <c r="AK6" s="753"/>
      <c r="AL6" s="753"/>
      <c r="AM6" s="753"/>
      <c r="AN6" s="753"/>
      <c r="AO6" s="753"/>
      <c r="AP6" s="753"/>
      <c r="AQ6" s="753"/>
      <c r="AR6" s="753"/>
    </row>
    <row r="7" spans="1:44">
      <c r="A7" s="753"/>
      <c r="B7" s="753" t="s">
        <v>1716</v>
      </c>
      <c r="C7" s="753"/>
      <c r="D7" s="753"/>
      <c r="E7" s="753"/>
      <c r="F7" s="753"/>
      <c r="G7" s="859">
        <v>0.2</v>
      </c>
      <c r="H7" s="859">
        <f>G7*1</f>
        <v>0.2</v>
      </c>
      <c r="I7" s="860">
        <v>0</v>
      </c>
      <c r="J7" s="753"/>
      <c r="K7" s="753"/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  <c r="AF7" s="753"/>
      <c r="AG7" s="753"/>
      <c r="AH7" s="753"/>
      <c r="AI7" s="753"/>
      <c r="AJ7" s="753"/>
      <c r="AK7" s="753"/>
      <c r="AL7" s="753"/>
      <c r="AM7" s="753"/>
      <c r="AN7" s="753"/>
      <c r="AO7" s="753"/>
      <c r="AP7" s="753"/>
      <c r="AQ7" s="753"/>
      <c r="AR7" s="753"/>
    </row>
    <row r="8" spans="1:44">
      <c r="A8" s="753"/>
      <c r="B8" s="753" t="s">
        <v>1717</v>
      </c>
      <c r="C8" s="753"/>
      <c r="D8" s="753"/>
      <c r="E8" s="753"/>
      <c r="F8" s="753"/>
      <c r="G8" s="859">
        <v>0.6</v>
      </c>
      <c r="H8" s="859">
        <f>G8*1</f>
        <v>0.6</v>
      </c>
      <c r="I8" s="860">
        <v>0</v>
      </c>
      <c r="J8" s="753"/>
      <c r="K8" s="753"/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  <c r="AF8" s="753"/>
      <c r="AG8" s="753"/>
      <c r="AH8" s="753"/>
      <c r="AI8" s="753"/>
      <c r="AJ8" s="753"/>
      <c r="AK8" s="753"/>
      <c r="AL8" s="753"/>
      <c r="AM8" s="753"/>
      <c r="AN8" s="753"/>
      <c r="AO8" s="753"/>
      <c r="AP8" s="753"/>
      <c r="AQ8" s="753"/>
      <c r="AR8" s="753"/>
    </row>
    <row r="9" spans="1:44">
      <c r="A9" s="753"/>
      <c r="B9" s="753" t="s">
        <v>1718</v>
      </c>
      <c r="C9" s="753"/>
      <c r="D9" s="753"/>
      <c r="E9" s="753"/>
      <c r="F9" s="753"/>
      <c r="G9" s="859">
        <v>0.4</v>
      </c>
      <c r="H9" s="859">
        <f>G9*1</f>
        <v>0.4</v>
      </c>
      <c r="I9" s="860">
        <v>0</v>
      </c>
      <c r="J9" s="753"/>
      <c r="K9" s="753"/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  <c r="AF9" s="753"/>
      <c r="AG9" s="753"/>
      <c r="AH9" s="753"/>
      <c r="AI9" s="753"/>
      <c r="AJ9" s="753"/>
      <c r="AK9" s="753"/>
      <c r="AL9" s="753"/>
      <c r="AM9" s="753"/>
      <c r="AN9" s="753"/>
      <c r="AO9" s="753"/>
      <c r="AP9" s="753"/>
      <c r="AQ9" s="753"/>
      <c r="AR9" s="753"/>
    </row>
    <row r="10" spans="1:44">
      <c r="A10" s="753"/>
      <c r="B10" s="753" t="s">
        <v>1719</v>
      </c>
      <c r="C10" s="753"/>
      <c r="D10" s="753"/>
      <c r="E10" s="753"/>
      <c r="F10" s="753"/>
      <c r="G10" s="861">
        <v>0.6</v>
      </c>
      <c r="H10" s="861">
        <f>G10*1</f>
        <v>0.6</v>
      </c>
      <c r="I10" s="862">
        <v>0</v>
      </c>
      <c r="J10" s="753"/>
      <c r="K10" s="753"/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  <c r="AF10" s="753"/>
      <c r="AG10" s="753"/>
      <c r="AH10" s="753"/>
      <c r="AI10" s="753"/>
      <c r="AJ10" s="753"/>
      <c r="AK10" s="753"/>
      <c r="AL10" s="753"/>
      <c r="AM10" s="753"/>
      <c r="AN10" s="753"/>
      <c r="AO10" s="753"/>
      <c r="AP10" s="753"/>
      <c r="AQ10" s="753"/>
      <c r="AR10" s="753"/>
    </row>
    <row r="11" spans="1:44">
      <c r="A11" s="753"/>
      <c r="B11" s="753"/>
      <c r="C11" s="753"/>
      <c r="D11" s="753"/>
      <c r="E11" s="753"/>
      <c r="F11" s="753"/>
      <c r="G11" s="859">
        <f>+SUM(G7:G10)</f>
        <v>1.8000000000000003</v>
      </c>
      <c r="H11" s="859">
        <f>+SUM(H7:H10)</f>
        <v>1.8000000000000003</v>
      </c>
      <c r="I11" s="863">
        <f>SUM(I7:I10)</f>
        <v>0</v>
      </c>
      <c r="J11" s="762"/>
      <c r="K11" s="753"/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  <c r="AF11" s="753"/>
      <c r="AG11" s="753"/>
      <c r="AH11" s="753"/>
      <c r="AI11" s="753"/>
      <c r="AJ11" s="753"/>
      <c r="AK11" s="753"/>
      <c r="AL11" s="753"/>
      <c r="AM11" s="753"/>
      <c r="AN11" s="753"/>
      <c r="AO11" s="753"/>
      <c r="AP11" s="753"/>
      <c r="AQ11" s="753"/>
      <c r="AR11" s="753"/>
    </row>
    <row r="12" spans="1:44">
      <c r="A12" s="753"/>
      <c r="B12" s="753"/>
      <c r="C12" s="753"/>
      <c r="D12" s="753"/>
      <c r="E12" s="753"/>
      <c r="F12" s="753"/>
      <c r="G12" s="859"/>
      <c r="H12" s="859"/>
      <c r="I12" s="860"/>
      <c r="J12" s="753"/>
      <c r="K12" s="753"/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  <c r="AF12" s="753"/>
      <c r="AG12" s="753"/>
      <c r="AH12" s="753"/>
      <c r="AI12" s="753"/>
      <c r="AJ12" s="753"/>
      <c r="AK12" s="753"/>
      <c r="AL12" s="753"/>
      <c r="AM12" s="753"/>
      <c r="AN12" s="753"/>
      <c r="AO12" s="753"/>
      <c r="AP12" s="753"/>
      <c r="AQ12" s="753"/>
      <c r="AR12" s="753"/>
    </row>
    <row r="13" spans="1:44">
      <c r="A13" s="761" t="s">
        <v>1720</v>
      </c>
      <c r="B13" s="753"/>
      <c r="C13" s="753"/>
      <c r="D13" s="753"/>
      <c r="E13" s="753"/>
      <c r="F13" s="753"/>
      <c r="G13" s="859"/>
      <c r="H13" s="859"/>
      <c r="I13" s="860"/>
      <c r="J13" s="753"/>
      <c r="K13" s="753"/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  <c r="AF13" s="753"/>
      <c r="AG13" s="753"/>
      <c r="AH13" s="753"/>
      <c r="AI13" s="753"/>
      <c r="AJ13" s="753"/>
      <c r="AK13" s="753"/>
      <c r="AL13" s="753"/>
      <c r="AM13" s="753"/>
      <c r="AN13" s="753"/>
      <c r="AO13" s="753"/>
      <c r="AP13" s="753"/>
      <c r="AQ13" s="753"/>
      <c r="AR13" s="753"/>
    </row>
    <row r="14" spans="1:44" ht="14.25">
      <c r="A14" s="761"/>
      <c r="B14" s="753" t="s">
        <v>939</v>
      </c>
      <c r="C14" s="753"/>
      <c r="D14" s="753"/>
      <c r="E14" s="753"/>
      <c r="F14" s="753"/>
      <c r="G14" s="861">
        <v>0.6</v>
      </c>
      <c r="H14" s="861">
        <f>G14</f>
        <v>0.6</v>
      </c>
      <c r="I14" s="862">
        <f>H14*25</f>
        <v>15</v>
      </c>
      <c r="J14" s="753"/>
      <c r="K14" s="753"/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  <c r="AF14" s="753"/>
      <c r="AG14" s="753"/>
      <c r="AH14" s="753"/>
      <c r="AI14" s="753"/>
      <c r="AJ14" s="753"/>
      <c r="AK14" s="753"/>
      <c r="AL14" s="753"/>
      <c r="AM14" s="753"/>
      <c r="AN14" s="753"/>
      <c r="AO14" s="753"/>
      <c r="AP14" s="753"/>
      <c r="AQ14" s="753"/>
      <c r="AR14" s="753"/>
    </row>
    <row r="15" spans="1:44" hidden="1">
      <c r="A15" s="761"/>
      <c r="B15" s="753" t="s">
        <v>1721</v>
      </c>
      <c r="C15" s="753"/>
      <c r="D15" s="753"/>
      <c r="E15" s="753"/>
      <c r="F15" s="753"/>
      <c r="G15" s="859">
        <v>0</v>
      </c>
      <c r="H15" s="859">
        <f>G15</f>
        <v>0</v>
      </c>
      <c r="I15" s="860">
        <f>H15*8</f>
        <v>0</v>
      </c>
      <c r="J15" s="753"/>
      <c r="K15" s="753"/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  <c r="AF15" s="753"/>
      <c r="AG15" s="753"/>
      <c r="AH15" s="753"/>
      <c r="AI15" s="753"/>
      <c r="AJ15" s="753"/>
      <c r="AK15" s="753"/>
      <c r="AL15" s="753"/>
      <c r="AM15" s="753"/>
      <c r="AN15" s="753"/>
      <c r="AO15" s="753"/>
      <c r="AP15" s="753"/>
      <c r="AQ15" s="753"/>
      <c r="AR15" s="753"/>
    </row>
    <row r="16" spans="1:44" hidden="1">
      <c r="A16" s="753"/>
      <c r="B16" s="749" t="s">
        <v>1722</v>
      </c>
      <c r="C16" s="753"/>
      <c r="D16" s="753"/>
      <c r="E16" s="753"/>
      <c r="F16" s="753"/>
      <c r="G16" s="861">
        <v>0</v>
      </c>
      <c r="H16" s="861">
        <f>G16*1</f>
        <v>0</v>
      </c>
      <c r="I16" s="864">
        <f>H16*8</f>
        <v>0</v>
      </c>
      <c r="J16" s="753"/>
      <c r="K16" s="753"/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  <c r="AF16" s="753"/>
      <c r="AG16" s="753"/>
      <c r="AH16" s="753"/>
      <c r="AI16" s="753"/>
      <c r="AJ16" s="753"/>
      <c r="AK16" s="753"/>
      <c r="AL16" s="753"/>
      <c r="AM16" s="753"/>
      <c r="AN16" s="753"/>
      <c r="AO16" s="753"/>
      <c r="AP16" s="753"/>
      <c r="AQ16" s="753"/>
      <c r="AR16" s="753"/>
    </row>
    <row r="17" spans="1:44">
      <c r="A17" s="753"/>
      <c r="B17" s="749"/>
      <c r="C17" s="753"/>
      <c r="D17" s="753"/>
      <c r="E17" s="753"/>
      <c r="F17" s="753"/>
      <c r="G17" s="859">
        <f>SUM(G14:G16)</f>
        <v>0.6</v>
      </c>
      <c r="H17" s="859">
        <f>SUM(H14:H16)</f>
        <v>0.6</v>
      </c>
      <c r="I17" s="859">
        <f>SUM(I14:I16)</f>
        <v>15</v>
      </c>
      <c r="J17" s="753"/>
      <c r="K17" s="753"/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  <c r="AF17" s="753"/>
      <c r="AG17" s="753"/>
      <c r="AH17" s="753"/>
      <c r="AI17" s="753"/>
      <c r="AJ17" s="753"/>
      <c r="AK17" s="753"/>
      <c r="AL17" s="753"/>
      <c r="AM17" s="753"/>
      <c r="AN17" s="753"/>
      <c r="AO17" s="753"/>
      <c r="AP17" s="753"/>
      <c r="AQ17" s="753"/>
      <c r="AR17" s="753"/>
    </row>
    <row r="18" spans="1:44">
      <c r="A18" s="753"/>
      <c r="B18" s="749"/>
      <c r="C18" s="753"/>
      <c r="D18" s="753"/>
      <c r="E18" s="753"/>
      <c r="F18" s="753"/>
      <c r="G18" s="859"/>
      <c r="H18" s="859"/>
      <c r="I18" s="860"/>
      <c r="J18" s="753"/>
      <c r="K18" s="753"/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  <c r="AF18" s="753"/>
      <c r="AG18" s="753"/>
      <c r="AH18" s="753"/>
      <c r="AI18" s="753"/>
      <c r="AJ18" s="753"/>
      <c r="AK18" s="753"/>
      <c r="AL18" s="753"/>
      <c r="AM18" s="753"/>
      <c r="AN18" s="753"/>
      <c r="AO18" s="753"/>
      <c r="AP18" s="753"/>
      <c r="AQ18" s="753"/>
      <c r="AR18" s="753"/>
    </row>
    <row r="19" spans="1:44">
      <c r="A19" s="761" t="s">
        <v>1723</v>
      </c>
      <c r="B19" s="749"/>
      <c r="C19" s="753"/>
      <c r="D19" s="753"/>
      <c r="E19" s="753"/>
      <c r="F19" s="753"/>
      <c r="G19" s="859"/>
      <c r="H19" s="859"/>
      <c r="I19" s="860"/>
      <c r="J19" s="753"/>
      <c r="K19" s="753"/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  <c r="AF19" s="753"/>
      <c r="AG19" s="753"/>
      <c r="AH19" s="753"/>
      <c r="AI19" s="753"/>
      <c r="AJ19" s="753"/>
      <c r="AK19" s="753"/>
      <c r="AL19" s="753"/>
      <c r="AM19" s="753"/>
      <c r="AN19" s="753"/>
      <c r="AO19" s="753"/>
      <c r="AP19" s="753"/>
      <c r="AQ19" s="753"/>
      <c r="AR19" s="753"/>
    </row>
    <row r="20" spans="1:44">
      <c r="A20" s="865" t="s">
        <v>1724</v>
      </c>
      <c r="B20" s="749" t="s">
        <v>1725</v>
      </c>
      <c r="C20" s="753"/>
      <c r="D20" s="753"/>
      <c r="E20" s="753"/>
      <c r="F20" s="753"/>
      <c r="G20" s="866">
        <v>0.4</v>
      </c>
      <c r="H20" s="866">
        <f>G20</f>
        <v>0.4</v>
      </c>
      <c r="I20" s="867">
        <f>8000*H20/1000</f>
        <v>3.2</v>
      </c>
      <c r="J20" s="753"/>
      <c r="K20" s="753"/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  <c r="AF20" s="753"/>
      <c r="AG20" s="753"/>
      <c r="AH20" s="753"/>
      <c r="AI20" s="753"/>
      <c r="AJ20" s="753"/>
      <c r="AK20" s="753"/>
      <c r="AL20" s="753"/>
      <c r="AM20" s="753"/>
      <c r="AN20" s="753"/>
      <c r="AO20" s="753"/>
      <c r="AP20" s="753"/>
      <c r="AQ20" s="753"/>
      <c r="AR20" s="753"/>
    </row>
    <row r="21" spans="1:44">
      <c r="A21" s="753"/>
      <c r="B21" s="749"/>
      <c r="C21" s="753"/>
      <c r="D21" s="753"/>
      <c r="E21" s="753"/>
      <c r="F21" s="753"/>
      <c r="G21" s="859">
        <f>SUM(G20)</f>
        <v>0.4</v>
      </c>
      <c r="H21" s="859">
        <f>G21*1</f>
        <v>0.4</v>
      </c>
      <c r="I21" s="868">
        <f>SUM(I20)</f>
        <v>3.2</v>
      </c>
      <c r="J21" s="753"/>
      <c r="K21" s="753"/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  <c r="AF21" s="753"/>
      <c r="AG21" s="753"/>
      <c r="AH21" s="753"/>
      <c r="AI21" s="753"/>
      <c r="AJ21" s="753"/>
      <c r="AK21" s="753"/>
      <c r="AL21" s="753"/>
      <c r="AM21" s="753"/>
      <c r="AN21" s="753"/>
      <c r="AO21" s="753"/>
      <c r="AP21" s="753"/>
      <c r="AQ21" s="753"/>
      <c r="AR21" s="753"/>
    </row>
    <row r="22" spans="1:44">
      <c r="A22" s="753"/>
      <c r="B22" s="749"/>
      <c r="C22" s="753"/>
      <c r="D22" s="753"/>
      <c r="E22" s="753"/>
      <c r="F22" s="753"/>
      <c r="G22" s="859"/>
      <c r="H22" s="859"/>
      <c r="I22" s="860"/>
      <c r="J22" s="753"/>
      <c r="K22" s="753"/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  <c r="AF22" s="753"/>
      <c r="AG22" s="753"/>
      <c r="AH22" s="753"/>
      <c r="AI22" s="753"/>
      <c r="AJ22" s="753"/>
      <c r="AK22" s="753"/>
      <c r="AL22" s="753"/>
      <c r="AM22" s="753"/>
      <c r="AN22" s="753"/>
      <c r="AO22" s="753"/>
      <c r="AP22" s="753"/>
      <c r="AQ22" s="753"/>
      <c r="AR22" s="753"/>
    </row>
    <row r="23" spans="1:44">
      <c r="A23" s="761" t="s">
        <v>1726</v>
      </c>
      <c r="B23" s="749"/>
      <c r="C23" s="753"/>
      <c r="D23" s="753"/>
      <c r="E23" s="753"/>
      <c r="F23" s="753"/>
      <c r="G23" s="859"/>
      <c r="H23" s="859"/>
      <c r="I23" s="860"/>
      <c r="J23" s="753"/>
      <c r="K23" s="753"/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  <c r="AF23" s="753"/>
      <c r="AG23" s="753"/>
      <c r="AH23" s="753"/>
      <c r="AI23" s="753"/>
      <c r="AJ23" s="753"/>
      <c r="AK23" s="753"/>
      <c r="AL23" s="753"/>
      <c r="AM23" s="753"/>
      <c r="AN23" s="753"/>
      <c r="AO23" s="753"/>
      <c r="AP23" s="753"/>
      <c r="AQ23" s="753"/>
      <c r="AR23" s="753"/>
    </row>
    <row r="24" spans="1:44" ht="14.25">
      <c r="A24" s="753"/>
      <c r="B24" s="749" t="s">
        <v>940</v>
      </c>
      <c r="C24" s="753"/>
      <c r="D24" s="753"/>
      <c r="E24" s="753"/>
      <c r="F24" s="753"/>
      <c r="G24" s="859">
        <v>0.6</v>
      </c>
      <c r="H24" s="859">
        <f>G24*1</f>
        <v>0.6</v>
      </c>
      <c r="I24" s="868">
        <f>H24*25</f>
        <v>15</v>
      </c>
      <c r="J24" s="753"/>
      <c r="K24" s="753"/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  <c r="AF24" s="753"/>
      <c r="AG24" s="753"/>
      <c r="AH24" s="753"/>
      <c r="AI24" s="753"/>
      <c r="AJ24" s="753"/>
      <c r="AK24" s="753"/>
      <c r="AL24" s="753"/>
      <c r="AM24" s="753"/>
      <c r="AN24" s="753"/>
      <c r="AO24" s="753"/>
      <c r="AP24" s="753"/>
      <c r="AQ24" s="753"/>
      <c r="AR24" s="753"/>
    </row>
    <row r="25" spans="1:44" hidden="1">
      <c r="A25" s="753"/>
      <c r="B25" s="749" t="s">
        <v>0</v>
      </c>
      <c r="C25" s="753"/>
      <c r="D25" s="753"/>
      <c r="E25" s="753"/>
      <c r="F25" s="753"/>
      <c r="G25" s="859">
        <v>0</v>
      </c>
      <c r="H25" s="859">
        <f>G25*1</f>
        <v>0</v>
      </c>
      <c r="I25" s="868">
        <f>H25*8</f>
        <v>0</v>
      </c>
      <c r="J25" s="753"/>
      <c r="K25" s="753"/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  <c r="AF25" s="753"/>
      <c r="AG25" s="753"/>
      <c r="AH25" s="753"/>
      <c r="AI25" s="753"/>
      <c r="AJ25" s="753"/>
      <c r="AK25" s="753"/>
      <c r="AL25" s="753"/>
      <c r="AM25" s="753"/>
      <c r="AN25" s="753"/>
      <c r="AO25" s="753"/>
      <c r="AP25" s="753"/>
      <c r="AQ25" s="753"/>
      <c r="AR25" s="753"/>
    </row>
    <row r="26" spans="1:44">
      <c r="A26" s="753"/>
      <c r="B26" s="749" t="s">
        <v>1</v>
      </c>
      <c r="C26" s="753"/>
      <c r="D26" s="753"/>
      <c r="E26" s="753"/>
      <c r="F26" s="753"/>
      <c r="G26" s="861">
        <v>0.6</v>
      </c>
      <c r="H26" s="861">
        <f>G26*1</f>
        <v>0.6</v>
      </c>
      <c r="I26" s="864">
        <f>25*H26</f>
        <v>15</v>
      </c>
      <c r="J26" s="753"/>
      <c r="K26" s="753"/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  <c r="AF26" s="753"/>
      <c r="AG26" s="753"/>
      <c r="AH26" s="753"/>
      <c r="AI26" s="753"/>
      <c r="AJ26" s="753"/>
      <c r="AK26" s="753"/>
      <c r="AL26" s="753"/>
      <c r="AM26" s="753"/>
      <c r="AN26" s="753"/>
      <c r="AO26" s="753"/>
      <c r="AP26" s="753"/>
      <c r="AQ26" s="753"/>
      <c r="AR26" s="753"/>
    </row>
    <row r="27" spans="1:44">
      <c r="A27" s="753"/>
      <c r="B27" s="749"/>
      <c r="C27" s="753"/>
      <c r="D27" s="753"/>
      <c r="E27" s="753"/>
      <c r="F27" s="753"/>
      <c r="G27" s="859">
        <f>SUM(G24:G26)</f>
        <v>1.2</v>
      </c>
      <c r="H27" s="859">
        <f>SUM(H24:H26)</f>
        <v>1.2</v>
      </c>
      <c r="I27" s="859">
        <f>SUM(I24:I26)</f>
        <v>30</v>
      </c>
      <c r="J27" s="753"/>
      <c r="K27" s="753"/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  <c r="AF27" s="753"/>
      <c r="AG27" s="753"/>
      <c r="AH27" s="753"/>
      <c r="AI27" s="753"/>
      <c r="AJ27" s="753"/>
      <c r="AK27" s="753"/>
      <c r="AL27" s="753"/>
      <c r="AM27" s="753"/>
      <c r="AN27" s="753"/>
      <c r="AO27" s="753"/>
      <c r="AP27" s="753"/>
      <c r="AQ27" s="753"/>
      <c r="AR27" s="753"/>
    </row>
    <row r="28" spans="1:44">
      <c r="A28" s="753"/>
      <c r="B28" s="749"/>
      <c r="C28" s="753"/>
      <c r="D28" s="753"/>
      <c r="E28" s="753"/>
      <c r="F28" s="753"/>
      <c r="G28" s="859"/>
      <c r="H28" s="859"/>
      <c r="I28" s="860"/>
      <c r="J28" s="753"/>
      <c r="K28" s="753"/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  <c r="AF28" s="753"/>
      <c r="AG28" s="753"/>
      <c r="AH28" s="753"/>
      <c r="AI28" s="753"/>
      <c r="AJ28" s="753"/>
      <c r="AK28" s="753"/>
      <c r="AL28" s="753"/>
      <c r="AM28" s="753"/>
      <c r="AN28" s="753"/>
      <c r="AO28" s="753"/>
      <c r="AP28" s="753"/>
      <c r="AQ28" s="753"/>
      <c r="AR28" s="753"/>
    </row>
    <row r="29" spans="1:44">
      <c r="A29" s="761" t="s">
        <v>2</v>
      </c>
      <c r="B29" s="749"/>
      <c r="C29" s="753"/>
      <c r="D29" s="753"/>
      <c r="E29" s="753"/>
      <c r="F29" s="753"/>
      <c r="G29" s="859"/>
      <c r="H29" s="859"/>
      <c r="I29" s="860"/>
      <c r="J29" s="753"/>
      <c r="K29" s="753"/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  <c r="AF29" s="753"/>
      <c r="AG29" s="753"/>
      <c r="AH29" s="753"/>
      <c r="AI29" s="753"/>
      <c r="AJ29" s="753"/>
      <c r="AK29" s="753"/>
      <c r="AL29" s="753"/>
      <c r="AM29" s="753"/>
      <c r="AN29" s="753"/>
      <c r="AO29" s="753"/>
      <c r="AP29" s="753"/>
      <c r="AQ29" s="753"/>
      <c r="AR29" s="753"/>
    </row>
    <row r="30" spans="1:44">
      <c r="A30" s="761"/>
      <c r="B30" s="749" t="s">
        <v>3</v>
      </c>
      <c r="C30" s="753"/>
      <c r="D30" s="753"/>
      <c r="E30" s="753"/>
      <c r="F30" s="753"/>
      <c r="G30" s="859">
        <v>1</v>
      </c>
      <c r="H30" s="859">
        <f>G30</f>
        <v>1</v>
      </c>
      <c r="I30" s="860">
        <f>2*1924/1000</f>
        <v>3.8479999999999999</v>
      </c>
      <c r="J30" s="753"/>
      <c r="K30" s="753"/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  <c r="AF30" s="753"/>
      <c r="AG30" s="753"/>
      <c r="AH30" s="753"/>
      <c r="AI30" s="753"/>
      <c r="AJ30" s="753"/>
      <c r="AK30" s="753"/>
      <c r="AL30" s="753"/>
      <c r="AM30" s="753"/>
      <c r="AN30" s="753"/>
      <c r="AO30" s="753"/>
      <c r="AP30" s="753"/>
      <c r="AQ30" s="753"/>
      <c r="AR30" s="753"/>
    </row>
    <row r="31" spans="1:44">
      <c r="A31" s="753"/>
      <c r="B31" s="749" t="s">
        <v>4</v>
      </c>
      <c r="C31" s="753"/>
      <c r="D31" s="753"/>
      <c r="E31" s="753"/>
      <c r="F31" s="753"/>
      <c r="G31">
        <f>7/5</f>
        <v>1.4</v>
      </c>
      <c r="H31" s="859">
        <f>G31</f>
        <v>1.4</v>
      </c>
      <c r="I31" s="337">
        <f>2*4235/1000</f>
        <v>8.4700000000000006</v>
      </c>
      <c r="J31" s="753"/>
      <c r="K31" s="753"/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  <c r="AF31" s="753"/>
      <c r="AG31" s="753"/>
      <c r="AH31" s="753"/>
      <c r="AI31" s="753"/>
      <c r="AJ31" s="753"/>
      <c r="AK31" s="753"/>
      <c r="AL31" s="753"/>
      <c r="AM31" s="753"/>
      <c r="AN31" s="753"/>
      <c r="AO31" s="753"/>
      <c r="AP31" s="753"/>
      <c r="AQ31" s="753"/>
      <c r="AR31" s="753"/>
    </row>
    <row r="32" spans="1:44">
      <c r="A32" s="753"/>
      <c r="B32" s="749" t="s">
        <v>5</v>
      </c>
      <c r="C32" s="753"/>
      <c r="D32" s="753"/>
      <c r="E32" s="753"/>
      <c r="F32" s="753"/>
      <c r="G32" s="861">
        <v>0.6</v>
      </c>
      <c r="H32" s="861">
        <f>G32</f>
        <v>0.6</v>
      </c>
      <c r="I32" s="864">
        <f>2*1767/1000</f>
        <v>3.5339999999999998</v>
      </c>
      <c r="J32" s="753"/>
      <c r="K32" s="753"/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  <c r="AF32" s="753"/>
      <c r="AG32" s="753"/>
      <c r="AH32" s="753"/>
      <c r="AI32" s="753"/>
      <c r="AJ32" s="753"/>
      <c r="AK32" s="753"/>
      <c r="AL32" s="753"/>
      <c r="AM32" s="753"/>
      <c r="AN32" s="753"/>
      <c r="AO32" s="753"/>
      <c r="AP32" s="753"/>
      <c r="AQ32" s="753"/>
      <c r="AR32" s="753"/>
    </row>
    <row r="33" spans="1:44">
      <c r="A33" s="753"/>
      <c r="B33" s="749"/>
      <c r="C33" s="753"/>
      <c r="D33" s="753"/>
      <c r="E33" s="753"/>
      <c r="F33" s="753"/>
      <c r="G33" s="859">
        <f>SUM(G30:G32)</f>
        <v>3</v>
      </c>
      <c r="H33" s="859">
        <f>SUM(H30:H32)</f>
        <v>3</v>
      </c>
      <c r="I33" s="859">
        <f>SUM(I30:I32)</f>
        <v>15.852</v>
      </c>
      <c r="J33" s="753"/>
      <c r="K33" s="753"/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  <c r="AF33" s="753"/>
      <c r="AG33" s="753"/>
      <c r="AH33" s="753"/>
      <c r="AI33" s="753"/>
      <c r="AJ33" s="753"/>
      <c r="AK33" s="753"/>
      <c r="AL33" s="753"/>
      <c r="AM33" s="753"/>
      <c r="AN33" s="753"/>
      <c r="AO33" s="753"/>
      <c r="AP33" s="753"/>
      <c r="AQ33" s="753"/>
      <c r="AR33" s="753"/>
    </row>
    <row r="34" spans="1:44">
      <c r="A34" s="761" t="s">
        <v>6</v>
      </c>
      <c r="B34" s="749"/>
      <c r="C34" s="753"/>
      <c r="D34" s="753"/>
      <c r="E34" s="753"/>
      <c r="F34" s="753"/>
      <c r="G34" s="859"/>
      <c r="H34" s="859"/>
      <c r="I34" s="860"/>
      <c r="J34" s="753"/>
      <c r="K34" s="753"/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  <c r="AF34" s="753"/>
      <c r="AG34" s="753"/>
      <c r="AH34" s="753"/>
      <c r="AI34" s="753"/>
      <c r="AJ34" s="753"/>
      <c r="AK34" s="753"/>
      <c r="AL34" s="753"/>
      <c r="AM34" s="753"/>
      <c r="AN34" s="753"/>
      <c r="AO34" s="753"/>
      <c r="AP34" s="753"/>
      <c r="AQ34" s="753"/>
      <c r="AR34" s="753"/>
    </row>
    <row r="35" spans="1:44">
      <c r="A35" s="761"/>
      <c r="B35" s="749" t="s">
        <v>7</v>
      </c>
      <c r="C35" s="753"/>
      <c r="D35" s="753"/>
      <c r="E35" s="753"/>
      <c r="F35" s="753"/>
      <c r="G35" s="859">
        <v>2</v>
      </c>
      <c r="H35" s="859">
        <f>G35</f>
        <v>2</v>
      </c>
      <c r="I35" s="860">
        <f>3*5000/1000</f>
        <v>15</v>
      </c>
      <c r="J35" s="753"/>
      <c r="K35" s="753"/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  <c r="AF35" s="753"/>
      <c r="AG35" s="753"/>
      <c r="AH35" s="753"/>
      <c r="AI35" s="753"/>
      <c r="AJ35" s="753"/>
      <c r="AK35" s="753"/>
      <c r="AL35" s="753"/>
      <c r="AM35" s="753"/>
      <c r="AN35" s="753"/>
      <c r="AO35" s="753"/>
      <c r="AP35" s="753"/>
      <c r="AQ35" s="753"/>
      <c r="AR35" s="753"/>
    </row>
    <row r="36" spans="1:44">
      <c r="A36" s="753"/>
      <c r="B36" s="749" t="s">
        <v>8</v>
      </c>
      <c r="C36" s="753"/>
      <c r="D36" s="753"/>
      <c r="E36" s="753"/>
      <c r="F36" s="753"/>
      <c r="G36" s="859">
        <v>0.6</v>
      </c>
      <c r="H36" s="859">
        <f>G36</f>
        <v>0.6</v>
      </c>
      <c r="I36" s="868">
        <f>3*2000/1000</f>
        <v>6</v>
      </c>
      <c r="J36" s="753"/>
      <c r="K36" s="753"/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  <c r="AF36" s="753"/>
      <c r="AG36" s="753"/>
      <c r="AH36" s="753"/>
      <c r="AI36" s="753"/>
      <c r="AJ36" s="753"/>
      <c r="AK36" s="753"/>
      <c r="AL36" s="753"/>
      <c r="AM36" s="753"/>
      <c r="AN36" s="753"/>
      <c r="AO36" s="753"/>
      <c r="AP36" s="753"/>
      <c r="AQ36" s="753"/>
      <c r="AR36" s="753"/>
    </row>
    <row r="37" spans="1:44" hidden="1">
      <c r="A37" s="753"/>
      <c r="B37" s="749" t="s">
        <v>9</v>
      </c>
      <c r="C37" s="753"/>
      <c r="D37" s="753"/>
      <c r="E37" s="753"/>
      <c r="F37" s="753"/>
      <c r="G37" s="859">
        <v>0</v>
      </c>
      <c r="H37" s="859">
        <f>G37</f>
        <v>0</v>
      </c>
      <c r="I37" s="868">
        <f>H37*8</f>
        <v>0</v>
      </c>
      <c r="J37" s="753"/>
      <c r="K37" s="753" t="s">
        <v>10</v>
      </c>
      <c r="L37" s="753" t="s">
        <v>11</v>
      </c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  <c r="AF37" s="753"/>
      <c r="AG37" s="753"/>
      <c r="AH37" s="753"/>
      <c r="AI37" s="753"/>
      <c r="AJ37" s="753"/>
      <c r="AK37" s="753"/>
      <c r="AL37" s="753"/>
      <c r="AM37" s="753"/>
      <c r="AN37" s="753"/>
      <c r="AO37" s="753"/>
      <c r="AP37" s="753"/>
      <c r="AQ37" s="753"/>
      <c r="AR37" s="753"/>
    </row>
    <row r="38" spans="1:44">
      <c r="A38" s="753"/>
      <c r="B38" s="749" t="s">
        <v>12</v>
      </c>
      <c r="C38" s="753"/>
      <c r="D38" s="753"/>
      <c r="E38" s="753"/>
      <c r="F38" s="753"/>
      <c r="G38" s="866">
        <v>0.4</v>
      </c>
      <c r="H38" s="861">
        <f>G38</f>
        <v>0.4</v>
      </c>
      <c r="I38" s="864">
        <f>20*H38</f>
        <v>8</v>
      </c>
      <c r="J38" s="753"/>
      <c r="K38" s="753"/>
      <c r="L38" s="869"/>
      <c r="M38" s="869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  <c r="AF38" s="753"/>
      <c r="AG38" s="753"/>
      <c r="AH38" s="753"/>
      <c r="AI38" s="753"/>
      <c r="AJ38" s="753"/>
      <c r="AK38" s="753"/>
      <c r="AL38" s="753"/>
      <c r="AM38" s="753"/>
      <c r="AN38" s="753"/>
      <c r="AO38" s="753"/>
      <c r="AP38" s="753"/>
      <c r="AQ38" s="753"/>
      <c r="AR38" s="753"/>
    </row>
    <row r="39" spans="1:44">
      <c r="A39" s="753"/>
      <c r="B39" s="753"/>
      <c r="C39" s="753"/>
      <c r="D39" s="753"/>
      <c r="E39" s="753"/>
      <c r="F39" s="753"/>
      <c r="G39" s="859">
        <f>SUM(G35:G38)</f>
        <v>3</v>
      </c>
      <c r="H39" s="859">
        <f>G39</f>
        <v>3</v>
      </c>
      <c r="I39" s="870">
        <f>SUM(I35:I38)</f>
        <v>29</v>
      </c>
      <c r="J39" s="753"/>
      <c r="K39" s="753"/>
      <c r="L39" s="755"/>
      <c r="M39" s="755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  <c r="AF39" s="753"/>
      <c r="AG39" s="753"/>
      <c r="AH39" s="753"/>
      <c r="AI39" s="753"/>
      <c r="AJ39" s="753"/>
      <c r="AK39" s="753"/>
      <c r="AL39" s="753"/>
      <c r="AM39" s="753"/>
      <c r="AN39" s="753"/>
      <c r="AO39" s="753"/>
      <c r="AP39" s="753"/>
      <c r="AQ39" s="753"/>
      <c r="AR39" s="753"/>
    </row>
    <row r="40" spans="1:44">
      <c r="A40" s="753"/>
      <c r="B40" s="753"/>
      <c r="C40" s="753"/>
      <c r="D40" s="753"/>
      <c r="E40" s="753"/>
      <c r="F40" s="753"/>
      <c r="G40" s="859"/>
      <c r="H40" s="870"/>
      <c r="I40" s="870"/>
      <c r="J40" s="753"/>
      <c r="K40" s="753"/>
      <c r="L40" s="755"/>
      <c r="M40" s="755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  <c r="AF40" s="753"/>
      <c r="AG40" s="753"/>
      <c r="AH40" s="753"/>
      <c r="AI40" s="753"/>
      <c r="AJ40" s="753"/>
      <c r="AK40" s="753"/>
      <c r="AL40" s="753"/>
      <c r="AM40" s="753"/>
      <c r="AN40" s="753"/>
      <c r="AO40" s="753"/>
      <c r="AP40" s="753"/>
      <c r="AQ40" s="753"/>
      <c r="AR40" s="753"/>
    </row>
    <row r="41" spans="1:44">
      <c r="A41" s="761" t="s">
        <v>13</v>
      </c>
      <c r="B41" s="753"/>
      <c r="C41" s="753"/>
      <c r="D41" s="753"/>
      <c r="E41" s="753"/>
      <c r="F41" s="753"/>
      <c r="G41" s="859"/>
      <c r="H41" s="859">
        <f>H39+H33+H27+H21+H17+H11</f>
        <v>10.000000000000002</v>
      </c>
      <c r="I41" s="870">
        <f>I39+I33+I27+I21+I17+I11</f>
        <v>93.052000000000007</v>
      </c>
      <c r="J41" s="753"/>
      <c r="K41" s="753"/>
      <c r="L41" s="755"/>
      <c r="M41" s="755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  <c r="AF41" s="753"/>
      <c r="AG41" s="753"/>
      <c r="AH41" s="753"/>
      <c r="AI41" s="753"/>
      <c r="AJ41" s="753"/>
      <c r="AK41" s="753"/>
      <c r="AL41" s="753"/>
      <c r="AM41" s="753"/>
      <c r="AN41" s="753"/>
      <c r="AO41" s="753"/>
      <c r="AP41" s="753"/>
      <c r="AQ41" s="753"/>
      <c r="AR41" s="753"/>
    </row>
    <row r="42" spans="1:44">
      <c r="A42" s="753"/>
      <c r="B42" s="753"/>
      <c r="C42" s="753"/>
      <c r="D42" s="753"/>
      <c r="E42" s="753"/>
      <c r="F42" s="753"/>
      <c r="G42" s="859"/>
      <c r="H42" s="859"/>
      <c r="I42" s="860"/>
      <c r="J42" s="753"/>
      <c r="K42" s="753"/>
      <c r="L42" s="755"/>
      <c r="M42" s="755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  <c r="AF42" s="753"/>
      <c r="AG42" s="753"/>
      <c r="AH42" s="753"/>
      <c r="AI42" s="753"/>
      <c r="AJ42" s="753"/>
      <c r="AK42" s="753"/>
      <c r="AL42" s="753"/>
      <c r="AM42" s="753"/>
      <c r="AN42" s="753"/>
      <c r="AO42" s="753"/>
      <c r="AP42" s="753"/>
      <c r="AQ42" s="753"/>
      <c r="AR42" s="753"/>
    </row>
    <row r="43" spans="1:44">
      <c r="A43" s="761" t="s">
        <v>14</v>
      </c>
      <c r="B43" s="753"/>
      <c r="C43" s="753"/>
      <c r="D43" s="753"/>
      <c r="E43" s="753"/>
      <c r="F43" s="753"/>
      <c r="G43" s="859"/>
      <c r="H43" s="859"/>
      <c r="I43" s="860"/>
      <c r="J43" s="753"/>
      <c r="K43" s="753"/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  <c r="AF43" s="753"/>
      <c r="AG43" s="753"/>
      <c r="AH43" s="753"/>
      <c r="AI43" s="753"/>
      <c r="AJ43" s="753"/>
      <c r="AK43" s="753"/>
      <c r="AL43" s="753"/>
      <c r="AM43" s="753"/>
      <c r="AN43" s="753"/>
      <c r="AO43" s="753"/>
      <c r="AP43" s="753"/>
      <c r="AQ43" s="753"/>
      <c r="AR43" s="753"/>
    </row>
    <row r="44" spans="1:44">
      <c r="A44" s="753"/>
      <c r="B44" s="753" t="s">
        <v>15</v>
      </c>
      <c r="C44" s="753"/>
      <c r="D44" s="753"/>
      <c r="E44" s="753"/>
      <c r="F44" s="753"/>
      <c r="G44" s="859"/>
      <c r="H44" s="859"/>
      <c r="I44" s="337">
        <f>(2*19*150+3*19*150)/1000</f>
        <v>14.25</v>
      </c>
      <c r="J44" s="753"/>
      <c r="K44" s="753"/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  <c r="AF44" s="753"/>
      <c r="AG44" s="753"/>
      <c r="AH44" s="753"/>
      <c r="AI44" s="753"/>
      <c r="AJ44" s="753"/>
      <c r="AK44" s="753"/>
      <c r="AL44" s="753"/>
      <c r="AM44" s="753"/>
      <c r="AN44" s="753"/>
      <c r="AO44" s="753"/>
      <c r="AP44" s="753"/>
      <c r="AQ44" s="753"/>
      <c r="AR44" s="753"/>
    </row>
    <row r="45" spans="1:44">
      <c r="A45" s="753"/>
      <c r="B45" s="753" t="s">
        <v>16</v>
      </c>
      <c r="C45" s="753"/>
      <c r="D45" s="753"/>
      <c r="E45" s="753"/>
      <c r="F45" s="753"/>
      <c r="G45" s="859"/>
      <c r="H45" s="859"/>
      <c r="I45" s="868">
        <f>1.8*5*150/1000</f>
        <v>1.35</v>
      </c>
      <c r="J45" s="753"/>
      <c r="K45" s="753"/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  <c r="AF45" s="753"/>
      <c r="AG45" s="753"/>
      <c r="AH45" s="753"/>
      <c r="AI45" s="753"/>
      <c r="AJ45" s="753"/>
      <c r="AK45" s="753"/>
      <c r="AL45" s="753"/>
      <c r="AM45" s="753"/>
      <c r="AN45" s="753"/>
      <c r="AO45" s="753"/>
      <c r="AP45" s="753"/>
      <c r="AQ45" s="753"/>
      <c r="AR45" s="753"/>
    </row>
    <row r="46" spans="1:44">
      <c r="A46" s="753"/>
      <c r="B46" s="753" t="s">
        <v>17</v>
      </c>
      <c r="C46" s="753"/>
      <c r="D46" s="753"/>
      <c r="E46" s="753"/>
      <c r="F46" s="753"/>
      <c r="G46" s="859"/>
      <c r="H46" s="859"/>
      <c r="I46" s="868">
        <v>8</v>
      </c>
      <c r="J46" s="753"/>
      <c r="K46" s="753"/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  <c r="AF46" s="753"/>
      <c r="AG46" s="753"/>
      <c r="AH46" s="753"/>
      <c r="AI46" s="753"/>
      <c r="AJ46" s="753"/>
      <c r="AK46" s="753"/>
      <c r="AL46" s="753"/>
      <c r="AM46" s="753"/>
      <c r="AN46" s="753"/>
      <c r="AO46" s="753"/>
      <c r="AP46" s="753"/>
      <c r="AQ46" s="753"/>
      <c r="AR46" s="753"/>
    </row>
    <row r="47" spans="1:44">
      <c r="A47" s="753"/>
      <c r="B47" s="753" t="s">
        <v>18</v>
      </c>
      <c r="C47" s="753"/>
      <c r="D47" s="753"/>
      <c r="E47" s="753"/>
      <c r="F47" s="753"/>
      <c r="G47" s="859"/>
      <c r="H47" s="859"/>
      <c r="I47" s="864">
        <v>3</v>
      </c>
      <c r="J47" s="753"/>
      <c r="K47" s="753"/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  <c r="AF47" s="753"/>
      <c r="AG47" s="753"/>
      <c r="AH47" s="753"/>
      <c r="AI47" s="753"/>
      <c r="AJ47" s="753"/>
      <c r="AK47" s="753"/>
      <c r="AL47" s="753"/>
      <c r="AM47" s="753"/>
      <c r="AN47" s="753"/>
      <c r="AO47" s="753"/>
      <c r="AP47" s="753"/>
      <c r="AQ47" s="753"/>
      <c r="AR47" s="753"/>
    </row>
    <row r="48" spans="1:44" hidden="1">
      <c r="B48" s="871" t="s">
        <v>19</v>
      </c>
      <c r="C48" s="753"/>
      <c r="D48" s="753"/>
      <c r="E48" s="753"/>
      <c r="F48" s="753"/>
      <c r="G48" s="859"/>
      <c r="H48" s="859"/>
      <c r="I48" s="872">
        <v>0</v>
      </c>
      <c r="J48" s="753"/>
      <c r="K48" s="753"/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  <c r="AF48" s="753"/>
      <c r="AG48" s="753"/>
      <c r="AH48" s="753"/>
      <c r="AI48" s="753"/>
      <c r="AJ48" s="753"/>
      <c r="AK48" s="753"/>
      <c r="AL48" s="753"/>
      <c r="AM48" s="753"/>
      <c r="AN48" s="753"/>
      <c r="AO48" s="753"/>
      <c r="AP48" s="753"/>
      <c r="AQ48" s="753"/>
      <c r="AR48" s="753"/>
    </row>
    <row r="49" spans="1:44">
      <c r="A49" s="753"/>
      <c r="B49" s="753"/>
      <c r="C49" s="753"/>
      <c r="D49" s="753"/>
      <c r="E49" s="753"/>
      <c r="F49" s="753"/>
      <c r="G49" s="859"/>
      <c r="H49" s="859"/>
      <c r="I49" s="873">
        <f>SUM(I45:I48)</f>
        <v>12.35</v>
      </c>
      <c r="J49" s="753"/>
      <c r="K49" s="753"/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  <c r="AF49" s="753"/>
      <c r="AG49" s="753"/>
      <c r="AH49" s="753"/>
      <c r="AI49" s="753"/>
      <c r="AJ49" s="753"/>
      <c r="AK49" s="753"/>
      <c r="AL49" s="753"/>
      <c r="AM49" s="753"/>
      <c r="AN49" s="753"/>
      <c r="AO49" s="753"/>
      <c r="AP49" s="753"/>
      <c r="AQ49" s="753"/>
      <c r="AR49" s="753"/>
    </row>
    <row r="50" spans="1:44">
      <c r="A50" s="753"/>
      <c r="B50" s="753"/>
      <c r="C50" s="753"/>
      <c r="D50" s="753"/>
      <c r="E50" s="753"/>
      <c r="F50" s="753"/>
      <c r="G50" s="859"/>
      <c r="H50" s="859"/>
      <c r="I50" s="873"/>
      <c r="J50" s="753"/>
      <c r="K50" s="753"/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  <c r="AF50" s="753"/>
      <c r="AG50" s="753"/>
      <c r="AH50" s="753"/>
      <c r="AI50" s="753"/>
      <c r="AJ50" s="753"/>
      <c r="AK50" s="753"/>
      <c r="AL50" s="753"/>
      <c r="AM50" s="753"/>
      <c r="AN50" s="753"/>
      <c r="AO50" s="753"/>
      <c r="AP50" s="753"/>
      <c r="AQ50" s="753"/>
      <c r="AR50" s="753"/>
    </row>
    <row r="51" spans="1:44">
      <c r="A51" s="761" t="s">
        <v>20</v>
      </c>
      <c r="B51" s="753"/>
      <c r="C51" s="753"/>
      <c r="D51" s="753"/>
      <c r="E51" s="761"/>
      <c r="F51" s="753"/>
      <c r="G51" s="859"/>
      <c r="H51" s="870"/>
      <c r="I51" s="860">
        <f>SUM(I45:I48)+I41</f>
        <v>105.402</v>
      </c>
      <c r="J51" s="753"/>
      <c r="K51" s="753"/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  <c r="AF51" s="753"/>
      <c r="AG51" s="753"/>
      <c r="AH51" s="753"/>
      <c r="AI51" s="753"/>
      <c r="AJ51" s="753"/>
      <c r="AK51" s="753"/>
      <c r="AL51" s="753"/>
      <c r="AM51" s="753"/>
      <c r="AN51" s="753"/>
      <c r="AO51" s="753"/>
      <c r="AP51" s="753"/>
      <c r="AQ51" s="753"/>
      <c r="AR51" s="753"/>
    </row>
    <row r="52" spans="1:44">
      <c r="A52" s="753"/>
      <c r="B52" s="761" t="s">
        <v>21</v>
      </c>
      <c r="C52" s="753"/>
      <c r="D52" s="753"/>
      <c r="E52" s="753"/>
      <c r="F52" s="753"/>
      <c r="G52" s="753"/>
      <c r="H52" s="753"/>
      <c r="I52" s="862">
        <f>I14+I26</f>
        <v>30</v>
      </c>
      <c r="J52" s="753"/>
      <c r="K52" s="753"/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  <c r="AF52" s="753"/>
      <c r="AG52" s="753"/>
      <c r="AH52" s="753"/>
      <c r="AI52" s="753"/>
      <c r="AJ52" s="753"/>
      <c r="AK52" s="753"/>
      <c r="AL52" s="753"/>
      <c r="AM52" s="753"/>
      <c r="AN52" s="753"/>
      <c r="AO52" s="753"/>
      <c r="AP52" s="753"/>
      <c r="AQ52" s="753"/>
      <c r="AR52" s="753"/>
    </row>
    <row r="53" spans="1:44">
      <c r="A53" s="761" t="s">
        <v>22</v>
      </c>
      <c r="B53" s="761"/>
      <c r="C53" s="753"/>
      <c r="D53" s="753"/>
      <c r="E53" s="753"/>
      <c r="F53" s="753"/>
      <c r="G53" s="753"/>
      <c r="H53" s="753"/>
      <c r="I53" s="860">
        <f>I51-I52</f>
        <v>75.402000000000001</v>
      </c>
      <c r="J53" s="753"/>
      <c r="K53" s="753"/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  <c r="AF53" s="753"/>
      <c r="AG53" s="753"/>
      <c r="AH53" s="753"/>
      <c r="AI53" s="753"/>
      <c r="AJ53" s="753"/>
      <c r="AK53" s="753"/>
      <c r="AL53" s="753"/>
      <c r="AM53" s="753"/>
      <c r="AN53" s="753"/>
      <c r="AO53" s="753"/>
      <c r="AP53" s="753"/>
      <c r="AQ53" s="753"/>
      <c r="AR53" s="753"/>
    </row>
    <row r="54" spans="1:44">
      <c r="A54" s="753"/>
      <c r="B54" s="761"/>
      <c r="C54" s="753"/>
      <c r="D54" s="753"/>
      <c r="E54" s="753"/>
      <c r="F54" s="753"/>
      <c r="G54" s="753"/>
      <c r="H54" s="753"/>
      <c r="I54" s="860"/>
      <c r="J54" s="753"/>
      <c r="K54" s="753"/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  <c r="AF54" s="753"/>
      <c r="AG54" s="753"/>
      <c r="AH54" s="753"/>
      <c r="AI54" s="753"/>
      <c r="AJ54" s="753"/>
      <c r="AK54" s="753"/>
      <c r="AL54" s="753"/>
      <c r="AM54" s="753"/>
      <c r="AN54" s="753"/>
      <c r="AO54" s="753"/>
      <c r="AP54" s="753"/>
      <c r="AQ54" s="753"/>
      <c r="AR54" s="753"/>
    </row>
    <row r="55" spans="1:44">
      <c r="A55" s="753" t="s">
        <v>23</v>
      </c>
      <c r="B55" s="753"/>
      <c r="C55" s="753"/>
      <c r="D55" s="753"/>
      <c r="E55" s="753"/>
      <c r="F55" s="753"/>
      <c r="G55" s="753"/>
      <c r="H55" s="753"/>
      <c r="I55" s="874"/>
      <c r="J55" s="753"/>
      <c r="K55" s="753"/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  <c r="AF55" s="753"/>
      <c r="AG55" s="753"/>
      <c r="AH55" s="753"/>
      <c r="AI55" s="753"/>
      <c r="AJ55" s="753"/>
      <c r="AK55" s="753"/>
      <c r="AL55" s="753"/>
      <c r="AM55" s="753"/>
      <c r="AN55" s="753"/>
      <c r="AO55" s="753"/>
      <c r="AP55" s="753"/>
      <c r="AQ55" s="753"/>
      <c r="AR55" s="753"/>
    </row>
    <row r="56" spans="1:44">
      <c r="A56" s="753" t="s">
        <v>24</v>
      </c>
      <c r="B56" s="753"/>
      <c r="C56" s="753"/>
      <c r="D56" s="753"/>
      <c r="E56" s="753"/>
      <c r="F56" s="753"/>
      <c r="G56" s="753"/>
      <c r="H56" s="753"/>
      <c r="I56" s="753"/>
      <c r="J56" s="753"/>
      <c r="K56" s="753"/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  <c r="AF56" s="753"/>
      <c r="AG56" s="753"/>
      <c r="AH56" s="753"/>
      <c r="AI56" s="753"/>
      <c r="AJ56" s="753"/>
      <c r="AK56" s="753"/>
      <c r="AL56" s="753"/>
      <c r="AM56" s="753"/>
      <c r="AN56" s="753"/>
      <c r="AO56" s="753"/>
      <c r="AP56" s="753"/>
      <c r="AQ56" s="753"/>
      <c r="AR56" s="753"/>
    </row>
    <row r="57" spans="1:44">
      <c r="A57" s="753" t="s">
        <v>25</v>
      </c>
      <c r="B57" s="753" t="s">
        <v>26</v>
      </c>
      <c r="C57" s="753"/>
      <c r="D57" s="753"/>
      <c r="E57" s="753"/>
      <c r="F57" s="753"/>
      <c r="G57" s="753"/>
      <c r="H57" s="753"/>
      <c r="I57" s="753"/>
      <c r="J57" s="753"/>
      <c r="K57" s="753"/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  <c r="AF57" s="753"/>
      <c r="AG57" s="753"/>
      <c r="AH57" s="753"/>
      <c r="AI57" s="753"/>
      <c r="AJ57" s="753"/>
      <c r="AK57" s="753"/>
      <c r="AL57" s="753"/>
      <c r="AM57" s="753"/>
      <c r="AN57" s="753"/>
      <c r="AO57" s="753"/>
      <c r="AP57" s="753"/>
      <c r="AQ57" s="753"/>
      <c r="AR57" s="753"/>
    </row>
    <row r="58" spans="1:44">
      <c r="A58" s="753"/>
      <c r="B58" s="753" t="s">
        <v>27</v>
      </c>
      <c r="C58" s="753"/>
      <c r="D58" s="753"/>
      <c r="E58" s="753"/>
      <c r="F58" s="753"/>
      <c r="G58" s="753"/>
      <c r="H58" s="753"/>
      <c r="I58" s="753"/>
      <c r="J58" s="753"/>
      <c r="K58" s="753"/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  <c r="AF58" s="753"/>
      <c r="AG58" s="753"/>
      <c r="AH58" s="753"/>
      <c r="AI58" s="753"/>
      <c r="AJ58" s="753"/>
      <c r="AK58" s="753"/>
      <c r="AL58" s="753"/>
      <c r="AM58" s="753"/>
      <c r="AN58" s="753"/>
      <c r="AO58" s="753"/>
      <c r="AP58" s="753"/>
      <c r="AQ58" s="753"/>
      <c r="AR58" s="753"/>
    </row>
    <row r="59" spans="1:44">
      <c r="A59" s="753"/>
      <c r="B59" s="753" t="s">
        <v>28</v>
      </c>
      <c r="C59" s="753"/>
      <c r="D59" s="753"/>
      <c r="E59" s="753"/>
      <c r="F59" s="753"/>
      <c r="G59" s="753"/>
      <c r="H59" s="753"/>
      <c r="I59" s="753"/>
      <c r="J59" s="753"/>
      <c r="K59" s="753"/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  <c r="AF59" s="753"/>
      <c r="AG59" s="753"/>
      <c r="AH59" s="753"/>
      <c r="AI59" s="753"/>
      <c r="AJ59" s="753"/>
      <c r="AK59" s="753"/>
      <c r="AL59" s="753"/>
      <c r="AM59" s="753"/>
      <c r="AN59" s="753"/>
      <c r="AO59" s="753"/>
      <c r="AP59" s="753"/>
      <c r="AQ59" s="753"/>
      <c r="AR59" s="753"/>
    </row>
    <row r="60" spans="1:44">
      <c r="A60" s="753" t="s">
        <v>29</v>
      </c>
      <c r="B60" s="753"/>
      <c r="C60" s="753"/>
      <c r="D60" s="753"/>
      <c r="E60" s="753"/>
      <c r="F60" s="753"/>
      <c r="G60" s="753"/>
      <c r="H60" s="753"/>
      <c r="I60" s="753"/>
      <c r="J60" s="753"/>
      <c r="K60" s="753"/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  <c r="AF60" s="753"/>
      <c r="AG60" s="753"/>
      <c r="AH60" s="753"/>
      <c r="AI60" s="753"/>
      <c r="AJ60" s="753"/>
      <c r="AK60" s="753"/>
      <c r="AL60" s="753"/>
      <c r="AM60" s="753"/>
      <c r="AN60" s="753"/>
      <c r="AO60" s="753"/>
      <c r="AP60" s="753"/>
      <c r="AQ60" s="753"/>
      <c r="AR60" s="753"/>
    </row>
    <row r="61" spans="1:44">
      <c r="A61" s="753" t="s">
        <v>30</v>
      </c>
      <c r="B61" s="753"/>
      <c r="C61" s="753"/>
      <c r="D61" s="753"/>
      <c r="E61" s="753"/>
      <c r="F61" s="753"/>
      <c r="G61" s="753"/>
      <c r="H61" s="753"/>
      <c r="I61" s="753"/>
      <c r="J61" s="753"/>
      <c r="K61" s="753"/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  <c r="AF61" s="753"/>
      <c r="AG61" s="753"/>
      <c r="AH61" s="753"/>
      <c r="AI61" s="753"/>
      <c r="AJ61" s="753"/>
      <c r="AK61" s="753"/>
      <c r="AL61" s="753"/>
      <c r="AM61" s="753"/>
      <c r="AN61" s="753"/>
      <c r="AO61" s="753"/>
      <c r="AP61" s="753"/>
      <c r="AQ61" s="753"/>
      <c r="AR61" s="753"/>
    </row>
    <row r="62" spans="1:44">
      <c r="A62" s="753"/>
      <c r="B62" s="753"/>
      <c r="C62" s="753"/>
      <c r="D62" s="753"/>
      <c r="E62" s="753"/>
      <c r="F62" s="753"/>
      <c r="G62" s="753"/>
      <c r="H62" s="753"/>
      <c r="I62" s="753"/>
      <c r="J62" s="753"/>
      <c r="K62" s="753"/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  <c r="AF62" s="753"/>
      <c r="AG62" s="753"/>
      <c r="AH62" s="753"/>
      <c r="AI62" s="753"/>
      <c r="AJ62" s="753"/>
      <c r="AK62" s="753"/>
      <c r="AL62" s="753"/>
      <c r="AM62" s="753"/>
      <c r="AN62" s="753"/>
      <c r="AO62" s="753"/>
      <c r="AP62" s="753"/>
      <c r="AQ62" s="753"/>
      <c r="AR62" s="753"/>
    </row>
    <row r="63" spans="1:44">
      <c r="A63" s="753"/>
      <c r="B63" s="753"/>
      <c r="C63" s="753"/>
      <c r="D63" s="753"/>
      <c r="E63" s="753"/>
      <c r="F63" s="753"/>
      <c r="G63" s="753"/>
      <c r="H63" s="753"/>
      <c r="I63" s="753"/>
      <c r="J63" s="753"/>
      <c r="K63" s="753"/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  <c r="AF63" s="753"/>
      <c r="AG63" s="753"/>
      <c r="AH63" s="753"/>
      <c r="AI63" s="753"/>
      <c r="AJ63" s="753"/>
      <c r="AK63" s="753"/>
      <c r="AL63" s="753"/>
      <c r="AM63" s="753"/>
      <c r="AN63" s="753"/>
      <c r="AO63" s="753"/>
      <c r="AP63" s="753"/>
      <c r="AQ63" s="753"/>
      <c r="AR63" s="753"/>
    </row>
    <row r="64" spans="1:44">
      <c r="A64" s="753"/>
      <c r="B64" s="753"/>
      <c r="C64" s="753"/>
      <c r="D64" s="753"/>
      <c r="E64" s="753"/>
      <c r="F64" s="753"/>
      <c r="G64" s="753"/>
      <c r="H64" s="753"/>
      <c r="I64" s="753"/>
      <c r="J64" s="753"/>
      <c r="K64" s="753"/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  <c r="AF64" s="753"/>
      <c r="AG64" s="753"/>
      <c r="AH64" s="753"/>
      <c r="AI64" s="753"/>
      <c r="AJ64" s="753"/>
      <c r="AK64" s="753"/>
      <c r="AL64" s="753"/>
      <c r="AM64" s="753"/>
      <c r="AN64" s="753"/>
      <c r="AO64" s="753"/>
      <c r="AP64" s="753"/>
      <c r="AQ64" s="753"/>
      <c r="AR64" s="753"/>
    </row>
    <row r="65" spans="1:44">
      <c r="A65" s="753"/>
      <c r="B65" s="753"/>
      <c r="C65" s="753"/>
      <c r="D65" s="753"/>
      <c r="E65" s="753"/>
      <c r="F65" s="753"/>
      <c r="G65" s="753"/>
      <c r="H65" s="753"/>
      <c r="I65" s="753"/>
      <c r="J65" s="753"/>
      <c r="K65" s="753"/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  <c r="AF65" s="753"/>
      <c r="AG65" s="753"/>
      <c r="AH65" s="753"/>
      <c r="AI65" s="753"/>
      <c r="AJ65" s="753"/>
      <c r="AK65" s="753"/>
      <c r="AL65" s="753"/>
      <c r="AM65" s="753"/>
      <c r="AN65" s="753"/>
      <c r="AO65" s="753"/>
      <c r="AP65" s="753"/>
      <c r="AQ65" s="753"/>
      <c r="AR65" s="753"/>
    </row>
    <row r="66" spans="1:44">
      <c r="A66" s="753"/>
      <c r="B66" s="753"/>
      <c r="C66" s="753"/>
      <c r="D66" s="753"/>
      <c r="E66" s="753"/>
      <c r="F66" s="753"/>
      <c r="G66" s="753"/>
      <c r="H66" s="753"/>
      <c r="I66" s="753"/>
      <c r="J66" s="753"/>
      <c r="K66" s="753"/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  <c r="AF66" s="753"/>
      <c r="AG66" s="753"/>
      <c r="AH66" s="753"/>
      <c r="AI66" s="753"/>
      <c r="AJ66" s="753"/>
      <c r="AK66" s="753"/>
      <c r="AL66" s="753"/>
      <c r="AM66" s="753"/>
      <c r="AN66" s="753"/>
      <c r="AO66" s="753"/>
      <c r="AP66" s="753"/>
      <c r="AQ66" s="753"/>
      <c r="AR66" s="753"/>
    </row>
    <row r="67" spans="1:44">
      <c r="A67" s="753"/>
      <c r="B67" s="753"/>
      <c r="C67" s="753"/>
      <c r="D67" s="753"/>
      <c r="E67" s="753"/>
      <c r="F67" s="753"/>
      <c r="G67" s="753"/>
      <c r="H67" s="753"/>
      <c r="I67" s="753"/>
      <c r="J67" s="753"/>
      <c r="K67" s="753"/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  <c r="AF67" s="753"/>
      <c r="AG67" s="753"/>
      <c r="AH67" s="753"/>
      <c r="AI67" s="753"/>
      <c r="AJ67" s="753"/>
      <c r="AK67" s="753"/>
      <c r="AL67" s="753"/>
      <c r="AM67" s="753"/>
      <c r="AN67" s="753"/>
      <c r="AO67" s="753"/>
      <c r="AP67" s="753"/>
      <c r="AQ67" s="753"/>
      <c r="AR67" s="753"/>
    </row>
    <row r="68" spans="1:44">
      <c r="A68" s="753"/>
      <c r="B68" s="753"/>
      <c r="C68" s="753"/>
      <c r="D68" s="753"/>
      <c r="E68" s="753"/>
      <c r="F68" s="753"/>
      <c r="G68" s="753"/>
      <c r="H68" s="753"/>
      <c r="I68" s="753"/>
      <c r="J68" s="753"/>
      <c r="K68" s="753"/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  <c r="AF68" s="753"/>
      <c r="AG68" s="753"/>
      <c r="AH68" s="753"/>
      <c r="AI68" s="753"/>
      <c r="AJ68" s="753"/>
      <c r="AK68" s="753"/>
      <c r="AL68" s="753"/>
      <c r="AM68" s="753"/>
      <c r="AN68" s="753"/>
      <c r="AO68" s="753"/>
      <c r="AP68" s="753"/>
      <c r="AQ68" s="753"/>
      <c r="AR68" s="753"/>
    </row>
    <row r="69" spans="1:44">
      <c r="A69" s="753"/>
      <c r="B69" s="753"/>
      <c r="C69" s="753"/>
      <c r="D69" s="753"/>
      <c r="E69" s="753"/>
      <c r="F69" s="753"/>
      <c r="G69" s="753"/>
      <c r="H69" s="753"/>
      <c r="I69" s="753"/>
      <c r="J69" s="753"/>
      <c r="K69" s="753"/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  <c r="AF69" s="753"/>
      <c r="AG69" s="753"/>
      <c r="AH69" s="753"/>
      <c r="AI69" s="753"/>
      <c r="AJ69" s="753"/>
      <c r="AK69" s="753"/>
      <c r="AL69" s="753"/>
      <c r="AM69" s="753"/>
      <c r="AN69" s="753"/>
      <c r="AO69" s="753"/>
      <c r="AP69" s="753"/>
      <c r="AQ69" s="753"/>
      <c r="AR69" s="753"/>
    </row>
    <row r="70" spans="1:44">
      <c r="A70" s="753"/>
      <c r="B70" s="753"/>
      <c r="C70" s="753"/>
      <c r="D70" s="753"/>
      <c r="E70" s="753"/>
      <c r="F70" s="753"/>
      <c r="G70" s="753"/>
      <c r="H70" s="753"/>
      <c r="I70" s="753"/>
      <c r="J70" s="753"/>
      <c r="K70" s="753"/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  <c r="AF70" s="753"/>
      <c r="AG70" s="753"/>
      <c r="AH70" s="753"/>
      <c r="AI70" s="753"/>
      <c r="AJ70" s="753"/>
      <c r="AK70" s="753"/>
      <c r="AL70" s="753"/>
      <c r="AM70" s="753"/>
      <c r="AN70" s="753"/>
      <c r="AO70" s="753"/>
      <c r="AP70" s="753"/>
      <c r="AQ70" s="753"/>
      <c r="AR70" s="753"/>
    </row>
    <row r="71" spans="1:44">
      <c r="A71" s="753"/>
      <c r="B71" s="753"/>
      <c r="C71" s="753"/>
      <c r="D71" s="753"/>
      <c r="E71" s="753"/>
      <c r="F71" s="753"/>
      <c r="G71" s="753"/>
      <c r="H71" s="753"/>
      <c r="I71" s="753"/>
      <c r="J71" s="753"/>
      <c r="K71" s="753"/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  <c r="AF71" s="753"/>
      <c r="AG71" s="753"/>
      <c r="AH71" s="753"/>
      <c r="AI71" s="753"/>
      <c r="AJ71" s="753"/>
      <c r="AK71" s="753"/>
      <c r="AL71" s="753"/>
      <c r="AM71" s="753"/>
      <c r="AN71" s="753"/>
      <c r="AO71" s="753"/>
      <c r="AP71" s="753"/>
      <c r="AQ71" s="753"/>
      <c r="AR71" s="753"/>
    </row>
    <row r="72" spans="1:44">
      <c r="A72" s="753"/>
      <c r="B72" s="753"/>
      <c r="C72" s="753"/>
      <c r="D72" s="753"/>
      <c r="E72" s="753"/>
      <c r="F72" s="753"/>
      <c r="G72" s="753"/>
      <c r="H72" s="753"/>
      <c r="I72" s="753"/>
      <c r="J72" s="753"/>
      <c r="K72" s="753"/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  <c r="AF72" s="753"/>
      <c r="AG72" s="753"/>
      <c r="AH72" s="753"/>
      <c r="AI72" s="753"/>
      <c r="AJ72" s="753"/>
      <c r="AK72" s="753"/>
      <c r="AL72" s="753"/>
      <c r="AM72" s="753"/>
      <c r="AN72" s="753"/>
      <c r="AO72" s="753"/>
      <c r="AP72" s="753"/>
      <c r="AQ72" s="753"/>
      <c r="AR72" s="753"/>
    </row>
    <row r="73" spans="1:44">
      <c r="A73" s="753"/>
      <c r="B73" s="753"/>
      <c r="C73" s="753"/>
      <c r="D73" s="753"/>
      <c r="E73" s="753"/>
      <c r="F73" s="753"/>
      <c r="G73" s="753"/>
      <c r="H73" s="753"/>
      <c r="I73" s="753"/>
      <c r="J73" s="753"/>
      <c r="K73" s="753"/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  <c r="AF73" s="753"/>
      <c r="AG73" s="753"/>
      <c r="AH73" s="753"/>
      <c r="AI73" s="753"/>
      <c r="AJ73" s="753"/>
      <c r="AK73" s="753"/>
      <c r="AL73" s="753"/>
      <c r="AM73" s="753"/>
      <c r="AN73" s="753"/>
      <c r="AO73" s="753"/>
      <c r="AP73" s="753"/>
      <c r="AQ73" s="753"/>
      <c r="AR73" s="753"/>
    </row>
    <row r="74" spans="1:44">
      <c r="A74" s="753"/>
      <c r="B74" s="753"/>
      <c r="C74" s="753"/>
      <c r="D74" s="753"/>
      <c r="E74" s="753"/>
      <c r="F74" s="753"/>
      <c r="G74" s="753"/>
      <c r="H74" s="753"/>
      <c r="I74" s="753"/>
      <c r="J74" s="753"/>
      <c r="K74" s="753"/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  <c r="AF74" s="753"/>
      <c r="AG74" s="753"/>
      <c r="AH74" s="753"/>
      <c r="AI74" s="753"/>
      <c r="AJ74" s="753"/>
      <c r="AK74" s="753"/>
      <c r="AL74" s="753"/>
      <c r="AM74" s="753"/>
      <c r="AN74" s="753"/>
      <c r="AO74" s="753"/>
      <c r="AP74" s="753"/>
      <c r="AQ74" s="753"/>
      <c r="AR74" s="753"/>
    </row>
    <row r="75" spans="1:44">
      <c r="A75" s="753"/>
      <c r="B75" s="753"/>
      <c r="C75" s="753"/>
      <c r="D75" s="753"/>
      <c r="E75" s="753"/>
      <c r="F75" s="753"/>
      <c r="G75" s="753"/>
      <c r="H75" s="753"/>
      <c r="I75" s="753"/>
      <c r="J75" s="753"/>
      <c r="K75" s="753"/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  <c r="AF75" s="753"/>
      <c r="AG75" s="753"/>
      <c r="AH75" s="753"/>
      <c r="AI75" s="753"/>
      <c r="AJ75" s="753"/>
      <c r="AK75" s="753"/>
      <c r="AL75" s="753"/>
      <c r="AM75" s="753"/>
      <c r="AN75" s="753"/>
      <c r="AO75" s="753"/>
      <c r="AP75" s="753"/>
      <c r="AQ75" s="753"/>
      <c r="AR75" s="753"/>
    </row>
    <row r="76" spans="1:44">
      <c r="A76" s="753"/>
      <c r="B76" s="753"/>
      <c r="C76" s="753"/>
      <c r="D76" s="753"/>
      <c r="E76" s="753"/>
      <c r="F76" s="753"/>
      <c r="G76" s="753"/>
      <c r="H76" s="753"/>
      <c r="I76" s="753"/>
      <c r="J76" s="753"/>
      <c r="K76" s="753"/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  <c r="AF76" s="753"/>
      <c r="AG76" s="753"/>
      <c r="AH76" s="753"/>
      <c r="AI76" s="753"/>
      <c r="AJ76" s="753"/>
      <c r="AK76" s="753"/>
      <c r="AL76" s="753"/>
      <c r="AM76" s="753"/>
      <c r="AN76" s="753"/>
      <c r="AO76" s="753"/>
      <c r="AP76" s="753"/>
      <c r="AQ76" s="753"/>
      <c r="AR76" s="753"/>
    </row>
    <row r="77" spans="1:44">
      <c r="A77" s="753"/>
      <c r="B77" s="753"/>
      <c r="C77" s="753"/>
      <c r="D77" s="753"/>
      <c r="E77" s="753"/>
      <c r="F77" s="753"/>
      <c r="G77" s="753"/>
      <c r="H77" s="753"/>
      <c r="I77" s="753"/>
      <c r="J77" s="753"/>
      <c r="K77" s="753"/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  <c r="AF77" s="753"/>
      <c r="AG77" s="753"/>
      <c r="AH77" s="753"/>
      <c r="AI77" s="753"/>
      <c r="AJ77" s="753"/>
      <c r="AK77" s="753"/>
      <c r="AL77" s="753"/>
      <c r="AM77" s="753"/>
      <c r="AN77" s="753"/>
      <c r="AO77" s="753"/>
      <c r="AP77" s="753"/>
      <c r="AQ77" s="753"/>
      <c r="AR77" s="753"/>
    </row>
    <row r="78" spans="1:44">
      <c r="A78" s="753"/>
      <c r="B78" s="753"/>
      <c r="C78" s="753"/>
      <c r="D78" s="753"/>
      <c r="E78" s="753"/>
      <c r="F78" s="753"/>
      <c r="G78" s="753"/>
      <c r="H78" s="753"/>
      <c r="I78" s="753"/>
      <c r="J78" s="753"/>
      <c r="K78" s="753"/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  <c r="AF78" s="753"/>
      <c r="AG78" s="753"/>
      <c r="AH78" s="753"/>
      <c r="AI78" s="753"/>
      <c r="AJ78" s="753"/>
      <c r="AK78" s="753"/>
      <c r="AL78" s="753"/>
      <c r="AM78" s="753"/>
      <c r="AN78" s="753"/>
      <c r="AO78" s="753"/>
      <c r="AP78" s="753"/>
      <c r="AQ78" s="753"/>
      <c r="AR78" s="753"/>
    </row>
    <row r="79" spans="1:44">
      <c r="A79" s="753"/>
      <c r="B79" s="753"/>
      <c r="C79" s="753"/>
      <c r="D79" s="753"/>
      <c r="E79" s="753"/>
      <c r="F79" s="753"/>
      <c r="G79" s="753"/>
      <c r="H79" s="753"/>
      <c r="I79" s="753"/>
      <c r="J79" s="753"/>
      <c r="K79" s="753"/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  <c r="AF79" s="753"/>
      <c r="AG79" s="753"/>
      <c r="AH79" s="753"/>
      <c r="AI79" s="753"/>
      <c r="AJ79" s="753"/>
      <c r="AK79" s="753"/>
      <c r="AL79" s="753"/>
      <c r="AM79" s="753"/>
      <c r="AN79" s="753"/>
      <c r="AO79" s="753"/>
      <c r="AP79" s="753"/>
      <c r="AQ79" s="753"/>
      <c r="AR79" s="753"/>
    </row>
    <row r="80" spans="1:44">
      <c r="A80" s="753"/>
      <c r="B80" s="753"/>
      <c r="C80" s="753"/>
      <c r="D80" s="753"/>
      <c r="E80" s="753"/>
      <c r="F80" s="753"/>
      <c r="G80" s="753"/>
      <c r="H80" s="753"/>
      <c r="I80" s="753"/>
      <c r="J80" s="753"/>
      <c r="K80" s="753"/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  <c r="AF80" s="753"/>
      <c r="AG80" s="753"/>
      <c r="AH80" s="753"/>
      <c r="AI80" s="753"/>
      <c r="AJ80" s="753"/>
      <c r="AK80" s="753"/>
      <c r="AL80" s="753"/>
      <c r="AM80" s="753"/>
      <c r="AN80" s="753"/>
      <c r="AO80" s="753"/>
      <c r="AP80" s="753"/>
      <c r="AQ80" s="753"/>
      <c r="AR80" s="753"/>
    </row>
    <row r="81" spans="1:44">
      <c r="A81" s="753"/>
      <c r="B81" s="753"/>
      <c r="C81" s="753"/>
      <c r="D81" s="753"/>
      <c r="E81" s="753"/>
      <c r="F81" s="753"/>
      <c r="G81" s="753"/>
      <c r="H81" s="753"/>
      <c r="I81" s="753"/>
      <c r="J81" s="753"/>
      <c r="K81" s="753"/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  <c r="AF81" s="753"/>
      <c r="AG81" s="753"/>
      <c r="AH81" s="753"/>
      <c r="AI81" s="753"/>
      <c r="AJ81" s="753"/>
      <c r="AK81" s="753"/>
      <c r="AL81" s="753"/>
      <c r="AM81" s="753"/>
      <c r="AN81" s="753"/>
      <c r="AO81" s="753"/>
      <c r="AP81" s="753"/>
      <c r="AQ81" s="753"/>
      <c r="AR81" s="753"/>
    </row>
    <row r="82" spans="1:44">
      <c r="A82" s="753"/>
      <c r="B82" s="753"/>
      <c r="C82" s="753"/>
      <c r="D82" s="753"/>
      <c r="E82" s="753"/>
      <c r="F82" s="753"/>
      <c r="G82" s="753"/>
      <c r="H82" s="753"/>
      <c r="I82" s="753"/>
      <c r="J82" s="753"/>
      <c r="K82" s="753"/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  <c r="AF82" s="753"/>
      <c r="AG82" s="753"/>
      <c r="AH82" s="753"/>
      <c r="AI82" s="753"/>
      <c r="AJ82" s="753"/>
      <c r="AK82" s="753"/>
      <c r="AL82" s="753"/>
      <c r="AM82" s="753"/>
      <c r="AN82" s="753"/>
      <c r="AO82" s="753"/>
      <c r="AP82" s="753"/>
      <c r="AQ82" s="753"/>
      <c r="AR82" s="753"/>
    </row>
    <row r="83" spans="1:44">
      <c r="A83" s="753"/>
      <c r="B83" s="753"/>
      <c r="C83" s="753"/>
      <c r="D83" s="753"/>
      <c r="E83" s="753"/>
      <c r="F83" s="753"/>
      <c r="G83" s="753"/>
      <c r="H83" s="753"/>
      <c r="I83" s="753"/>
      <c r="J83" s="753"/>
      <c r="K83" s="753"/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  <c r="AF83" s="753"/>
      <c r="AG83" s="753"/>
      <c r="AH83" s="753"/>
      <c r="AI83" s="753"/>
      <c r="AJ83" s="753"/>
      <c r="AK83" s="753"/>
      <c r="AL83" s="753"/>
      <c r="AM83" s="753"/>
      <c r="AN83" s="753"/>
      <c r="AO83" s="753"/>
      <c r="AP83" s="753"/>
      <c r="AQ83" s="753"/>
      <c r="AR83" s="753"/>
    </row>
    <row r="84" spans="1:44">
      <c r="A84" s="753"/>
      <c r="B84" s="753"/>
      <c r="C84" s="753"/>
      <c r="D84" s="753"/>
      <c r="E84" s="753"/>
      <c r="F84" s="753"/>
      <c r="G84" s="753"/>
      <c r="H84" s="753"/>
      <c r="I84" s="753"/>
      <c r="J84" s="753"/>
      <c r="K84" s="753"/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  <c r="AF84" s="753"/>
      <c r="AG84" s="753"/>
      <c r="AH84" s="753"/>
      <c r="AI84" s="753"/>
      <c r="AJ84" s="753"/>
      <c r="AK84" s="753"/>
      <c r="AL84" s="753"/>
      <c r="AM84" s="753"/>
      <c r="AN84" s="753"/>
      <c r="AO84" s="753"/>
      <c r="AP84" s="753"/>
      <c r="AQ84" s="753"/>
      <c r="AR84" s="753"/>
    </row>
    <row r="85" spans="1:44">
      <c r="A85" s="753"/>
      <c r="B85" s="753"/>
      <c r="C85" s="753"/>
      <c r="D85" s="753"/>
      <c r="E85" s="753"/>
      <c r="F85" s="753"/>
      <c r="G85" s="753"/>
      <c r="H85" s="753"/>
      <c r="I85" s="753"/>
      <c r="J85" s="753"/>
      <c r="K85" s="753"/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  <c r="AF85" s="753"/>
      <c r="AG85" s="753"/>
      <c r="AH85" s="753"/>
      <c r="AI85" s="753"/>
      <c r="AJ85" s="753"/>
      <c r="AK85" s="753"/>
      <c r="AL85" s="753"/>
      <c r="AM85" s="753"/>
      <c r="AN85" s="753"/>
      <c r="AO85" s="753"/>
      <c r="AP85" s="753"/>
      <c r="AQ85" s="753"/>
      <c r="AR85" s="753"/>
    </row>
    <row r="86" spans="1:44">
      <c r="A86" s="753"/>
      <c r="B86" s="753"/>
      <c r="C86" s="753"/>
      <c r="D86" s="753"/>
      <c r="E86" s="753"/>
      <c r="F86" s="753"/>
      <c r="G86" s="753"/>
      <c r="H86" s="753"/>
      <c r="I86" s="753"/>
      <c r="J86" s="753"/>
      <c r="K86" s="753"/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  <c r="AF86" s="753"/>
      <c r="AG86" s="753"/>
      <c r="AH86" s="753"/>
      <c r="AI86" s="753"/>
      <c r="AJ86" s="753"/>
      <c r="AK86" s="753"/>
      <c r="AL86" s="753"/>
      <c r="AM86" s="753"/>
      <c r="AN86" s="753"/>
      <c r="AO86" s="753"/>
      <c r="AP86" s="753"/>
      <c r="AQ86" s="753"/>
      <c r="AR86" s="753"/>
    </row>
    <row r="87" spans="1:44">
      <c r="A87" s="753"/>
      <c r="B87" s="753"/>
      <c r="C87" s="753"/>
      <c r="D87" s="753"/>
      <c r="E87" s="753"/>
      <c r="F87" s="753"/>
      <c r="G87" s="753"/>
      <c r="H87" s="753"/>
      <c r="I87" s="753"/>
      <c r="J87" s="753"/>
      <c r="K87" s="753"/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  <c r="AF87" s="753"/>
      <c r="AG87" s="753"/>
      <c r="AH87" s="753"/>
      <c r="AI87" s="753"/>
      <c r="AJ87" s="753"/>
      <c r="AK87" s="753"/>
      <c r="AL87" s="753"/>
      <c r="AM87" s="753"/>
      <c r="AN87" s="753"/>
      <c r="AO87" s="753"/>
      <c r="AP87" s="753"/>
      <c r="AQ87" s="753"/>
      <c r="AR87" s="753"/>
    </row>
    <row r="88" spans="1:44">
      <c r="A88" s="753"/>
      <c r="B88" s="753"/>
      <c r="C88" s="753"/>
      <c r="D88" s="753"/>
      <c r="E88" s="753"/>
      <c r="F88" s="753"/>
      <c r="G88" s="753"/>
      <c r="H88" s="753"/>
      <c r="I88" s="753"/>
      <c r="J88" s="753"/>
      <c r="K88" s="753"/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  <c r="AF88" s="753"/>
      <c r="AG88" s="753"/>
      <c r="AH88" s="753"/>
      <c r="AI88" s="753"/>
      <c r="AJ88" s="753"/>
      <c r="AK88" s="753"/>
      <c r="AL88" s="753"/>
      <c r="AM88" s="753"/>
      <c r="AN88" s="753"/>
      <c r="AO88" s="753"/>
      <c r="AP88" s="753"/>
      <c r="AQ88" s="753"/>
      <c r="AR88" s="753"/>
    </row>
    <row r="89" spans="1:44">
      <c r="A89" s="753"/>
      <c r="B89" s="753"/>
      <c r="C89" s="753"/>
      <c r="D89" s="753"/>
      <c r="E89" s="753"/>
      <c r="F89" s="753"/>
      <c r="G89" s="753"/>
      <c r="H89" s="753"/>
      <c r="I89" s="753"/>
      <c r="J89" s="753"/>
      <c r="K89" s="753"/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  <c r="AF89" s="753"/>
      <c r="AG89" s="753"/>
      <c r="AH89" s="753"/>
      <c r="AI89" s="753"/>
      <c r="AJ89" s="753"/>
      <c r="AK89" s="753"/>
      <c r="AL89" s="753"/>
      <c r="AM89" s="753"/>
      <c r="AN89" s="753"/>
      <c r="AO89" s="753"/>
      <c r="AP89" s="753"/>
      <c r="AQ89" s="753"/>
      <c r="AR89" s="753"/>
    </row>
    <row r="90" spans="1:44">
      <c r="A90" s="753"/>
      <c r="B90" s="753"/>
      <c r="C90" s="753"/>
      <c r="D90" s="753"/>
      <c r="E90" s="753"/>
      <c r="F90" s="753"/>
      <c r="G90" s="753"/>
      <c r="H90" s="753"/>
      <c r="I90" s="753"/>
      <c r="J90" s="753"/>
      <c r="K90" s="753"/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  <c r="AF90" s="753"/>
      <c r="AG90" s="753"/>
      <c r="AH90" s="753"/>
      <c r="AI90" s="753"/>
      <c r="AJ90" s="753"/>
      <c r="AK90" s="753"/>
      <c r="AL90" s="753"/>
      <c r="AM90" s="753"/>
      <c r="AN90" s="753"/>
      <c r="AO90" s="753"/>
      <c r="AP90" s="753"/>
      <c r="AQ90" s="753"/>
      <c r="AR90" s="753"/>
    </row>
    <row r="91" spans="1:44">
      <c r="A91" s="753"/>
      <c r="B91" s="753"/>
      <c r="C91" s="753"/>
      <c r="D91" s="753"/>
      <c r="E91" s="753"/>
      <c r="F91" s="753"/>
      <c r="G91" s="753"/>
      <c r="H91" s="753"/>
      <c r="I91" s="753"/>
      <c r="J91" s="753"/>
      <c r="K91" s="753"/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  <c r="AF91" s="753"/>
      <c r="AG91" s="753"/>
      <c r="AH91" s="753"/>
      <c r="AI91" s="753"/>
      <c r="AJ91" s="753"/>
      <c r="AK91" s="753"/>
      <c r="AL91" s="753"/>
      <c r="AM91" s="753"/>
      <c r="AN91" s="753"/>
      <c r="AO91" s="753"/>
      <c r="AP91" s="753"/>
      <c r="AQ91" s="753"/>
      <c r="AR91" s="753"/>
    </row>
    <row r="92" spans="1:44">
      <c r="A92" s="753"/>
      <c r="B92" s="753"/>
      <c r="C92" s="753"/>
      <c r="D92" s="753"/>
      <c r="E92" s="753"/>
      <c r="F92" s="753"/>
      <c r="G92" s="753"/>
      <c r="H92" s="753"/>
      <c r="I92" s="753"/>
      <c r="J92" s="753"/>
      <c r="K92" s="753"/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  <c r="AF92" s="753"/>
      <c r="AG92" s="753"/>
      <c r="AH92" s="753"/>
      <c r="AI92" s="753"/>
      <c r="AJ92" s="753"/>
      <c r="AK92" s="753"/>
      <c r="AL92" s="753"/>
      <c r="AM92" s="753"/>
      <c r="AN92" s="753"/>
      <c r="AO92" s="753"/>
      <c r="AP92" s="753"/>
      <c r="AQ92" s="753"/>
      <c r="AR92" s="753"/>
    </row>
    <row r="93" spans="1:44">
      <c r="A93" s="753"/>
      <c r="B93" s="753"/>
      <c r="C93" s="753"/>
      <c r="D93" s="753"/>
      <c r="E93" s="753"/>
      <c r="F93" s="753"/>
      <c r="G93" s="753"/>
      <c r="H93" s="753"/>
      <c r="I93" s="753"/>
      <c r="J93" s="753"/>
      <c r="K93" s="753"/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  <c r="AF93" s="753"/>
      <c r="AG93" s="753"/>
      <c r="AH93" s="753"/>
      <c r="AI93" s="753"/>
      <c r="AJ93" s="753"/>
      <c r="AK93" s="753"/>
      <c r="AL93" s="753"/>
      <c r="AM93" s="753"/>
      <c r="AN93" s="753"/>
      <c r="AO93" s="753"/>
      <c r="AP93" s="753"/>
      <c r="AQ93" s="753"/>
      <c r="AR93" s="753"/>
    </row>
    <row r="94" spans="1:44">
      <c r="A94" s="753"/>
      <c r="B94" s="753"/>
      <c r="C94" s="753"/>
      <c r="D94" s="753"/>
      <c r="E94" s="753"/>
      <c r="F94" s="753"/>
      <c r="G94" s="753"/>
      <c r="H94" s="753"/>
      <c r="I94" s="753"/>
      <c r="J94" s="753"/>
      <c r="K94" s="753"/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  <c r="AF94" s="753"/>
      <c r="AG94" s="753"/>
      <c r="AH94" s="753"/>
      <c r="AI94" s="753"/>
      <c r="AJ94" s="753"/>
      <c r="AK94" s="753"/>
      <c r="AL94" s="753"/>
      <c r="AM94" s="753"/>
      <c r="AN94" s="753"/>
      <c r="AO94" s="753"/>
      <c r="AP94" s="753"/>
      <c r="AQ94" s="753"/>
      <c r="AR94" s="753"/>
    </row>
    <row r="95" spans="1:44">
      <c r="A95" s="753"/>
      <c r="B95" s="753"/>
      <c r="C95" s="753"/>
      <c r="D95" s="753"/>
      <c r="E95" s="753"/>
      <c r="F95" s="753"/>
      <c r="G95" s="753"/>
      <c r="H95" s="753"/>
      <c r="I95" s="753"/>
      <c r="J95" s="753"/>
      <c r="K95" s="753"/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  <c r="AF95" s="753"/>
      <c r="AG95" s="753"/>
      <c r="AH95" s="753"/>
      <c r="AI95" s="753"/>
      <c r="AJ95" s="753"/>
      <c r="AK95" s="753"/>
      <c r="AL95" s="753"/>
      <c r="AM95" s="753"/>
      <c r="AN95" s="753"/>
      <c r="AO95" s="753"/>
      <c r="AP95" s="753"/>
      <c r="AQ95" s="753"/>
      <c r="AR95" s="753"/>
    </row>
    <row r="96" spans="1:44">
      <c r="A96" s="753"/>
      <c r="B96" s="753"/>
      <c r="C96" s="753"/>
      <c r="D96" s="753"/>
      <c r="E96" s="753"/>
      <c r="F96" s="753"/>
      <c r="G96" s="753"/>
      <c r="H96" s="753"/>
      <c r="I96" s="753"/>
      <c r="J96" s="753"/>
      <c r="K96" s="753"/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  <c r="AF96" s="753"/>
      <c r="AG96" s="753"/>
      <c r="AH96" s="753"/>
      <c r="AI96" s="753"/>
      <c r="AJ96" s="753"/>
      <c r="AK96" s="753"/>
      <c r="AL96" s="753"/>
      <c r="AM96" s="753"/>
      <c r="AN96" s="753"/>
      <c r="AO96" s="753"/>
      <c r="AP96" s="753"/>
      <c r="AQ96" s="753"/>
      <c r="AR96" s="753"/>
    </row>
    <row r="97" spans="1:44">
      <c r="A97" s="753"/>
      <c r="B97" s="753"/>
      <c r="C97" s="753"/>
      <c r="D97" s="753"/>
      <c r="E97" s="753"/>
      <c r="F97" s="753"/>
      <c r="G97" s="753"/>
      <c r="H97" s="753"/>
      <c r="I97" s="753"/>
      <c r="J97" s="753"/>
      <c r="K97" s="753"/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  <c r="AF97" s="753"/>
      <c r="AG97" s="753"/>
      <c r="AH97" s="753"/>
      <c r="AI97" s="753"/>
      <c r="AJ97" s="753"/>
      <c r="AK97" s="753"/>
      <c r="AL97" s="753"/>
      <c r="AM97" s="753"/>
      <c r="AN97" s="753"/>
      <c r="AO97" s="753"/>
      <c r="AP97" s="753"/>
      <c r="AQ97" s="753"/>
      <c r="AR97" s="753"/>
    </row>
    <row r="98" spans="1:44">
      <c r="A98" s="753"/>
      <c r="B98" s="753"/>
      <c r="C98" s="753"/>
      <c r="D98" s="753"/>
      <c r="E98" s="753"/>
      <c r="F98" s="753"/>
      <c r="G98" s="753"/>
      <c r="H98" s="753"/>
      <c r="I98" s="753"/>
      <c r="J98" s="753"/>
      <c r="K98" s="753"/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  <c r="AF98" s="753"/>
      <c r="AG98" s="753"/>
      <c r="AH98" s="753"/>
      <c r="AI98" s="753"/>
      <c r="AJ98" s="753"/>
      <c r="AK98" s="753"/>
      <c r="AL98" s="753"/>
      <c r="AM98" s="753"/>
      <c r="AN98" s="753"/>
      <c r="AO98" s="753"/>
      <c r="AP98" s="753"/>
      <c r="AQ98" s="753"/>
      <c r="AR98" s="753"/>
    </row>
    <row r="99" spans="1:44">
      <c r="A99" s="753"/>
      <c r="B99" s="753"/>
      <c r="C99" s="753"/>
      <c r="D99" s="753"/>
      <c r="E99" s="753"/>
      <c r="F99" s="753"/>
      <c r="G99" s="753"/>
      <c r="H99" s="753"/>
      <c r="I99" s="753"/>
      <c r="J99" s="753"/>
      <c r="K99" s="753"/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  <c r="AF99" s="753"/>
      <c r="AG99" s="753"/>
      <c r="AH99" s="753"/>
      <c r="AI99" s="753"/>
      <c r="AJ99" s="753"/>
      <c r="AK99" s="753"/>
      <c r="AL99" s="753"/>
      <c r="AM99" s="753"/>
      <c r="AN99" s="753"/>
      <c r="AO99" s="753"/>
      <c r="AP99" s="753"/>
      <c r="AQ99" s="753"/>
      <c r="AR99" s="753"/>
    </row>
    <row r="100" spans="1:44">
      <c r="A100" s="753"/>
      <c r="B100" s="753"/>
      <c r="C100" s="753"/>
      <c r="D100" s="753"/>
      <c r="E100" s="753"/>
      <c r="F100" s="753"/>
      <c r="G100" s="753"/>
      <c r="H100" s="753"/>
      <c r="I100" s="753"/>
      <c r="J100" s="753"/>
      <c r="K100" s="753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  <c r="AF100" s="753"/>
      <c r="AG100" s="753"/>
      <c r="AH100" s="753"/>
      <c r="AI100" s="753"/>
      <c r="AJ100" s="753"/>
      <c r="AK100" s="753"/>
      <c r="AL100" s="753"/>
      <c r="AM100" s="753"/>
      <c r="AN100" s="753"/>
      <c r="AO100" s="753"/>
      <c r="AP100" s="753"/>
      <c r="AQ100" s="753"/>
      <c r="AR100" s="753"/>
    </row>
    <row r="101" spans="1:44">
      <c r="A101" s="753"/>
      <c r="B101" s="753"/>
      <c r="C101" s="753"/>
      <c r="D101" s="753"/>
      <c r="E101" s="753"/>
      <c r="F101" s="753"/>
      <c r="G101" s="753"/>
      <c r="H101" s="753"/>
      <c r="I101" s="753"/>
      <c r="J101" s="753"/>
      <c r="K101" s="753"/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  <c r="AF101" s="753"/>
      <c r="AG101" s="753"/>
      <c r="AH101" s="753"/>
      <c r="AI101" s="753"/>
      <c r="AJ101" s="753"/>
      <c r="AK101" s="753"/>
      <c r="AL101" s="753"/>
      <c r="AM101" s="753"/>
      <c r="AN101" s="753"/>
      <c r="AO101" s="753"/>
      <c r="AP101" s="753"/>
      <c r="AQ101" s="753"/>
      <c r="AR101" s="753"/>
    </row>
    <row r="102" spans="1:44">
      <c r="A102" s="753"/>
      <c r="B102" s="753"/>
      <c r="C102" s="753"/>
      <c r="D102" s="753"/>
      <c r="E102" s="753"/>
      <c r="F102" s="753"/>
      <c r="G102" s="753"/>
      <c r="H102" s="753"/>
      <c r="I102" s="753"/>
      <c r="J102" s="753"/>
      <c r="K102" s="753"/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  <c r="AF102" s="753"/>
      <c r="AG102" s="753"/>
      <c r="AH102" s="753"/>
      <c r="AI102" s="753"/>
      <c r="AJ102" s="753"/>
      <c r="AK102" s="753"/>
      <c r="AL102" s="753"/>
      <c r="AM102" s="753"/>
      <c r="AN102" s="753"/>
      <c r="AO102" s="753"/>
      <c r="AP102" s="753"/>
      <c r="AQ102" s="753"/>
      <c r="AR102" s="753"/>
    </row>
    <row r="103" spans="1:44">
      <c r="A103" s="753"/>
      <c r="B103" s="753"/>
      <c r="C103" s="753"/>
      <c r="D103" s="753"/>
      <c r="E103" s="753"/>
      <c r="F103" s="753"/>
      <c r="G103" s="753"/>
      <c r="H103" s="753"/>
      <c r="I103" s="753"/>
      <c r="J103" s="753"/>
      <c r="K103" s="753"/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  <c r="AF103" s="753"/>
      <c r="AG103" s="753"/>
      <c r="AH103" s="753"/>
      <c r="AI103" s="753"/>
      <c r="AJ103" s="753"/>
      <c r="AK103" s="753"/>
      <c r="AL103" s="753"/>
      <c r="AM103" s="753"/>
      <c r="AN103" s="753"/>
      <c r="AO103" s="753"/>
      <c r="AP103" s="753"/>
      <c r="AQ103" s="753"/>
      <c r="AR103" s="753"/>
    </row>
    <row r="104" spans="1:44">
      <c r="A104" s="753"/>
      <c r="B104" s="753"/>
      <c r="C104" s="753"/>
      <c r="D104" s="753"/>
      <c r="E104" s="753"/>
      <c r="F104" s="753"/>
      <c r="G104" s="753"/>
      <c r="H104" s="753"/>
      <c r="I104" s="753"/>
      <c r="J104" s="753"/>
      <c r="K104" s="753"/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  <c r="AF104" s="753"/>
      <c r="AG104" s="753"/>
      <c r="AH104" s="753"/>
      <c r="AI104" s="753"/>
      <c r="AJ104" s="753"/>
      <c r="AK104" s="753"/>
      <c r="AL104" s="753"/>
      <c r="AM104" s="753"/>
      <c r="AN104" s="753"/>
      <c r="AO104" s="753"/>
      <c r="AP104" s="753"/>
      <c r="AQ104" s="753"/>
      <c r="AR104" s="753"/>
    </row>
    <row r="105" spans="1:44">
      <c r="A105" s="753"/>
      <c r="B105" s="753"/>
      <c r="C105" s="753"/>
      <c r="D105" s="753"/>
      <c r="E105" s="753"/>
      <c r="F105" s="753"/>
      <c r="G105" s="753"/>
      <c r="H105" s="753"/>
      <c r="I105" s="753"/>
      <c r="J105" s="753"/>
      <c r="K105" s="753"/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  <c r="AF105" s="753"/>
      <c r="AG105" s="753"/>
      <c r="AH105" s="753"/>
      <c r="AI105" s="753"/>
      <c r="AJ105" s="753"/>
      <c r="AK105" s="753"/>
      <c r="AL105" s="753"/>
      <c r="AM105" s="753"/>
      <c r="AN105" s="753"/>
      <c r="AO105" s="753"/>
      <c r="AP105" s="753"/>
      <c r="AQ105" s="753"/>
      <c r="AR105" s="753"/>
    </row>
    <row r="106" spans="1:44">
      <c r="A106" s="753"/>
      <c r="B106" s="753"/>
      <c r="C106" s="753"/>
      <c r="D106" s="753"/>
      <c r="E106" s="753"/>
      <c r="F106" s="753"/>
      <c r="G106" s="753"/>
      <c r="H106" s="753"/>
      <c r="I106" s="753"/>
      <c r="J106" s="753"/>
      <c r="K106" s="753"/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  <c r="AF106" s="753"/>
      <c r="AG106" s="753"/>
      <c r="AH106" s="753"/>
      <c r="AI106" s="753"/>
      <c r="AJ106" s="753"/>
      <c r="AK106" s="753"/>
      <c r="AL106" s="753"/>
      <c r="AM106" s="753"/>
      <c r="AN106" s="753"/>
      <c r="AO106" s="753"/>
      <c r="AP106" s="753"/>
      <c r="AQ106" s="753"/>
      <c r="AR106" s="753"/>
    </row>
    <row r="107" spans="1:44">
      <c r="A107" s="753"/>
      <c r="B107" s="753"/>
      <c r="C107" s="753"/>
      <c r="D107" s="753"/>
      <c r="E107" s="753"/>
      <c r="F107" s="753"/>
      <c r="G107" s="753"/>
      <c r="H107" s="753"/>
      <c r="I107" s="753"/>
      <c r="J107" s="753"/>
      <c r="K107" s="753"/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  <c r="AF107" s="753"/>
      <c r="AG107" s="753"/>
      <c r="AH107" s="753"/>
      <c r="AI107" s="753"/>
      <c r="AJ107" s="753"/>
      <c r="AK107" s="753"/>
      <c r="AL107" s="753"/>
      <c r="AM107" s="753"/>
      <c r="AN107" s="753"/>
      <c r="AO107" s="753"/>
      <c r="AP107" s="753"/>
      <c r="AQ107" s="753"/>
      <c r="AR107" s="753"/>
    </row>
    <row r="108" spans="1:44">
      <c r="A108" s="753"/>
      <c r="B108" s="753"/>
      <c r="C108" s="753"/>
      <c r="D108" s="753"/>
      <c r="E108" s="753"/>
      <c r="F108" s="753"/>
      <c r="G108" s="753"/>
      <c r="H108" s="753"/>
      <c r="I108" s="753"/>
      <c r="J108" s="753"/>
      <c r="K108" s="753"/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  <c r="AF108" s="753"/>
      <c r="AG108" s="753"/>
      <c r="AH108" s="753"/>
      <c r="AI108" s="753"/>
      <c r="AJ108" s="753"/>
      <c r="AK108" s="753"/>
      <c r="AL108" s="753"/>
      <c r="AM108" s="753"/>
      <c r="AN108" s="753"/>
      <c r="AO108" s="753"/>
      <c r="AP108" s="753"/>
      <c r="AQ108" s="753"/>
      <c r="AR108" s="753"/>
    </row>
    <row r="109" spans="1:44">
      <c r="A109" s="753"/>
      <c r="B109" s="753"/>
      <c r="C109" s="753"/>
      <c r="D109" s="753"/>
      <c r="E109" s="753"/>
      <c r="F109" s="753"/>
      <c r="G109" s="753"/>
      <c r="H109" s="753"/>
      <c r="I109" s="753"/>
      <c r="J109" s="753"/>
      <c r="K109" s="753"/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  <c r="AF109" s="753"/>
      <c r="AG109" s="753"/>
      <c r="AH109" s="753"/>
      <c r="AI109" s="753"/>
      <c r="AJ109" s="753"/>
      <c r="AK109" s="753"/>
      <c r="AL109" s="753"/>
      <c r="AM109" s="753"/>
      <c r="AN109" s="753"/>
      <c r="AO109" s="753"/>
      <c r="AP109" s="753"/>
      <c r="AQ109" s="753"/>
      <c r="AR109" s="753"/>
    </row>
    <row r="110" spans="1:44">
      <c r="A110" s="753"/>
      <c r="B110" s="753"/>
      <c r="C110" s="753"/>
      <c r="D110" s="753"/>
      <c r="E110" s="753"/>
      <c r="F110" s="753"/>
      <c r="G110" s="753"/>
      <c r="H110" s="753"/>
      <c r="I110" s="753"/>
      <c r="J110" s="753"/>
      <c r="K110" s="753"/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  <c r="AF110" s="753"/>
      <c r="AG110" s="753"/>
      <c r="AH110" s="753"/>
      <c r="AI110" s="753"/>
      <c r="AJ110" s="753"/>
      <c r="AK110" s="753"/>
      <c r="AL110" s="753"/>
      <c r="AM110" s="753"/>
      <c r="AN110" s="753"/>
      <c r="AO110" s="753"/>
      <c r="AP110" s="753"/>
      <c r="AQ110" s="753"/>
      <c r="AR110" s="753"/>
    </row>
    <row r="111" spans="1:44">
      <c r="A111" s="753"/>
      <c r="B111" s="753"/>
      <c r="C111" s="753"/>
      <c r="D111" s="753"/>
      <c r="E111" s="753"/>
      <c r="F111" s="753"/>
      <c r="G111" s="753"/>
      <c r="H111" s="753"/>
      <c r="I111" s="753"/>
      <c r="J111" s="753"/>
      <c r="K111" s="753"/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  <c r="AF111" s="753"/>
      <c r="AG111" s="753"/>
      <c r="AH111" s="753"/>
      <c r="AI111" s="753"/>
      <c r="AJ111" s="753"/>
      <c r="AK111" s="753"/>
      <c r="AL111" s="753"/>
      <c r="AM111" s="753"/>
      <c r="AN111" s="753"/>
      <c r="AO111" s="753"/>
      <c r="AP111" s="753"/>
      <c r="AQ111" s="753"/>
      <c r="AR111" s="753"/>
    </row>
    <row r="112" spans="1:44">
      <c r="A112" s="753"/>
      <c r="B112" s="753"/>
      <c r="C112" s="753"/>
      <c r="D112" s="753"/>
      <c r="E112" s="753"/>
      <c r="F112" s="753"/>
      <c r="G112" s="753"/>
      <c r="H112" s="753"/>
      <c r="I112" s="753"/>
      <c r="J112" s="753"/>
      <c r="K112" s="753"/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  <c r="AF112" s="753"/>
      <c r="AG112" s="753"/>
      <c r="AH112" s="753"/>
      <c r="AI112" s="753"/>
      <c r="AJ112" s="753"/>
      <c r="AK112" s="753"/>
      <c r="AL112" s="753"/>
      <c r="AM112" s="753"/>
      <c r="AN112" s="753"/>
      <c r="AO112" s="753"/>
      <c r="AP112" s="753"/>
      <c r="AQ112" s="753"/>
      <c r="AR112" s="753"/>
    </row>
    <row r="113" spans="1:44">
      <c r="A113" s="753"/>
      <c r="B113" s="753"/>
      <c r="C113" s="753"/>
      <c r="D113" s="753"/>
      <c r="E113" s="753"/>
      <c r="F113" s="753"/>
      <c r="G113" s="753"/>
      <c r="H113" s="753"/>
      <c r="I113" s="753"/>
      <c r="J113" s="753"/>
      <c r="K113" s="753"/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  <c r="AF113" s="753"/>
      <c r="AG113" s="753"/>
      <c r="AH113" s="753"/>
      <c r="AI113" s="753"/>
      <c r="AJ113" s="753"/>
      <c r="AK113" s="753"/>
      <c r="AL113" s="753"/>
      <c r="AM113" s="753"/>
      <c r="AN113" s="753"/>
      <c r="AO113" s="753"/>
      <c r="AP113" s="753"/>
      <c r="AQ113" s="753"/>
      <c r="AR113" s="753"/>
    </row>
    <row r="114" spans="1:44">
      <c r="A114" s="753"/>
      <c r="B114" s="753"/>
      <c r="C114" s="753"/>
      <c r="D114" s="753"/>
      <c r="E114" s="753"/>
      <c r="F114" s="753"/>
      <c r="G114" s="753"/>
      <c r="H114" s="753"/>
      <c r="I114" s="753"/>
      <c r="J114" s="753"/>
      <c r="K114" s="753"/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  <c r="AF114" s="753"/>
      <c r="AG114" s="753"/>
      <c r="AH114" s="753"/>
      <c r="AI114" s="753"/>
      <c r="AJ114" s="753"/>
      <c r="AK114" s="753"/>
      <c r="AL114" s="753"/>
      <c r="AM114" s="753"/>
      <c r="AN114" s="753"/>
      <c r="AO114" s="753"/>
      <c r="AP114" s="753"/>
      <c r="AQ114" s="753"/>
      <c r="AR114" s="753"/>
    </row>
    <row r="115" spans="1:44">
      <c r="A115" s="753"/>
      <c r="B115" s="753"/>
      <c r="C115" s="753"/>
      <c r="D115" s="753"/>
      <c r="E115" s="753"/>
      <c r="F115" s="753"/>
      <c r="G115" s="753"/>
      <c r="H115" s="753"/>
      <c r="I115" s="753"/>
      <c r="J115" s="753"/>
      <c r="K115" s="753"/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  <c r="AF115" s="753"/>
      <c r="AG115" s="753"/>
      <c r="AH115" s="753"/>
      <c r="AI115" s="753"/>
      <c r="AJ115" s="753"/>
      <c r="AK115" s="753"/>
      <c r="AL115" s="753"/>
      <c r="AM115" s="753"/>
      <c r="AN115" s="753"/>
      <c r="AO115" s="753"/>
      <c r="AP115" s="753"/>
      <c r="AQ115" s="753"/>
      <c r="AR115" s="753"/>
    </row>
    <row r="116" spans="1:44">
      <c r="A116" s="753"/>
      <c r="B116" s="753"/>
      <c r="C116" s="753"/>
      <c r="D116" s="753"/>
      <c r="E116" s="753"/>
      <c r="F116" s="753"/>
      <c r="G116" s="753"/>
      <c r="H116" s="753"/>
      <c r="I116" s="753"/>
      <c r="J116" s="753"/>
      <c r="K116" s="753"/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  <c r="AF116" s="753"/>
      <c r="AG116" s="753"/>
      <c r="AH116" s="753"/>
      <c r="AI116" s="753"/>
      <c r="AJ116" s="753"/>
      <c r="AK116" s="753"/>
      <c r="AL116" s="753"/>
      <c r="AM116" s="753"/>
      <c r="AN116" s="753"/>
      <c r="AO116" s="753"/>
      <c r="AP116" s="753"/>
      <c r="AQ116" s="753"/>
      <c r="AR116" s="753"/>
    </row>
    <row r="117" spans="1:44">
      <c r="A117" s="753"/>
      <c r="B117" s="753"/>
      <c r="C117" s="753"/>
      <c r="D117" s="753"/>
      <c r="E117" s="753"/>
      <c r="F117" s="753"/>
      <c r="G117" s="753"/>
      <c r="H117" s="753"/>
      <c r="I117" s="753"/>
      <c r="J117" s="753"/>
      <c r="K117" s="753"/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  <c r="AF117" s="753"/>
      <c r="AG117" s="753"/>
      <c r="AH117" s="753"/>
      <c r="AI117" s="753"/>
      <c r="AJ117" s="753"/>
      <c r="AK117" s="753"/>
      <c r="AL117" s="753"/>
      <c r="AM117" s="753"/>
      <c r="AN117" s="753"/>
      <c r="AO117" s="753"/>
      <c r="AP117" s="753"/>
      <c r="AQ117" s="753"/>
      <c r="AR117" s="753"/>
    </row>
    <row r="118" spans="1:44">
      <c r="A118" s="753"/>
      <c r="B118" s="753"/>
      <c r="C118" s="753"/>
      <c r="D118" s="753"/>
      <c r="E118" s="753"/>
      <c r="F118" s="753"/>
      <c r="G118" s="753"/>
      <c r="H118" s="753"/>
      <c r="I118" s="753"/>
      <c r="J118" s="753"/>
      <c r="K118" s="753"/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  <c r="AF118" s="753"/>
      <c r="AG118" s="753"/>
      <c r="AH118" s="753"/>
      <c r="AI118" s="753"/>
      <c r="AJ118" s="753"/>
      <c r="AK118" s="753"/>
      <c r="AL118" s="753"/>
      <c r="AM118" s="753"/>
      <c r="AN118" s="753"/>
      <c r="AO118" s="753"/>
      <c r="AP118" s="753"/>
      <c r="AQ118" s="753"/>
      <c r="AR118" s="753"/>
    </row>
    <row r="119" spans="1:44">
      <c r="A119" s="753"/>
      <c r="B119" s="753"/>
      <c r="C119" s="753"/>
      <c r="D119" s="753"/>
      <c r="E119" s="753"/>
      <c r="F119" s="753"/>
      <c r="G119" s="753"/>
      <c r="H119" s="753"/>
      <c r="I119" s="753"/>
      <c r="J119" s="753"/>
      <c r="K119" s="753"/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  <c r="AF119" s="753"/>
      <c r="AG119" s="753"/>
      <c r="AH119" s="753"/>
      <c r="AI119" s="753"/>
      <c r="AJ119" s="753"/>
      <c r="AK119" s="753"/>
      <c r="AL119" s="753"/>
      <c r="AM119" s="753"/>
      <c r="AN119" s="753"/>
      <c r="AO119" s="753"/>
      <c r="AP119" s="753"/>
      <c r="AQ119" s="753"/>
      <c r="AR119" s="753"/>
    </row>
    <row r="120" spans="1:44">
      <c r="A120" s="753"/>
      <c r="B120" s="753"/>
      <c r="C120" s="753"/>
      <c r="D120" s="753"/>
      <c r="E120" s="753"/>
      <c r="F120" s="753"/>
      <c r="G120" s="753"/>
      <c r="H120" s="753"/>
      <c r="I120" s="753"/>
      <c r="J120" s="753"/>
      <c r="K120" s="753"/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  <c r="AF120" s="753"/>
      <c r="AG120" s="753"/>
      <c r="AH120" s="753"/>
      <c r="AI120" s="753"/>
      <c r="AJ120" s="753"/>
      <c r="AK120" s="753"/>
      <c r="AL120" s="753"/>
      <c r="AM120" s="753"/>
      <c r="AN120" s="753"/>
      <c r="AO120" s="753"/>
      <c r="AP120" s="753"/>
      <c r="AQ120" s="753"/>
      <c r="AR120" s="753"/>
    </row>
    <row r="121" spans="1:44">
      <c r="A121" s="753"/>
      <c r="B121" s="753"/>
      <c r="C121" s="753"/>
      <c r="D121" s="753"/>
      <c r="E121" s="753"/>
      <c r="F121" s="753"/>
      <c r="G121" s="753"/>
      <c r="H121" s="753"/>
      <c r="I121" s="753"/>
      <c r="J121" s="753"/>
      <c r="K121" s="753"/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  <c r="AF121" s="753"/>
      <c r="AG121" s="753"/>
      <c r="AH121" s="753"/>
      <c r="AI121" s="753"/>
      <c r="AJ121" s="753"/>
      <c r="AK121" s="753"/>
      <c r="AL121" s="753"/>
      <c r="AM121" s="753"/>
      <c r="AN121" s="753"/>
      <c r="AO121" s="753"/>
      <c r="AP121" s="753"/>
      <c r="AQ121" s="753"/>
      <c r="AR121" s="753"/>
    </row>
    <row r="122" spans="1:44">
      <c r="A122" s="753"/>
      <c r="B122" s="753"/>
      <c r="C122" s="753"/>
      <c r="D122" s="753"/>
      <c r="E122" s="753"/>
      <c r="F122" s="753"/>
      <c r="G122" s="753"/>
      <c r="H122" s="753"/>
      <c r="I122" s="753"/>
      <c r="J122" s="753"/>
      <c r="K122" s="753"/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  <c r="AF122" s="753"/>
      <c r="AG122" s="753"/>
      <c r="AH122" s="753"/>
      <c r="AI122" s="753"/>
      <c r="AJ122" s="753"/>
      <c r="AK122" s="753"/>
      <c r="AL122" s="753"/>
      <c r="AM122" s="753"/>
      <c r="AN122" s="753"/>
      <c r="AO122" s="753"/>
      <c r="AP122" s="753"/>
      <c r="AQ122" s="753"/>
      <c r="AR122" s="753"/>
    </row>
    <row r="123" spans="1:44">
      <c r="A123" s="753"/>
      <c r="B123" s="753"/>
      <c r="C123" s="753"/>
      <c r="D123" s="753"/>
      <c r="E123" s="753"/>
      <c r="F123" s="753"/>
      <c r="G123" s="753"/>
      <c r="H123" s="753"/>
      <c r="I123" s="753"/>
      <c r="J123" s="753"/>
      <c r="K123" s="753"/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  <c r="AF123" s="753"/>
      <c r="AG123" s="753"/>
      <c r="AH123" s="753"/>
      <c r="AI123" s="753"/>
      <c r="AJ123" s="753"/>
      <c r="AK123" s="753"/>
      <c r="AL123" s="753"/>
      <c r="AM123" s="753"/>
      <c r="AN123" s="753"/>
      <c r="AO123" s="753"/>
      <c r="AP123" s="753"/>
      <c r="AQ123" s="753"/>
      <c r="AR123" s="753"/>
    </row>
    <row r="124" spans="1:44">
      <c r="A124" s="753"/>
      <c r="B124" s="753"/>
      <c r="C124" s="753"/>
      <c r="D124" s="753"/>
      <c r="E124" s="753"/>
      <c r="F124" s="753"/>
      <c r="G124" s="753"/>
      <c r="H124" s="753"/>
      <c r="I124" s="753"/>
      <c r="J124" s="753"/>
      <c r="K124" s="753"/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  <c r="AF124" s="753"/>
      <c r="AG124" s="753"/>
      <c r="AH124" s="753"/>
      <c r="AI124" s="753"/>
      <c r="AJ124" s="753"/>
      <c r="AK124" s="753"/>
      <c r="AL124" s="753"/>
      <c r="AM124" s="753"/>
      <c r="AN124" s="753"/>
      <c r="AO124" s="753"/>
      <c r="AP124" s="753"/>
      <c r="AQ124" s="753"/>
      <c r="AR124" s="753"/>
    </row>
    <row r="125" spans="1:44">
      <c r="A125" s="753"/>
      <c r="B125" s="753"/>
      <c r="C125" s="753"/>
      <c r="D125" s="753"/>
      <c r="E125" s="753"/>
      <c r="F125" s="753"/>
      <c r="G125" s="753"/>
      <c r="H125" s="753"/>
      <c r="I125" s="753"/>
      <c r="J125" s="753"/>
      <c r="K125" s="753"/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  <c r="AF125" s="753"/>
      <c r="AG125" s="753"/>
      <c r="AH125" s="753"/>
      <c r="AI125" s="753"/>
      <c r="AJ125" s="753"/>
      <c r="AK125" s="753"/>
      <c r="AL125" s="753"/>
      <c r="AM125" s="753"/>
      <c r="AN125" s="753"/>
      <c r="AO125" s="753"/>
      <c r="AP125" s="753"/>
      <c r="AQ125" s="753"/>
      <c r="AR125" s="753"/>
    </row>
    <row r="126" spans="1:44">
      <c r="A126" s="753"/>
      <c r="B126" s="753"/>
      <c r="C126" s="753"/>
      <c r="D126" s="753"/>
      <c r="E126" s="753"/>
      <c r="F126" s="753"/>
      <c r="G126" s="753"/>
      <c r="H126" s="753"/>
      <c r="I126" s="753"/>
      <c r="J126" s="753"/>
      <c r="K126" s="753"/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  <c r="AF126" s="753"/>
      <c r="AG126" s="753"/>
      <c r="AH126" s="753"/>
      <c r="AI126" s="753"/>
      <c r="AJ126" s="753"/>
      <c r="AK126" s="753"/>
      <c r="AL126" s="753"/>
      <c r="AM126" s="753"/>
      <c r="AN126" s="753"/>
      <c r="AO126" s="753"/>
      <c r="AP126" s="753"/>
      <c r="AQ126" s="753"/>
      <c r="AR126" s="753"/>
    </row>
    <row r="127" spans="1:44">
      <c r="A127" s="753"/>
      <c r="B127" s="753"/>
      <c r="C127" s="753"/>
      <c r="D127" s="753"/>
      <c r="E127" s="753"/>
      <c r="F127" s="753"/>
      <c r="G127" s="753"/>
      <c r="H127" s="753"/>
      <c r="I127" s="753"/>
      <c r="J127" s="753"/>
      <c r="K127" s="753"/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  <c r="AF127" s="753"/>
      <c r="AG127" s="753"/>
      <c r="AH127" s="753"/>
      <c r="AI127" s="753"/>
      <c r="AJ127" s="753"/>
      <c r="AK127" s="753"/>
      <c r="AL127" s="753"/>
      <c r="AM127" s="753"/>
      <c r="AN127" s="753"/>
      <c r="AO127" s="753"/>
      <c r="AP127" s="753"/>
      <c r="AQ127" s="753"/>
      <c r="AR127" s="753"/>
    </row>
    <row r="128" spans="1:44">
      <c r="A128" s="753"/>
      <c r="B128" s="753"/>
      <c r="C128" s="753"/>
      <c r="D128" s="753"/>
      <c r="E128" s="753"/>
      <c r="F128" s="753"/>
      <c r="G128" s="753"/>
      <c r="H128" s="753"/>
      <c r="I128" s="753"/>
      <c r="J128" s="753"/>
      <c r="K128" s="753"/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  <c r="AF128" s="753"/>
      <c r="AG128" s="753"/>
      <c r="AH128" s="753"/>
      <c r="AI128" s="753"/>
      <c r="AJ128" s="753"/>
      <c r="AK128" s="753"/>
      <c r="AL128" s="753"/>
      <c r="AM128" s="753"/>
      <c r="AN128" s="753"/>
      <c r="AO128" s="753"/>
      <c r="AP128" s="753"/>
      <c r="AQ128" s="753"/>
      <c r="AR128" s="753"/>
    </row>
    <row r="129" spans="1:44">
      <c r="A129" s="753"/>
      <c r="B129" s="753"/>
      <c r="C129" s="753"/>
      <c r="D129" s="753"/>
      <c r="E129" s="753"/>
      <c r="F129" s="753"/>
      <c r="G129" s="753"/>
      <c r="H129" s="753"/>
      <c r="I129" s="753"/>
      <c r="J129" s="753"/>
      <c r="K129" s="753"/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  <c r="AF129" s="753"/>
      <c r="AG129" s="753"/>
      <c r="AH129" s="753"/>
      <c r="AI129" s="753"/>
      <c r="AJ129" s="753"/>
      <c r="AK129" s="753"/>
      <c r="AL129" s="753"/>
      <c r="AM129" s="753"/>
      <c r="AN129" s="753"/>
      <c r="AO129" s="753"/>
      <c r="AP129" s="753"/>
      <c r="AQ129" s="753"/>
      <c r="AR129" s="753"/>
    </row>
    <row r="130" spans="1:44">
      <c r="A130" s="753"/>
      <c r="B130" s="753"/>
      <c r="C130" s="753"/>
      <c r="D130" s="753"/>
      <c r="E130" s="753"/>
      <c r="F130" s="753"/>
      <c r="G130" s="753"/>
      <c r="H130" s="753"/>
      <c r="I130" s="753"/>
      <c r="J130" s="753"/>
      <c r="K130" s="753"/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  <c r="AF130" s="753"/>
      <c r="AG130" s="753"/>
      <c r="AH130" s="753"/>
      <c r="AI130" s="753"/>
      <c r="AJ130" s="753"/>
      <c r="AK130" s="753"/>
      <c r="AL130" s="753"/>
      <c r="AM130" s="753"/>
      <c r="AN130" s="753"/>
      <c r="AO130" s="753"/>
      <c r="AP130" s="753"/>
      <c r="AQ130" s="753"/>
      <c r="AR130" s="753"/>
    </row>
    <row r="131" spans="1:44">
      <c r="A131" s="753"/>
      <c r="B131" s="753"/>
      <c r="C131" s="753"/>
      <c r="D131" s="753"/>
      <c r="E131" s="753"/>
      <c r="F131" s="753"/>
      <c r="G131" s="753"/>
      <c r="H131" s="753"/>
      <c r="I131" s="753"/>
      <c r="J131" s="753"/>
      <c r="K131" s="753"/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  <c r="AF131" s="753"/>
      <c r="AG131" s="753"/>
      <c r="AH131" s="753"/>
      <c r="AI131" s="753"/>
      <c r="AJ131" s="753"/>
      <c r="AK131" s="753"/>
      <c r="AL131" s="753"/>
      <c r="AM131" s="753"/>
      <c r="AN131" s="753"/>
      <c r="AO131" s="753"/>
      <c r="AP131" s="753"/>
      <c r="AQ131" s="753"/>
      <c r="AR131" s="753"/>
    </row>
    <row r="132" spans="1:44">
      <c r="A132" s="753"/>
      <c r="B132" s="753"/>
      <c r="C132" s="753"/>
      <c r="D132" s="753"/>
      <c r="E132" s="753"/>
      <c r="F132" s="753"/>
      <c r="G132" s="753"/>
      <c r="H132" s="753"/>
      <c r="I132" s="753"/>
      <c r="J132" s="753"/>
      <c r="K132" s="753"/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  <c r="AF132" s="753"/>
      <c r="AG132" s="753"/>
      <c r="AH132" s="753"/>
      <c r="AI132" s="753"/>
      <c r="AJ132" s="753"/>
      <c r="AK132" s="753"/>
      <c r="AL132" s="753"/>
      <c r="AM132" s="753"/>
      <c r="AN132" s="753"/>
      <c r="AO132" s="753"/>
      <c r="AP132" s="753"/>
      <c r="AQ132" s="753"/>
      <c r="AR132" s="753"/>
    </row>
    <row r="133" spans="1:44">
      <c r="A133" s="753"/>
      <c r="B133" s="753"/>
      <c r="C133" s="753"/>
      <c r="D133" s="753"/>
      <c r="E133" s="753"/>
      <c r="F133" s="753"/>
      <c r="G133" s="753"/>
      <c r="H133" s="753"/>
      <c r="I133" s="753"/>
      <c r="J133" s="753"/>
      <c r="K133" s="753"/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  <c r="AF133" s="753"/>
      <c r="AG133" s="753"/>
      <c r="AH133" s="753"/>
      <c r="AI133" s="753"/>
      <c r="AJ133" s="753"/>
      <c r="AK133" s="753"/>
      <c r="AL133" s="753"/>
      <c r="AM133" s="753"/>
      <c r="AN133" s="753"/>
      <c r="AO133" s="753"/>
      <c r="AP133" s="753"/>
      <c r="AQ133" s="753"/>
      <c r="AR133" s="753"/>
    </row>
    <row r="134" spans="1:44">
      <c r="A134" s="753"/>
      <c r="B134" s="753"/>
      <c r="C134" s="753"/>
      <c r="D134" s="753"/>
      <c r="E134" s="753"/>
      <c r="F134" s="753"/>
      <c r="G134" s="753"/>
      <c r="H134" s="753"/>
      <c r="I134" s="753"/>
      <c r="J134" s="753"/>
      <c r="K134" s="753"/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  <c r="AF134" s="753"/>
      <c r="AG134" s="753"/>
      <c r="AH134" s="753"/>
      <c r="AI134" s="753"/>
      <c r="AJ134" s="753"/>
      <c r="AK134" s="753"/>
      <c r="AL134" s="753"/>
      <c r="AM134" s="753"/>
      <c r="AN134" s="753"/>
      <c r="AO134" s="753"/>
      <c r="AP134" s="753"/>
      <c r="AQ134" s="753"/>
      <c r="AR134" s="753"/>
    </row>
    <row r="135" spans="1:44">
      <c r="A135" s="753"/>
      <c r="B135" s="753"/>
      <c r="C135" s="753"/>
      <c r="D135" s="753"/>
      <c r="E135" s="753"/>
      <c r="F135" s="753"/>
      <c r="G135" s="753"/>
      <c r="H135" s="753"/>
      <c r="I135" s="753"/>
      <c r="J135" s="753"/>
      <c r="K135" s="753"/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  <c r="AF135" s="753"/>
      <c r="AG135" s="753"/>
      <c r="AH135" s="753"/>
      <c r="AI135" s="753"/>
      <c r="AJ135" s="753"/>
      <c r="AK135" s="753"/>
      <c r="AL135" s="753"/>
      <c r="AM135" s="753"/>
      <c r="AN135" s="753"/>
      <c r="AO135" s="753"/>
      <c r="AP135" s="753"/>
      <c r="AQ135" s="753"/>
      <c r="AR135" s="753"/>
    </row>
    <row r="136" spans="1:44">
      <c r="A136" s="753"/>
      <c r="B136" s="753"/>
      <c r="C136" s="753"/>
      <c r="D136" s="753"/>
      <c r="E136" s="753"/>
      <c r="F136" s="753"/>
      <c r="G136" s="753"/>
      <c r="H136" s="753"/>
      <c r="I136" s="753"/>
      <c r="J136" s="753"/>
      <c r="K136" s="753"/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  <c r="AF136" s="753"/>
      <c r="AG136" s="753"/>
      <c r="AH136" s="753"/>
      <c r="AI136" s="753"/>
      <c r="AJ136" s="753"/>
      <c r="AK136" s="753"/>
      <c r="AL136" s="753"/>
      <c r="AM136" s="753"/>
      <c r="AN136" s="753"/>
      <c r="AO136" s="753"/>
      <c r="AP136" s="753"/>
      <c r="AQ136" s="753"/>
      <c r="AR136" s="753"/>
    </row>
    <row r="137" spans="1:44">
      <c r="A137" s="753"/>
      <c r="B137" s="753"/>
      <c r="C137" s="753"/>
      <c r="D137" s="753"/>
      <c r="E137" s="753"/>
      <c r="F137" s="753"/>
      <c r="G137" s="753"/>
      <c r="H137" s="753"/>
      <c r="I137" s="753"/>
      <c r="J137" s="753"/>
      <c r="K137" s="753"/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  <c r="AF137" s="753"/>
      <c r="AG137" s="753"/>
      <c r="AH137" s="753"/>
      <c r="AI137" s="753"/>
      <c r="AJ137" s="753"/>
      <c r="AK137" s="753"/>
      <c r="AL137" s="753"/>
      <c r="AM137" s="753"/>
      <c r="AN137" s="753"/>
      <c r="AO137" s="753"/>
      <c r="AP137" s="753"/>
      <c r="AQ137" s="753"/>
      <c r="AR137" s="753"/>
    </row>
    <row r="138" spans="1:44">
      <c r="A138" s="753"/>
      <c r="B138" s="753"/>
      <c r="C138" s="753"/>
      <c r="D138" s="753"/>
      <c r="E138" s="753"/>
      <c r="F138" s="753"/>
      <c r="G138" s="753"/>
      <c r="H138" s="753"/>
      <c r="I138" s="753"/>
      <c r="J138" s="753"/>
      <c r="K138" s="753"/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  <c r="AF138" s="753"/>
      <c r="AG138" s="753"/>
      <c r="AH138" s="753"/>
      <c r="AI138" s="753"/>
      <c r="AJ138" s="753"/>
      <c r="AK138" s="753"/>
      <c r="AL138" s="753"/>
      <c r="AM138" s="753"/>
      <c r="AN138" s="753"/>
      <c r="AO138" s="753"/>
      <c r="AP138" s="753"/>
      <c r="AQ138" s="753"/>
      <c r="AR138" s="753"/>
    </row>
    <row r="139" spans="1:44">
      <c r="A139" s="753"/>
      <c r="B139" s="753"/>
      <c r="C139" s="753"/>
      <c r="D139" s="753"/>
      <c r="E139" s="753"/>
      <c r="F139" s="753"/>
      <c r="G139" s="753"/>
      <c r="H139" s="753"/>
      <c r="I139" s="753"/>
      <c r="J139" s="753"/>
      <c r="K139" s="753"/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  <c r="AF139" s="753"/>
      <c r="AG139" s="753"/>
      <c r="AH139" s="753"/>
      <c r="AI139" s="753"/>
      <c r="AJ139" s="753"/>
      <c r="AK139" s="753"/>
      <c r="AL139" s="753"/>
      <c r="AM139" s="753"/>
      <c r="AN139" s="753"/>
      <c r="AO139" s="753"/>
      <c r="AP139" s="753"/>
      <c r="AQ139" s="753"/>
      <c r="AR139" s="753"/>
    </row>
    <row r="140" spans="1:44">
      <c r="A140" s="753"/>
      <c r="B140" s="753"/>
      <c r="C140" s="753"/>
      <c r="D140" s="753"/>
      <c r="E140" s="753"/>
      <c r="F140" s="753"/>
      <c r="G140" s="753"/>
      <c r="H140" s="753"/>
      <c r="I140" s="753"/>
      <c r="J140" s="753"/>
      <c r="K140" s="753"/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  <c r="AF140" s="753"/>
      <c r="AG140" s="753"/>
      <c r="AH140" s="753"/>
      <c r="AI140" s="753"/>
      <c r="AJ140" s="753"/>
      <c r="AK140" s="753"/>
      <c r="AL140" s="753"/>
      <c r="AM140" s="753"/>
      <c r="AN140" s="753"/>
      <c r="AO140" s="753"/>
      <c r="AP140" s="753"/>
      <c r="AQ140" s="753"/>
      <c r="AR140" s="753"/>
    </row>
    <row r="141" spans="1:44">
      <c r="A141" s="753"/>
      <c r="B141" s="753"/>
      <c r="C141" s="753"/>
      <c r="D141" s="753"/>
      <c r="E141" s="753"/>
      <c r="F141" s="753"/>
      <c r="G141" s="753"/>
      <c r="H141" s="753"/>
      <c r="I141" s="753"/>
      <c r="J141" s="753"/>
      <c r="K141" s="753"/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  <c r="AF141" s="753"/>
      <c r="AG141" s="753"/>
      <c r="AH141" s="753"/>
      <c r="AI141" s="753"/>
      <c r="AJ141" s="753"/>
      <c r="AK141" s="753"/>
      <c r="AL141" s="753"/>
      <c r="AM141" s="753"/>
      <c r="AN141" s="753"/>
      <c r="AO141" s="753"/>
      <c r="AP141" s="753"/>
      <c r="AQ141" s="753"/>
      <c r="AR141" s="753"/>
    </row>
    <row r="142" spans="1:44">
      <c r="A142" s="753"/>
      <c r="B142" s="753"/>
      <c r="C142" s="753"/>
      <c r="D142" s="753"/>
      <c r="E142" s="753"/>
      <c r="F142" s="753"/>
      <c r="G142" s="753"/>
      <c r="H142" s="753"/>
      <c r="I142" s="753"/>
      <c r="J142" s="753"/>
      <c r="K142" s="753"/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  <c r="AF142" s="753"/>
      <c r="AG142" s="753"/>
      <c r="AH142" s="753"/>
      <c r="AI142" s="753"/>
      <c r="AJ142" s="753"/>
      <c r="AK142" s="753"/>
      <c r="AL142" s="753"/>
      <c r="AM142" s="753"/>
      <c r="AN142" s="753"/>
      <c r="AO142" s="753"/>
      <c r="AP142" s="753"/>
      <c r="AQ142" s="753"/>
      <c r="AR142" s="753"/>
    </row>
    <row r="143" spans="1:44">
      <c r="A143" s="753"/>
      <c r="B143" s="753"/>
      <c r="C143" s="753"/>
      <c r="D143" s="753"/>
      <c r="E143" s="753"/>
      <c r="F143" s="753"/>
      <c r="G143" s="753"/>
      <c r="H143" s="753"/>
      <c r="I143" s="753"/>
      <c r="J143" s="753"/>
      <c r="K143" s="753"/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  <c r="AF143" s="753"/>
      <c r="AG143" s="753"/>
      <c r="AH143" s="753"/>
      <c r="AI143" s="753"/>
      <c r="AJ143" s="753"/>
      <c r="AK143" s="753"/>
      <c r="AL143" s="753"/>
      <c r="AM143" s="753"/>
      <c r="AN143" s="753"/>
      <c r="AO143" s="753"/>
      <c r="AP143" s="753"/>
      <c r="AQ143" s="753"/>
      <c r="AR143" s="753"/>
    </row>
    <row r="144" spans="1:44">
      <c r="A144" s="753"/>
      <c r="B144" s="753"/>
      <c r="C144" s="753"/>
      <c r="D144" s="753"/>
      <c r="E144" s="753"/>
      <c r="F144" s="753"/>
      <c r="G144" s="753"/>
      <c r="H144" s="753"/>
      <c r="I144" s="753"/>
      <c r="J144" s="753"/>
      <c r="K144" s="753"/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  <c r="AF144" s="753"/>
      <c r="AG144" s="753"/>
      <c r="AH144" s="753"/>
      <c r="AI144" s="753"/>
      <c r="AJ144" s="753"/>
      <c r="AK144" s="753"/>
      <c r="AL144" s="753"/>
      <c r="AM144" s="753"/>
      <c r="AN144" s="753"/>
      <c r="AO144" s="753"/>
      <c r="AP144" s="753"/>
      <c r="AQ144" s="753"/>
      <c r="AR144" s="753"/>
    </row>
    <row r="145" spans="1:44">
      <c r="A145" s="753"/>
      <c r="B145" s="753"/>
      <c r="C145" s="753"/>
      <c r="D145" s="753"/>
      <c r="E145" s="753"/>
      <c r="F145" s="753"/>
      <c r="G145" s="753"/>
      <c r="H145" s="753"/>
      <c r="I145" s="753"/>
      <c r="J145" s="753"/>
      <c r="K145" s="753"/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  <c r="AF145" s="753"/>
      <c r="AG145" s="753"/>
      <c r="AH145" s="753"/>
      <c r="AI145" s="753"/>
      <c r="AJ145" s="753"/>
      <c r="AK145" s="753"/>
      <c r="AL145" s="753"/>
      <c r="AM145" s="753"/>
      <c r="AN145" s="753"/>
      <c r="AO145" s="753"/>
      <c r="AP145" s="753"/>
      <c r="AQ145" s="753"/>
      <c r="AR145" s="753"/>
    </row>
    <row r="146" spans="1:44">
      <c r="A146" s="753"/>
      <c r="B146" s="753"/>
      <c r="C146" s="753"/>
      <c r="D146" s="753"/>
      <c r="E146" s="753"/>
      <c r="F146" s="753"/>
      <c r="G146" s="753"/>
      <c r="H146" s="753"/>
      <c r="I146" s="753"/>
      <c r="J146" s="753"/>
      <c r="K146" s="753"/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  <c r="AF146" s="753"/>
      <c r="AG146" s="753"/>
      <c r="AH146" s="753"/>
      <c r="AI146" s="753"/>
      <c r="AJ146" s="753"/>
      <c r="AK146" s="753"/>
      <c r="AL146" s="753"/>
      <c r="AM146" s="753"/>
      <c r="AN146" s="753"/>
      <c r="AO146" s="753"/>
      <c r="AP146" s="753"/>
      <c r="AQ146" s="753"/>
      <c r="AR146" s="753"/>
    </row>
    <row r="147" spans="1:44">
      <c r="A147" s="753"/>
      <c r="B147" s="753"/>
      <c r="C147" s="753"/>
      <c r="D147" s="753"/>
      <c r="E147" s="753"/>
      <c r="F147" s="753"/>
      <c r="G147" s="753"/>
      <c r="H147" s="753"/>
      <c r="I147" s="753"/>
      <c r="J147" s="753"/>
      <c r="K147" s="753"/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  <c r="AF147" s="753"/>
      <c r="AG147" s="753"/>
      <c r="AH147" s="753"/>
      <c r="AI147" s="753"/>
      <c r="AJ147" s="753"/>
      <c r="AK147" s="753"/>
      <c r="AL147" s="753"/>
      <c r="AM147" s="753"/>
      <c r="AN147" s="753"/>
      <c r="AO147" s="753"/>
      <c r="AP147" s="753"/>
      <c r="AQ147" s="753"/>
      <c r="AR147" s="753"/>
    </row>
    <row r="148" spans="1:44">
      <c r="A148" s="753"/>
      <c r="B148" s="753"/>
      <c r="C148" s="753"/>
      <c r="D148" s="753"/>
      <c r="E148" s="753"/>
      <c r="F148" s="753"/>
      <c r="G148" s="753"/>
      <c r="H148" s="753"/>
      <c r="I148" s="753"/>
      <c r="J148" s="753"/>
      <c r="K148" s="753"/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  <c r="AF148" s="753"/>
      <c r="AG148" s="753"/>
      <c r="AH148" s="753"/>
      <c r="AI148" s="753"/>
      <c r="AJ148" s="753"/>
      <c r="AK148" s="753"/>
      <c r="AL148" s="753"/>
      <c r="AM148" s="753"/>
      <c r="AN148" s="753"/>
      <c r="AO148" s="753"/>
      <c r="AP148" s="753"/>
      <c r="AQ148" s="753"/>
      <c r="AR148" s="753"/>
    </row>
    <row r="149" spans="1:44">
      <c r="A149" s="753"/>
      <c r="B149" s="753"/>
      <c r="C149" s="753"/>
      <c r="D149" s="753"/>
      <c r="E149" s="753"/>
      <c r="F149" s="753"/>
      <c r="G149" s="753"/>
      <c r="H149" s="753"/>
      <c r="I149" s="753"/>
      <c r="J149" s="753"/>
      <c r="K149" s="753"/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  <c r="AF149" s="753"/>
      <c r="AG149" s="753"/>
      <c r="AH149" s="753"/>
      <c r="AI149" s="753"/>
      <c r="AJ149" s="753"/>
      <c r="AK149" s="753"/>
      <c r="AL149" s="753"/>
      <c r="AM149" s="753"/>
      <c r="AN149" s="753"/>
      <c r="AO149" s="753"/>
      <c r="AP149" s="753"/>
      <c r="AQ149" s="753"/>
      <c r="AR149" s="753"/>
    </row>
    <row r="150" spans="1:44">
      <c r="A150" s="753"/>
      <c r="B150" s="753"/>
      <c r="C150" s="753"/>
      <c r="D150" s="753"/>
      <c r="E150" s="753"/>
      <c r="F150" s="753"/>
      <c r="G150" s="753"/>
      <c r="H150" s="753"/>
      <c r="I150" s="753"/>
      <c r="J150" s="753"/>
      <c r="K150" s="753"/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  <c r="AF150" s="753"/>
      <c r="AG150" s="753"/>
      <c r="AH150" s="753"/>
      <c r="AI150" s="753"/>
      <c r="AJ150" s="753"/>
      <c r="AK150" s="753"/>
      <c r="AL150" s="753"/>
      <c r="AM150" s="753"/>
      <c r="AN150" s="753"/>
      <c r="AO150" s="753"/>
      <c r="AP150" s="753"/>
      <c r="AQ150" s="753"/>
      <c r="AR150" s="753"/>
    </row>
    <row r="151" spans="1:44">
      <c r="A151" s="753"/>
      <c r="B151" s="753"/>
      <c r="C151" s="753"/>
      <c r="D151" s="753"/>
      <c r="E151" s="753"/>
      <c r="F151" s="753"/>
      <c r="G151" s="753"/>
      <c r="H151" s="753"/>
      <c r="I151" s="753"/>
      <c r="J151" s="753"/>
      <c r="K151" s="753"/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  <c r="AF151" s="753"/>
      <c r="AG151" s="753"/>
      <c r="AH151" s="753"/>
      <c r="AI151" s="753"/>
      <c r="AJ151" s="753"/>
      <c r="AK151" s="753"/>
      <c r="AL151" s="753"/>
      <c r="AM151" s="753"/>
      <c r="AN151" s="753"/>
      <c r="AO151" s="753"/>
      <c r="AP151" s="753"/>
      <c r="AQ151" s="753"/>
      <c r="AR151" s="753"/>
    </row>
    <row r="152" spans="1:44">
      <c r="A152" s="753"/>
      <c r="B152" s="753"/>
      <c r="C152" s="753"/>
      <c r="D152" s="753"/>
      <c r="E152" s="753"/>
      <c r="F152" s="753"/>
      <c r="G152" s="753"/>
      <c r="H152" s="753"/>
      <c r="I152" s="753"/>
      <c r="J152" s="753"/>
      <c r="K152" s="753"/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  <c r="AF152" s="753"/>
      <c r="AG152" s="753"/>
      <c r="AH152" s="753"/>
      <c r="AI152" s="753"/>
      <c r="AJ152" s="753"/>
      <c r="AK152" s="753"/>
      <c r="AL152" s="753"/>
      <c r="AM152" s="753"/>
      <c r="AN152" s="753"/>
      <c r="AO152" s="753"/>
      <c r="AP152" s="753"/>
      <c r="AQ152" s="753"/>
      <c r="AR152" s="753"/>
    </row>
    <row r="153" spans="1:44">
      <c r="A153" s="753"/>
      <c r="B153" s="753"/>
      <c r="C153" s="753"/>
      <c r="D153" s="753"/>
      <c r="E153" s="753"/>
      <c r="F153" s="753"/>
      <c r="G153" s="753"/>
      <c r="H153" s="753"/>
      <c r="I153" s="753"/>
      <c r="J153" s="753"/>
      <c r="K153" s="753"/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  <c r="AF153" s="753"/>
      <c r="AG153" s="753"/>
      <c r="AH153" s="753"/>
      <c r="AI153" s="753"/>
      <c r="AJ153" s="753"/>
      <c r="AK153" s="753"/>
      <c r="AL153" s="753"/>
      <c r="AM153" s="753"/>
      <c r="AN153" s="753"/>
      <c r="AO153" s="753"/>
      <c r="AP153" s="753"/>
      <c r="AQ153" s="753"/>
      <c r="AR153" s="753"/>
    </row>
    <row r="154" spans="1:44">
      <c r="A154" s="753"/>
      <c r="B154" s="753"/>
      <c r="C154" s="753"/>
      <c r="D154" s="753"/>
      <c r="E154" s="753"/>
      <c r="F154" s="753"/>
      <c r="G154" s="753"/>
      <c r="H154" s="753"/>
      <c r="I154" s="753"/>
      <c r="J154" s="753"/>
      <c r="K154" s="753"/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  <c r="AF154" s="753"/>
      <c r="AG154" s="753"/>
      <c r="AH154" s="753"/>
      <c r="AI154" s="753"/>
      <c r="AJ154" s="753"/>
      <c r="AK154" s="753"/>
      <c r="AL154" s="753"/>
      <c r="AM154" s="753"/>
      <c r="AN154" s="753"/>
      <c r="AO154" s="753"/>
      <c r="AP154" s="753"/>
      <c r="AQ154" s="753"/>
      <c r="AR154" s="753"/>
    </row>
    <row r="155" spans="1:44">
      <c r="A155" s="753"/>
      <c r="B155" s="753"/>
      <c r="C155" s="753"/>
      <c r="D155" s="753"/>
      <c r="E155" s="753"/>
      <c r="F155" s="753"/>
      <c r="G155" s="753"/>
      <c r="H155" s="753"/>
      <c r="I155" s="753"/>
      <c r="J155" s="753"/>
      <c r="K155" s="753"/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  <c r="AF155" s="753"/>
      <c r="AG155" s="753"/>
      <c r="AH155" s="753"/>
      <c r="AI155" s="753"/>
      <c r="AJ155" s="753"/>
      <c r="AK155" s="753"/>
      <c r="AL155" s="753"/>
      <c r="AM155" s="753"/>
      <c r="AN155" s="753"/>
      <c r="AO155" s="753"/>
      <c r="AP155" s="753"/>
      <c r="AQ155" s="753"/>
      <c r="AR155" s="753"/>
    </row>
    <row r="156" spans="1:44">
      <c r="A156" s="753"/>
      <c r="B156" s="753"/>
      <c r="C156" s="753"/>
      <c r="D156" s="753"/>
      <c r="E156" s="753"/>
      <c r="F156" s="753"/>
      <c r="G156" s="753"/>
      <c r="H156" s="753"/>
      <c r="I156" s="753"/>
      <c r="J156" s="753"/>
      <c r="K156" s="753"/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  <c r="AF156" s="753"/>
      <c r="AG156" s="753"/>
      <c r="AH156" s="753"/>
      <c r="AI156" s="753"/>
      <c r="AJ156" s="753"/>
      <c r="AK156" s="753"/>
      <c r="AL156" s="753"/>
      <c r="AM156" s="753"/>
      <c r="AN156" s="753"/>
      <c r="AO156" s="753"/>
      <c r="AP156" s="753"/>
      <c r="AQ156" s="753"/>
      <c r="AR156" s="753"/>
    </row>
    <row r="157" spans="1:44">
      <c r="A157" s="753"/>
      <c r="B157" s="753"/>
      <c r="C157" s="753"/>
      <c r="D157" s="753"/>
      <c r="E157" s="753"/>
      <c r="F157" s="753"/>
      <c r="G157" s="753"/>
      <c r="H157" s="753"/>
      <c r="I157" s="753"/>
      <c r="J157" s="753"/>
      <c r="K157" s="753"/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  <c r="AF157" s="753"/>
      <c r="AG157" s="753"/>
      <c r="AH157" s="753"/>
      <c r="AI157" s="753"/>
      <c r="AJ157" s="753"/>
      <c r="AK157" s="753"/>
      <c r="AL157" s="753"/>
      <c r="AM157" s="753"/>
      <c r="AN157" s="753"/>
      <c r="AO157" s="753"/>
      <c r="AP157" s="753"/>
      <c r="AQ157" s="753"/>
      <c r="AR157" s="753"/>
    </row>
    <row r="158" spans="1:44">
      <c r="A158" s="753"/>
      <c r="B158" s="753"/>
      <c r="C158" s="753"/>
      <c r="D158" s="753"/>
      <c r="E158" s="753"/>
      <c r="F158" s="753"/>
      <c r="G158" s="753"/>
      <c r="H158" s="753"/>
      <c r="I158" s="753"/>
      <c r="J158" s="753"/>
      <c r="K158" s="753"/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  <c r="AF158" s="753"/>
      <c r="AG158" s="753"/>
      <c r="AH158" s="753"/>
      <c r="AI158" s="753"/>
      <c r="AJ158" s="753"/>
      <c r="AK158" s="753"/>
      <c r="AL158" s="753"/>
      <c r="AM158" s="753"/>
      <c r="AN158" s="753"/>
      <c r="AO158" s="753"/>
      <c r="AP158" s="753"/>
      <c r="AQ158" s="753"/>
      <c r="AR158" s="753"/>
    </row>
    <row r="159" spans="1:44">
      <c r="A159" s="753"/>
      <c r="B159" s="753"/>
      <c r="C159" s="753"/>
      <c r="D159" s="753"/>
      <c r="E159" s="753"/>
      <c r="F159" s="753"/>
      <c r="G159" s="753"/>
      <c r="H159" s="753"/>
      <c r="I159" s="753"/>
      <c r="J159" s="753"/>
      <c r="K159" s="753"/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  <c r="AF159" s="753"/>
      <c r="AG159" s="753"/>
      <c r="AH159" s="753"/>
      <c r="AI159" s="753"/>
      <c r="AJ159" s="753"/>
      <c r="AK159" s="753"/>
      <c r="AL159" s="753"/>
      <c r="AM159" s="753"/>
      <c r="AN159" s="753"/>
      <c r="AO159" s="753"/>
      <c r="AP159" s="753"/>
      <c r="AQ159" s="753"/>
      <c r="AR159" s="753"/>
    </row>
    <row r="160" spans="1:44">
      <c r="A160" s="753"/>
      <c r="B160" s="753"/>
      <c r="C160" s="753"/>
      <c r="D160" s="753"/>
      <c r="E160" s="753"/>
      <c r="F160" s="753"/>
      <c r="G160" s="753"/>
      <c r="H160" s="753"/>
      <c r="I160" s="753"/>
      <c r="J160" s="753"/>
      <c r="K160" s="753"/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  <c r="AF160" s="753"/>
      <c r="AG160" s="753"/>
      <c r="AH160" s="753"/>
      <c r="AI160" s="753"/>
      <c r="AJ160" s="753"/>
      <c r="AK160" s="753"/>
      <c r="AL160" s="753"/>
      <c r="AM160" s="753"/>
      <c r="AN160" s="753"/>
      <c r="AO160" s="753"/>
      <c r="AP160" s="753"/>
      <c r="AQ160" s="753"/>
      <c r="AR160" s="753"/>
    </row>
    <row r="161" spans="1:44">
      <c r="A161" s="753"/>
      <c r="B161" s="753"/>
      <c r="C161" s="753"/>
      <c r="D161" s="753"/>
      <c r="E161" s="753"/>
      <c r="F161" s="753"/>
      <c r="G161" s="753"/>
      <c r="H161" s="753"/>
      <c r="I161" s="753"/>
      <c r="J161" s="753"/>
      <c r="K161" s="753"/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  <c r="AF161" s="753"/>
      <c r="AG161" s="753"/>
      <c r="AH161" s="753"/>
      <c r="AI161" s="753"/>
      <c r="AJ161" s="753"/>
      <c r="AK161" s="753"/>
      <c r="AL161" s="753"/>
      <c r="AM161" s="753"/>
      <c r="AN161" s="753"/>
      <c r="AO161" s="753"/>
      <c r="AP161" s="753"/>
      <c r="AQ161" s="753"/>
      <c r="AR161" s="753"/>
    </row>
    <row r="162" spans="1:44">
      <c r="A162" s="753"/>
      <c r="B162" s="753"/>
      <c r="C162" s="753"/>
      <c r="D162" s="753"/>
      <c r="E162" s="753"/>
      <c r="F162" s="753"/>
      <c r="G162" s="753"/>
      <c r="H162" s="753"/>
      <c r="I162" s="753"/>
      <c r="J162" s="753"/>
      <c r="K162" s="753"/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  <c r="AF162" s="753"/>
      <c r="AG162" s="753"/>
      <c r="AH162" s="753"/>
      <c r="AI162" s="753"/>
      <c r="AJ162" s="753"/>
      <c r="AK162" s="753"/>
      <c r="AL162" s="753"/>
      <c r="AM162" s="753"/>
      <c r="AN162" s="753"/>
      <c r="AO162" s="753"/>
      <c r="AP162" s="753"/>
      <c r="AQ162" s="753"/>
      <c r="AR162" s="753"/>
    </row>
    <row r="163" spans="1:44">
      <c r="A163" s="753"/>
      <c r="B163" s="753"/>
      <c r="C163" s="753"/>
      <c r="D163" s="753"/>
      <c r="E163" s="753"/>
      <c r="F163" s="753"/>
      <c r="G163" s="753"/>
      <c r="H163" s="753"/>
      <c r="I163" s="753"/>
      <c r="J163" s="753"/>
      <c r="K163" s="753"/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  <c r="AF163" s="753"/>
      <c r="AG163" s="753"/>
      <c r="AH163" s="753"/>
      <c r="AI163" s="753"/>
      <c r="AJ163" s="753"/>
      <c r="AK163" s="753"/>
      <c r="AL163" s="753"/>
      <c r="AM163" s="753"/>
      <c r="AN163" s="753"/>
      <c r="AO163" s="753"/>
      <c r="AP163" s="753"/>
      <c r="AQ163" s="753"/>
      <c r="AR163" s="753"/>
    </row>
    <row r="164" spans="1:44">
      <c r="A164" s="753"/>
      <c r="B164" s="753"/>
      <c r="C164" s="753"/>
      <c r="D164" s="753"/>
      <c r="E164" s="753"/>
      <c r="F164" s="753"/>
      <c r="G164" s="753"/>
      <c r="H164" s="753"/>
      <c r="I164" s="753"/>
      <c r="J164" s="753"/>
      <c r="K164" s="753"/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  <c r="AF164" s="753"/>
      <c r="AG164" s="753"/>
      <c r="AH164" s="753"/>
      <c r="AI164" s="753"/>
      <c r="AJ164" s="753"/>
      <c r="AK164" s="753"/>
      <c r="AL164" s="753"/>
      <c r="AM164" s="753"/>
      <c r="AN164" s="753"/>
      <c r="AO164" s="753"/>
      <c r="AP164" s="753"/>
      <c r="AQ164" s="753"/>
      <c r="AR164" s="753"/>
    </row>
    <row r="165" spans="1:44">
      <c r="A165" s="753"/>
      <c r="B165" s="753"/>
      <c r="C165" s="753"/>
      <c r="D165" s="753"/>
      <c r="E165" s="753"/>
      <c r="F165" s="753"/>
      <c r="G165" s="753"/>
      <c r="H165" s="753"/>
      <c r="I165" s="753"/>
      <c r="J165" s="753"/>
      <c r="K165" s="753"/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  <c r="AF165" s="753"/>
      <c r="AG165" s="753"/>
      <c r="AH165" s="753"/>
      <c r="AI165" s="753"/>
      <c r="AJ165" s="753"/>
      <c r="AK165" s="753"/>
      <c r="AL165" s="753"/>
      <c r="AM165" s="753"/>
      <c r="AN165" s="753"/>
      <c r="AO165" s="753"/>
      <c r="AP165" s="753"/>
      <c r="AQ165" s="753"/>
      <c r="AR165" s="753"/>
    </row>
    <row r="166" spans="1:44">
      <c r="A166" s="753"/>
      <c r="B166" s="753"/>
      <c r="C166" s="753"/>
      <c r="D166" s="753"/>
      <c r="E166" s="753"/>
      <c r="F166" s="753"/>
      <c r="G166" s="753"/>
      <c r="H166" s="753"/>
      <c r="I166" s="753"/>
      <c r="J166" s="753"/>
      <c r="K166" s="753"/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  <c r="AF166" s="753"/>
      <c r="AG166" s="753"/>
      <c r="AH166" s="753"/>
      <c r="AI166" s="753"/>
      <c r="AJ166" s="753"/>
      <c r="AK166" s="753"/>
      <c r="AL166" s="753"/>
      <c r="AM166" s="753"/>
      <c r="AN166" s="753"/>
      <c r="AO166" s="753"/>
      <c r="AP166" s="753"/>
      <c r="AQ166" s="753"/>
      <c r="AR166" s="753"/>
    </row>
    <row r="167" spans="1:44">
      <c r="A167" s="753"/>
      <c r="B167" s="753"/>
      <c r="C167" s="753"/>
      <c r="D167" s="753"/>
      <c r="E167" s="753"/>
      <c r="F167" s="753"/>
      <c r="G167" s="753"/>
      <c r="H167" s="753"/>
      <c r="I167" s="753"/>
      <c r="J167" s="753"/>
      <c r="K167" s="753"/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  <c r="AF167" s="753"/>
      <c r="AG167" s="753"/>
      <c r="AH167" s="753"/>
      <c r="AI167" s="753"/>
      <c r="AJ167" s="753"/>
      <c r="AK167" s="753"/>
      <c r="AL167" s="753"/>
      <c r="AM167" s="753"/>
      <c r="AN167" s="753"/>
      <c r="AO167" s="753"/>
      <c r="AP167" s="753"/>
      <c r="AQ167" s="753"/>
      <c r="AR167" s="753"/>
    </row>
    <row r="168" spans="1:44">
      <c r="A168" s="753"/>
      <c r="B168" s="753"/>
      <c r="C168" s="753"/>
      <c r="D168" s="753"/>
      <c r="E168" s="753"/>
      <c r="F168" s="753"/>
      <c r="G168" s="753"/>
      <c r="H168" s="753"/>
      <c r="I168" s="753"/>
      <c r="J168" s="753"/>
      <c r="K168" s="753"/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  <c r="AF168" s="753"/>
      <c r="AG168" s="753"/>
      <c r="AH168" s="753"/>
      <c r="AI168" s="753"/>
      <c r="AJ168" s="753"/>
      <c r="AK168" s="753"/>
      <c r="AL168" s="753"/>
      <c r="AM168" s="753"/>
      <c r="AN168" s="753"/>
      <c r="AO168" s="753"/>
      <c r="AP168" s="753"/>
      <c r="AQ168" s="753"/>
      <c r="AR168" s="753"/>
    </row>
    <row r="169" spans="1:44">
      <c r="A169" s="753"/>
      <c r="B169" s="753"/>
      <c r="C169" s="753"/>
      <c r="D169" s="753"/>
      <c r="E169" s="753"/>
      <c r="F169" s="753"/>
      <c r="G169" s="753"/>
      <c r="H169" s="753"/>
      <c r="I169" s="753"/>
      <c r="J169" s="753"/>
      <c r="K169" s="753"/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  <c r="AF169" s="753"/>
      <c r="AG169" s="753"/>
      <c r="AH169" s="753"/>
      <c r="AI169" s="753"/>
      <c r="AJ169" s="753"/>
      <c r="AK169" s="753"/>
      <c r="AL169" s="753"/>
      <c r="AM169" s="753"/>
      <c r="AN169" s="753"/>
      <c r="AO169" s="753"/>
      <c r="AP169" s="753"/>
      <c r="AQ169" s="753"/>
      <c r="AR169" s="753"/>
    </row>
    <row r="170" spans="1:44">
      <c r="A170" s="753"/>
      <c r="B170" s="753"/>
      <c r="C170" s="753"/>
      <c r="D170" s="753"/>
      <c r="E170" s="753"/>
      <c r="F170" s="753"/>
      <c r="G170" s="753"/>
      <c r="H170" s="753"/>
      <c r="I170" s="753"/>
      <c r="J170" s="753"/>
      <c r="K170" s="753"/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  <c r="AF170" s="753"/>
      <c r="AG170" s="753"/>
      <c r="AH170" s="753"/>
      <c r="AI170" s="753"/>
      <c r="AJ170" s="753"/>
      <c r="AK170" s="753"/>
      <c r="AL170" s="753"/>
      <c r="AM170" s="753"/>
      <c r="AN170" s="753"/>
      <c r="AO170" s="753"/>
      <c r="AP170" s="753"/>
      <c r="AQ170" s="753"/>
      <c r="AR170" s="753"/>
    </row>
    <row r="171" spans="1:44">
      <c r="A171" s="753"/>
      <c r="B171" s="753"/>
      <c r="C171" s="753"/>
      <c r="D171" s="753"/>
      <c r="E171" s="753"/>
      <c r="F171" s="753"/>
      <c r="G171" s="753"/>
      <c r="H171" s="753"/>
      <c r="I171" s="753"/>
      <c r="J171" s="753"/>
      <c r="K171" s="753"/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  <c r="AF171" s="753"/>
      <c r="AG171" s="753"/>
      <c r="AH171" s="753"/>
      <c r="AI171" s="753"/>
      <c r="AJ171" s="753"/>
      <c r="AK171" s="753"/>
      <c r="AL171" s="753"/>
      <c r="AM171" s="753"/>
      <c r="AN171" s="753"/>
      <c r="AO171" s="753"/>
      <c r="AP171" s="753"/>
      <c r="AQ171" s="753"/>
      <c r="AR171" s="753"/>
    </row>
    <row r="172" spans="1:44">
      <c r="A172" s="753"/>
      <c r="B172" s="753"/>
      <c r="C172" s="753"/>
      <c r="D172" s="753"/>
      <c r="E172" s="753"/>
      <c r="F172" s="753"/>
      <c r="G172" s="753"/>
      <c r="H172" s="753"/>
      <c r="I172" s="753"/>
      <c r="J172" s="753"/>
      <c r="K172" s="753"/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  <c r="AF172" s="753"/>
      <c r="AG172" s="753"/>
      <c r="AH172" s="753"/>
      <c r="AI172" s="753"/>
      <c r="AJ172" s="753"/>
      <c r="AK172" s="753"/>
      <c r="AL172" s="753"/>
      <c r="AM172" s="753"/>
      <c r="AN172" s="753"/>
      <c r="AO172" s="753"/>
      <c r="AP172" s="753"/>
      <c r="AQ172" s="753"/>
      <c r="AR172" s="753"/>
    </row>
    <row r="173" spans="1:44">
      <c r="A173" s="753"/>
      <c r="B173" s="753"/>
      <c r="C173" s="753"/>
      <c r="D173" s="753"/>
      <c r="E173" s="753"/>
      <c r="F173" s="753"/>
      <c r="G173" s="753"/>
      <c r="H173" s="753"/>
      <c r="I173" s="753"/>
      <c r="J173" s="753"/>
      <c r="K173" s="753"/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  <c r="AF173" s="753"/>
      <c r="AG173" s="753"/>
      <c r="AH173" s="753"/>
      <c r="AI173" s="753"/>
      <c r="AJ173" s="753"/>
      <c r="AK173" s="753"/>
      <c r="AL173" s="753"/>
      <c r="AM173" s="753"/>
      <c r="AN173" s="753"/>
      <c r="AO173" s="753"/>
      <c r="AP173" s="753"/>
      <c r="AQ173" s="753"/>
      <c r="AR173" s="753"/>
    </row>
    <row r="174" spans="1:44">
      <c r="A174" s="753"/>
      <c r="B174" s="753"/>
      <c r="C174" s="753"/>
      <c r="D174" s="753"/>
      <c r="E174" s="753"/>
      <c r="F174" s="753"/>
      <c r="G174" s="753"/>
      <c r="H174" s="753"/>
      <c r="I174" s="753"/>
      <c r="J174" s="753"/>
      <c r="K174" s="753"/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  <c r="AF174" s="753"/>
      <c r="AG174" s="753"/>
      <c r="AH174" s="753"/>
      <c r="AI174" s="753"/>
      <c r="AJ174" s="753"/>
      <c r="AK174" s="753"/>
      <c r="AL174" s="753"/>
      <c r="AM174" s="753"/>
      <c r="AN174" s="753"/>
      <c r="AO174" s="753"/>
      <c r="AP174" s="753"/>
      <c r="AQ174" s="753"/>
      <c r="AR174" s="753"/>
    </row>
    <row r="175" spans="1:44">
      <c r="A175" s="753"/>
      <c r="B175" s="753"/>
      <c r="C175" s="753"/>
      <c r="D175" s="753"/>
      <c r="E175" s="753"/>
      <c r="F175" s="753"/>
      <c r="G175" s="753"/>
      <c r="H175" s="753"/>
      <c r="I175" s="753"/>
      <c r="J175" s="753"/>
      <c r="K175" s="753"/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  <c r="AF175" s="753"/>
      <c r="AG175" s="753"/>
      <c r="AH175" s="753"/>
      <c r="AI175" s="753"/>
      <c r="AJ175" s="753"/>
      <c r="AK175" s="753"/>
      <c r="AL175" s="753"/>
      <c r="AM175" s="753"/>
      <c r="AN175" s="753"/>
      <c r="AO175" s="753"/>
      <c r="AP175" s="753"/>
      <c r="AQ175" s="753"/>
      <c r="AR175" s="753"/>
    </row>
    <row r="176" spans="1:44">
      <c r="A176" s="753"/>
      <c r="B176" s="753"/>
      <c r="C176" s="753"/>
      <c r="D176" s="753"/>
      <c r="E176" s="753"/>
      <c r="F176" s="753"/>
      <c r="G176" s="753"/>
      <c r="H176" s="753"/>
      <c r="I176" s="753"/>
      <c r="J176" s="753"/>
      <c r="K176" s="753"/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  <c r="AF176" s="753"/>
      <c r="AG176" s="753"/>
      <c r="AH176" s="753"/>
      <c r="AI176" s="753"/>
      <c r="AJ176" s="753"/>
      <c r="AK176" s="753"/>
      <c r="AL176" s="753"/>
      <c r="AM176" s="753"/>
      <c r="AN176" s="753"/>
      <c r="AO176" s="753"/>
      <c r="AP176" s="753"/>
      <c r="AQ176" s="753"/>
      <c r="AR176" s="753"/>
    </row>
    <row r="177" spans="1:44">
      <c r="A177" s="753"/>
      <c r="B177" s="753"/>
      <c r="C177" s="753"/>
      <c r="D177" s="753"/>
      <c r="E177" s="753"/>
      <c r="F177" s="753"/>
      <c r="G177" s="753"/>
      <c r="H177" s="753"/>
      <c r="I177" s="753"/>
      <c r="J177" s="753"/>
      <c r="K177" s="753"/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  <c r="AF177" s="753"/>
      <c r="AG177" s="753"/>
      <c r="AH177" s="753"/>
      <c r="AI177" s="753"/>
      <c r="AJ177" s="753"/>
      <c r="AK177" s="753"/>
      <c r="AL177" s="753"/>
      <c r="AM177" s="753"/>
      <c r="AN177" s="753"/>
      <c r="AO177" s="753"/>
      <c r="AP177" s="753"/>
      <c r="AQ177" s="753"/>
      <c r="AR177" s="753"/>
    </row>
    <row r="178" spans="1:44">
      <c r="A178" s="753"/>
      <c r="B178" s="753"/>
      <c r="C178" s="753"/>
      <c r="D178" s="753"/>
      <c r="E178" s="753"/>
      <c r="F178" s="753"/>
      <c r="G178" s="753"/>
      <c r="H178" s="753"/>
      <c r="I178" s="753"/>
      <c r="J178" s="753"/>
      <c r="K178" s="753"/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  <c r="AF178" s="753"/>
      <c r="AG178" s="753"/>
      <c r="AH178" s="753"/>
      <c r="AI178" s="753"/>
      <c r="AJ178" s="753"/>
      <c r="AK178" s="753"/>
      <c r="AL178" s="753"/>
      <c r="AM178" s="753"/>
      <c r="AN178" s="753"/>
      <c r="AO178" s="753"/>
      <c r="AP178" s="753"/>
      <c r="AQ178" s="753"/>
      <c r="AR178" s="753"/>
    </row>
    <row r="179" spans="1:44">
      <c r="A179" s="753"/>
      <c r="B179" s="753"/>
      <c r="C179" s="753"/>
      <c r="D179" s="753"/>
      <c r="E179" s="753"/>
      <c r="F179" s="753"/>
      <c r="G179" s="753"/>
      <c r="H179" s="753"/>
      <c r="I179" s="753"/>
      <c r="J179" s="753"/>
      <c r="K179" s="753"/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  <c r="AF179" s="753"/>
      <c r="AG179" s="753"/>
      <c r="AH179" s="753"/>
      <c r="AI179" s="753"/>
      <c r="AJ179" s="753"/>
      <c r="AK179" s="753"/>
      <c r="AL179" s="753"/>
      <c r="AM179" s="753"/>
      <c r="AN179" s="753"/>
      <c r="AO179" s="753"/>
      <c r="AP179" s="753"/>
      <c r="AQ179" s="753"/>
      <c r="AR179" s="753"/>
    </row>
    <row r="180" spans="1:44">
      <c r="A180" s="753"/>
      <c r="B180" s="753"/>
      <c r="C180" s="753"/>
      <c r="D180" s="753"/>
      <c r="E180" s="753"/>
      <c r="F180" s="753"/>
      <c r="G180" s="753"/>
      <c r="H180" s="753"/>
      <c r="I180" s="753"/>
      <c r="J180" s="753"/>
      <c r="K180" s="753"/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  <c r="AF180" s="753"/>
      <c r="AG180" s="753"/>
      <c r="AH180" s="753"/>
      <c r="AI180" s="753"/>
      <c r="AJ180" s="753"/>
      <c r="AK180" s="753"/>
      <c r="AL180" s="753"/>
      <c r="AM180" s="753"/>
      <c r="AN180" s="753"/>
      <c r="AO180" s="753"/>
      <c r="AP180" s="753"/>
      <c r="AQ180" s="753"/>
      <c r="AR180" s="753"/>
    </row>
    <row r="181" spans="1:44">
      <c r="A181" s="753"/>
      <c r="B181" s="753"/>
      <c r="C181" s="753"/>
      <c r="D181" s="753"/>
      <c r="E181" s="753"/>
      <c r="F181" s="753"/>
      <c r="G181" s="753"/>
      <c r="H181" s="753"/>
      <c r="I181" s="753"/>
      <c r="J181" s="753"/>
      <c r="K181" s="753"/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  <c r="AF181" s="753"/>
      <c r="AG181" s="753"/>
      <c r="AH181" s="753"/>
      <c r="AI181" s="753"/>
      <c r="AJ181" s="753"/>
      <c r="AK181" s="753"/>
      <c r="AL181" s="753"/>
      <c r="AM181" s="753"/>
      <c r="AN181" s="753"/>
      <c r="AO181" s="753"/>
      <c r="AP181" s="753"/>
      <c r="AQ181" s="753"/>
      <c r="AR181" s="753"/>
    </row>
    <row r="182" spans="1:44">
      <c r="A182" s="753"/>
      <c r="B182" s="753"/>
      <c r="C182" s="753"/>
      <c r="D182" s="753"/>
      <c r="E182" s="753"/>
      <c r="F182" s="753"/>
      <c r="G182" s="753"/>
      <c r="H182" s="753"/>
      <c r="I182" s="753"/>
      <c r="J182" s="753"/>
      <c r="K182" s="753"/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  <c r="AF182" s="753"/>
      <c r="AG182" s="753"/>
      <c r="AH182" s="753"/>
      <c r="AI182" s="753"/>
      <c r="AJ182" s="753"/>
      <c r="AK182" s="753"/>
      <c r="AL182" s="753"/>
      <c r="AM182" s="753"/>
      <c r="AN182" s="753"/>
      <c r="AO182" s="753"/>
      <c r="AP182" s="753"/>
      <c r="AQ182" s="753"/>
      <c r="AR182" s="753"/>
    </row>
    <row r="183" spans="1:44">
      <c r="A183" s="753"/>
      <c r="B183" s="753"/>
      <c r="C183" s="753"/>
      <c r="D183" s="753"/>
      <c r="E183" s="753"/>
      <c r="F183" s="753"/>
      <c r="G183" s="753"/>
      <c r="H183" s="753"/>
      <c r="I183" s="753"/>
      <c r="J183" s="753"/>
      <c r="K183" s="753"/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  <c r="AF183" s="753"/>
      <c r="AG183" s="753"/>
      <c r="AH183" s="753"/>
      <c r="AI183" s="753"/>
      <c r="AJ183" s="753"/>
      <c r="AK183" s="753"/>
      <c r="AL183" s="753"/>
      <c r="AM183" s="753"/>
      <c r="AN183" s="753"/>
      <c r="AO183" s="753"/>
      <c r="AP183" s="753"/>
      <c r="AQ183" s="753"/>
      <c r="AR183" s="753"/>
    </row>
    <row r="184" spans="1:44">
      <c r="A184" s="753"/>
      <c r="B184" s="753"/>
      <c r="C184" s="753"/>
      <c r="D184" s="753"/>
      <c r="E184" s="753"/>
      <c r="F184" s="753"/>
      <c r="G184" s="753"/>
      <c r="H184" s="753"/>
      <c r="I184" s="753"/>
      <c r="J184" s="753"/>
      <c r="K184" s="753"/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  <c r="AF184" s="753"/>
      <c r="AG184" s="753"/>
      <c r="AH184" s="753"/>
      <c r="AI184" s="753"/>
      <c r="AJ184" s="753"/>
      <c r="AK184" s="753"/>
      <c r="AL184" s="753"/>
      <c r="AM184" s="753"/>
      <c r="AN184" s="753"/>
      <c r="AO184" s="753"/>
      <c r="AP184" s="753"/>
      <c r="AQ184" s="753"/>
      <c r="AR184" s="753"/>
    </row>
    <row r="185" spans="1:44">
      <c r="A185" s="753"/>
      <c r="B185" s="753"/>
      <c r="C185" s="753"/>
      <c r="D185" s="753"/>
      <c r="E185" s="753"/>
      <c r="F185" s="753"/>
      <c r="G185" s="753"/>
      <c r="H185" s="753"/>
      <c r="I185" s="753"/>
      <c r="J185" s="753"/>
      <c r="K185" s="753"/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  <c r="AF185" s="753"/>
      <c r="AG185" s="753"/>
      <c r="AH185" s="753"/>
      <c r="AI185" s="753"/>
      <c r="AJ185" s="753"/>
      <c r="AK185" s="753"/>
      <c r="AL185" s="753"/>
      <c r="AM185" s="753"/>
      <c r="AN185" s="753"/>
      <c r="AO185" s="753"/>
      <c r="AP185" s="753"/>
      <c r="AQ185" s="753"/>
      <c r="AR185" s="753"/>
    </row>
    <row r="186" spans="1:44">
      <c r="A186" s="753"/>
      <c r="B186" s="753"/>
      <c r="C186" s="753"/>
      <c r="D186" s="753"/>
      <c r="E186" s="753"/>
      <c r="F186" s="753"/>
      <c r="G186" s="753"/>
      <c r="H186" s="753"/>
      <c r="I186" s="753"/>
      <c r="J186" s="753"/>
      <c r="K186" s="753"/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  <c r="AF186" s="753"/>
      <c r="AG186" s="753"/>
      <c r="AH186" s="753"/>
      <c r="AI186" s="753"/>
      <c r="AJ186" s="753"/>
      <c r="AK186" s="753"/>
      <c r="AL186" s="753"/>
      <c r="AM186" s="753"/>
      <c r="AN186" s="753"/>
      <c r="AO186" s="753"/>
      <c r="AP186" s="753"/>
      <c r="AQ186" s="753"/>
      <c r="AR186" s="753"/>
    </row>
    <row r="187" spans="1:44">
      <c r="A187" s="753"/>
      <c r="B187" s="753"/>
      <c r="C187" s="753"/>
      <c r="D187" s="753"/>
      <c r="E187" s="753"/>
      <c r="F187" s="753"/>
      <c r="G187" s="753"/>
      <c r="H187" s="753"/>
      <c r="I187" s="753"/>
      <c r="J187" s="753"/>
      <c r="K187" s="753"/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  <c r="AF187" s="753"/>
      <c r="AG187" s="753"/>
      <c r="AH187" s="753"/>
      <c r="AI187" s="753"/>
      <c r="AJ187" s="753"/>
      <c r="AK187" s="753"/>
      <c r="AL187" s="753"/>
      <c r="AM187" s="753"/>
      <c r="AN187" s="753"/>
      <c r="AO187" s="753"/>
      <c r="AP187" s="753"/>
      <c r="AQ187" s="753"/>
      <c r="AR187" s="753"/>
    </row>
    <row r="188" spans="1:44">
      <c r="A188" s="753"/>
      <c r="B188" s="753"/>
      <c r="C188" s="753"/>
      <c r="D188" s="753"/>
      <c r="E188" s="753"/>
      <c r="F188" s="753"/>
      <c r="G188" s="753"/>
      <c r="H188" s="753"/>
      <c r="I188" s="753"/>
      <c r="J188" s="753"/>
      <c r="K188" s="753"/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  <c r="AF188" s="753"/>
      <c r="AG188" s="753"/>
      <c r="AH188" s="753"/>
      <c r="AI188" s="753"/>
      <c r="AJ188" s="753"/>
      <c r="AK188" s="753"/>
      <c r="AL188" s="753"/>
      <c r="AM188" s="753"/>
      <c r="AN188" s="753"/>
      <c r="AO188" s="753"/>
      <c r="AP188" s="753"/>
      <c r="AQ188" s="753"/>
      <c r="AR188" s="753"/>
    </row>
    <row r="189" spans="1:44">
      <c r="A189" s="753"/>
      <c r="B189" s="753"/>
      <c r="C189" s="753"/>
      <c r="D189" s="753"/>
      <c r="E189" s="753"/>
      <c r="F189" s="753"/>
      <c r="G189" s="753"/>
      <c r="H189" s="753"/>
      <c r="I189" s="753"/>
      <c r="J189" s="753"/>
      <c r="K189" s="753"/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  <c r="AF189" s="753"/>
      <c r="AG189" s="753"/>
      <c r="AH189" s="753"/>
      <c r="AI189" s="753"/>
      <c r="AJ189" s="753"/>
      <c r="AK189" s="753"/>
      <c r="AL189" s="753"/>
      <c r="AM189" s="753"/>
      <c r="AN189" s="753"/>
      <c r="AO189" s="753"/>
      <c r="AP189" s="753"/>
      <c r="AQ189" s="753"/>
      <c r="AR189" s="753"/>
    </row>
    <row r="190" spans="1:44">
      <c r="A190" s="753"/>
      <c r="B190" s="753"/>
      <c r="C190" s="753"/>
      <c r="D190" s="753"/>
      <c r="E190" s="753"/>
      <c r="F190" s="753"/>
      <c r="G190" s="753"/>
      <c r="H190" s="753"/>
      <c r="I190" s="753"/>
      <c r="J190" s="753"/>
      <c r="K190" s="753"/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  <c r="AF190" s="753"/>
      <c r="AG190" s="753"/>
      <c r="AH190" s="753"/>
      <c r="AI190" s="753"/>
      <c r="AJ190" s="753"/>
      <c r="AK190" s="753"/>
      <c r="AL190" s="753"/>
      <c r="AM190" s="753"/>
      <c r="AN190" s="753"/>
      <c r="AO190" s="753"/>
      <c r="AP190" s="753"/>
      <c r="AQ190" s="753"/>
      <c r="AR190" s="753"/>
    </row>
    <row r="191" spans="1:44">
      <c r="A191" s="753"/>
      <c r="B191" s="753"/>
      <c r="C191" s="753"/>
      <c r="D191" s="753"/>
      <c r="E191" s="753"/>
      <c r="F191" s="753"/>
      <c r="G191" s="753"/>
      <c r="H191" s="753"/>
      <c r="I191" s="753"/>
      <c r="J191" s="753"/>
      <c r="K191" s="753"/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  <c r="AF191" s="753"/>
      <c r="AG191" s="753"/>
      <c r="AH191" s="753"/>
      <c r="AI191" s="753"/>
      <c r="AJ191" s="753"/>
      <c r="AK191" s="753"/>
      <c r="AL191" s="753"/>
      <c r="AM191" s="753"/>
      <c r="AN191" s="753"/>
      <c r="AO191" s="753"/>
      <c r="AP191" s="753"/>
      <c r="AQ191" s="753"/>
      <c r="AR191" s="753"/>
    </row>
    <row r="192" spans="1:44">
      <c r="A192" s="753"/>
      <c r="B192" s="753"/>
      <c r="C192" s="753"/>
      <c r="D192" s="753"/>
      <c r="E192" s="753"/>
      <c r="F192" s="753"/>
      <c r="G192" s="753"/>
      <c r="H192" s="753"/>
      <c r="I192" s="753"/>
      <c r="J192" s="753"/>
      <c r="K192" s="753"/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  <c r="AF192" s="753"/>
      <c r="AG192" s="753"/>
      <c r="AH192" s="753"/>
      <c r="AI192" s="753"/>
      <c r="AJ192" s="753"/>
      <c r="AK192" s="753"/>
      <c r="AL192" s="753"/>
      <c r="AM192" s="753"/>
      <c r="AN192" s="753"/>
      <c r="AO192" s="753"/>
      <c r="AP192" s="753"/>
      <c r="AQ192" s="753"/>
      <c r="AR192" s="753"/>
    </row>
    <row r="193" spans="1:44">
      <c r="A193" s="753"/>
      <c r="B193" s="753"/>
      <c r="C193" s="753"/>
      <c r="D193" s="753"/>
      <c r="E193" s="753"/>
      <c r="F193" s="753"/>
      <c r="G193" s="753"/>
      <c r="H193" s="753"/>
      <c r="I193" s="753"/>
      <c r="J193" s="753"/>
      <c r="K193" s="753"/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  <c r="AF193" s="753"/>
      <c r="AG193" s="753"/>
      <c r="AH193" s="753"/>
      <c r="AI193" s="753"/>
      <c r="AJ193" s="753"/>
      <c r="AK193" s="753"/>
      <c r="AL193" s="753"/>
      <c r="AM193" s="753"/>
      <c r="AN193" s="753"/>
      <c r="AO193" s="753"/>
      <c r="AP193" s="753"/>
      <c r="AQ193" s="753"/>
      <c r="AR193" s="753"/>
    </row>
    <row r="194" spans="1:44">
      <c r="A194" s="753"/>
      <c r="B194" s="753"/>
      <c r="C194" s="753"/>
      <c r="D194" s="753"/>
      <c r="E194" s="753"/>
      <c r="F194" s="753"/>
      <c r="G194" s="753"/>
      <c r="H194" s="753"/>
      <c r="I194" s="753"/>
      <c r="J194" s="753"/>
      <c r="K194" s="753"/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  <c r="AF194" s="753"/>
      <c r="AG194" s="753"/>
      <c r="AH194" s="753"/>
      <c r="AI194" s="753"/>
      <c r="AJ194" s="753"/>
      <c r="AK194" s="753"/>
      <c r="AL194" s="753"/>
      <c r="AM194" s="753"/>
      <c r="AN194" s="753"/>
      <c r="AO194" s="753"/>
      <c r="AP194" s="753"/>
      <c r="AQ194" s="753"/>
      <c r="AR194" s="753"/>
    </row>
    <row r="195" spans="1:44">
      <c r="A195" s="753"/>
      <c r="B195" s="753"/>
      <c r="C195" s="753"/>
      <c r="D195" s="753"/>
      <c r="E195" s="753"/>
      <c r="F195" s="753"/>
      <c r="G195" s="753"/>
      <c r="H195" s="753"/>
      <c r="I195" s="753"/>
      <c r="J195" s="753"/>
      <c r="K195" s="753"/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  <c r="AF195" s="753"/>
      <c r="AG195" s="753"/>
      <c r="AH195" s="753"/>
      <c r="AI195" s="753"/>
      <c r="AJ195" s="753"/>
      <c r="AK195" s="753"/>
      <c r="AL195" s="753"/>
      <c r="AM195" s="753"/>
      <c r="AN195" s="753"/>
      <c r="AO195" s="753"/>
      <c r="AP195" s="753"/>
      <c r="AQ195" s="753"/>
      <c r="AR195" s="753"/>
    </row>
    <row r="196" spans="1:44">
      <c r="A196" s="753"/>
      <c r="B196" s="753"/>
      <c r="C196" s="753"/>
      <c r="D196" s="753"/>
      <c r="E196" s="753"/>
      <c r="F196" s="753"/>
      <c r="G196" s="753"/>
      <c r="H196" s="753"/>
      <c r="I196" s="753"/>
      <c r="J196" s="753"/>
      <c r="K196" s="753"/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  <c r="AF196" s="753"/>
      <c r="AG196" s="753"/>
      <c r="AH196" s="753"/>
      <c r="AI196" s="753"/>
      <c r="AJ196" s="753"/>
      <c r="AK196" s="753"/>
      <c r="AL196" s="753"/>
      <c r="AM196" s="753"/>
      <c r="AN196" s="753"/>
      <c r="AO196" s="753"/>
      <c r="AP196" s="753"/>
      <c r="AQ196" s="753"/>
      <c r="AR196" s="753"/>
    </row>
    <row r="197" spans="1:44">
      <c r="A197" s="753"/>
      <c r="B197" s="753"/>
      <c r="C197" s="753"/>
      <c r="D197" s="753"/>
      <c r="E197" s="753"/>
      <c r="F197" s="753"/>
      <c r="G197" s="753"/>
      <c r="H197" s="753"/>
      <c r="I197" s="753"/>
      <c r="J197" s="753"/>
      <c r="K197" s="753"/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  <c r="AF197" s="753"/>
      <c r="AG197" s="753"/>
      <c r="AH197" s="753"/>
      <c r="AI197" s="753"/>
      <c r="AJ197" s="753"/>
      <c r="AK197" s="753"/>
      <c r="AL197" s="753"/>
      <c r="AM197" s="753"/>
      <c r="AN197" s="753"/>
      <c r="AO197" s="753"/>
      <c r="AP197" s="753"/>
      <c r="AQ197" s="753"/>
      <c r="AR197" s="753"/>
    </row>
    <row r="198" spans="1:44">
      <c r="A198" s="753"/>
      <c r="B198" s="753"/>
      <c r="C198" s="753"/>
      <c r="D198" s="753"/>
      <c r="E198" s="753"/>
      <c r="F198" s="753"/>
      <c r="G198" s="753"/>
      <c r="H198" s="753"/>
      <c r="I198" s="753"/>
      <c r="J198" s="753"/>
      <c r="K198" s="753"/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  <c r="AF198" s="753"/>
      <c r="AG198" s="753"/>
      <c r="AH198" s="753"/>
      <c r="AI198" s="753"/>
      <c r="AJ198" s="753"/>
      <c r="AK198" s="753"/>
      <c r="AL198" s="753"/>
      <c r="AM198" s="753"/>
      <c r="AN198" s="753"/>
      <c r="AO198" s="753"/>
      <c r="AP198" s="753"/>
      <c r="AQ198" s="753"/>
      <c r="AR198" s="753"/>
    </row>
    <row r="199" spans="1:44">
      <c r="A199" s="753"/>
      <c r="B199" s="753"/>
      <c r="C199" s="753"/>
      <c r="D199" s="753"/>
      <c r="E199" s="753"/>
      <c r="F199" s="753"/>
      <c r="G199" s="753"/>
      <c r="H199" s="753"/>
      <c r="I199" s="753"/>
      <c r="J199" s="753"/>
      <c r="K199" s="753"/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  <c r="AF199" s="753"/>
      <c r="AG199" s="753"/>
      <c r="AH199" s="753"/>
      <c r="AI199" s="753"/>
      <c r="AJ199" s="753"/>
      <c r="AK199" s="753"/>
      <c r="AL199" s="753"/>
      <c r="AM199" s="753"/>
      <c r="AN199" s="753"/>
      <c r="AO199" s="753"/>
      <c r="AP199" s="753"/>
      <c r="AQ199" s="753"/>
      <c r="AR199" s="753"/>
    </row>
    <row r="200" spans="1:44">
      <c r="A200" s="753"/>
      <c r="B200" s="753"/>
      <c r="C200" s="753"/>
      <c r="D200" s="753"/>
      <c r="E200" s="753"/>
      <c r="F200" s="753"/>
      <c r="G200" s="753"/>
      <c r="H200" s="753"/>
      <c r="I200" s="753"/>
      <c r="J200" s="753"/>
      <c r="K200" s="753"/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  <c r="AF200" s="753"/>
      <c r="AG200" s="753"/>
      <c r="AH200" s="753"/>
      <c r="AI200" s="753"/>
      <c r="AJ200" s="753"/>
      <c r="AK200" s="753"/>
      <c r="AL200" s="753"/>
      <c r="AM200" s="753"/>
      <c r="AN200" s="753"/>
      <c r="AO200" s="753"/>
      <c r="AP200" s="753"/>
      <c r="AQ200" s="753"/>
      <c r="AR200" s="753"/>
    </row>
    <row r="201" spans="1:44">
      <c r="A201" s="753"/>
      <c r="B201" s="753"/>
      <c r="C201" s="753"/>
      <c r="D201" s="753"/>
      <c r="E201" s="753"/>
      <c r="F201" s="753"/>
      <c r="G201" s="753"/>
      <c r="H201" s="753"/>
      <c r="I201" s="753"/>
      <c r="J201" s="753"/>
      <c r="K201" s="753"/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  <c r="AF201" s="753"/>
      <c r="AG201" s="753"/>
      <c r="AH201" s="753"/>
      <c r="AI201" s="753"/>
      <c r="AJ201" s="753"/>
      <c r="AK201" s="753"/>
      <c r="AL201" s="753"/>
      <c r="AM201" s="753"/>
      <c r="AN201" s="753"/>
      <c r="AO201" s="753"/>
      <c r="AP201" s="753"/>
      <c r="AQ201" s="753"/>
      <c r="AR201" s="753"/>
    </row>
    <row r="202" spans="1:44">
      <c r="A202" s="753"/>
      <c r="B202" s="753"/>
      <c r="C202" s="753"/>
      <c r="D202" s="753"/>
      <c r="E202" s="753"/>
      <c r="F202" s="753"/>
      <c r="G202" s="753"/>
      <c r="H202" s="753"/>
      <c r="I202" s="753"/>
      <c r="J202" s="753"/>
      <c r="K202" s="753"/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  <c r="AF202" s="753"/>
      <c r="AG202" s="753"/>
      <c r="AH202" s="753"/>
      <c r="AI202" s="753"/>
      <c r="AJ202" s="753"/>
      <c r="AK202" s="753"/>
      <c r="AL202" s="753"/>
      <c r="AM202" s="753"/>
      <c r="AN202" s="753"/>
      <c r="AO202" s="753"/>
      <c r="AP202" s="753"/>
      <c r="AQ202" s="753"/>
      <c r="AR202" s="753"/>
    </row>
    <row r="203" spans="1:44">
      <c r="A203" s="753"/>
      <c r="B203" s="753"/>
      <c r="C203" s="753"/>
      <c r="D203" s="753"/>
      <c r="E203" s="753"/>
      <c r="F203" s="753"/>
      <c r="G203" s="753"/>
      <c r="H203" s="753"/>
      <c r="I203" s="753"/>
      <c r="J203" s="753"/>
      <c r="K203" s="753"/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  <c r="AF203" s="753"/>
      <c r="AG203" s="753"/>
      <c r="AH203" s="753"/>
      <c r="AI203" s="753"/>
      <c r="AJ203" s="753"/>
      <c r="AK203" s="753"/>
      <c r="AL203" s="753"/>
      <c r="AM203" s="753"/>
      <c r="AN203" s="753"/>
      <c r="AO203" s="753"/>
      <c r="AP203" s="753"/>
      <c r="AQ203" s="753"/>
      <c r="AR203" s="753"/>
    </row>
    <row r="204" spans="1:44">
      <c r="A204" s="753"/>
      <c r="B204" s="753"/>
      <c r="C204" s="753"/>
      <c r="D204" s="753"/>
      <c r="E204" s="753"/>
      <c r="F204" s="753"/>
      <c r="G204" s="753"/>
      <c r="H204" s="753"/>
      <c r="I204" s="753"/>
      <c r="J204" s="753"/>
      <c r="K204" s="753"/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  <c r="AF204" s="753"/>
      <c r="AG204" s="753"/>
      <c r="AH204" s="753"/>
      <c r="AI204" s="753"/>
      <c r="AJ204" s="753"/>
      <c r="AK204" s="753"/>
      <c r="AL204" s="753"/>
      <c r="AM204" s="753"/>
      <c r="AN204" s="753"/>
      <c r="AO204" s="753"/>
      <c r="AP204" s="753"/>
      <c r="AQ204" s="753"/>
      <c r="AR204" s="753"/>
    </row>
    <row r="205" spans="1:44">
      <c r="A205" s="753"/>
      <c r="B205" s="753"/>
      <c r="C205" s="753"/>
      <c r="D205" s="753"/>
      <c r="E205" s="753"/>
      <c r="F205" s="753"/>
      <c r="G205" s="753"/>
      <c r="H205" s="753"/>
      <c r="I205" s="753"/>
      <c r="J205" s="753"/>
      <c r="K205" s="753"/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  <c r="AF205" s="753"/>
      <c r="AG205" s="753"/>
      <c r="AH205" s="753"/>
      <c r="AI205" s="753"/>
      <c r="AJ205" s="753"/>
      <c r="AK205" s="753"/>
      <c r="AL205" s="753"/>
      <c r="AM205" s="753"/>
      <c r="AN205" s="753"/>
      <c r="AO205" s="753"/>
      <c r="AP205" s="753"/>
      <c r="AQ205" s="753"/>
      <c r="AR205" s="753"/>
    </row>
    <row r="206" spans="1:44">
      <c r="A206" s="753"/>
      <c r="B206" s="753"/>
      <c r="C206" s="753"/>
      <c r="D206" s="753"/>
      <c r="E206" s="753"/>
      <c r="F206" s="753"/>
      <c r="G206" s="753"/>
      <c r="H206" s="753"/>
      <c r="I206" s="753"/>
      <c r="J206" s="753"/>
      <c r="K206" s="753"/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  <c r="AF206" s="753"/>
      <c r="AG206" s="753"/>
      <c r="AH206" s="753"/>
      <c r="AI206" s="753"/>
      <c r="AJ206" s="753"/>
      <c r="AK206" s="753"/>
      <c r="AL206" s="753"/>
      <c r="AM206" s="753"/>
      <c r="AN206" s="753"/>
      <c r="AO206" s="753"/>
      <c r="AP206" s="753"/>
      <c r="AQ206" s="753"/>
      <c r="AR206" s="753"/>
    </row>
    <row r="207" spans="1:44">
      <c r="A207" s="753"/>
      <c r="B207" s="753"/>
      <c r="C207" s="753"/>
      <c r="D207" s="753"/>
      <c r="E207" s="753"/>
      <c r="F207" s="753"/>
      <c r="G207" s="753"/>
      <c r="H207" s="753"/>
      <c r="I207" s="753"/>
      <c r="J207" s="753"/>
      <c r="K207" s="753"/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  <c r="AF207" s="753"/>
      <c r="AG207" s="753"/>
      <c r="AH207" s="753"/>
      <c r="AI207" s="753"/>
      <c r="AJ207" s="753"/>
      <c r="AK207" s="753"/>
      <c r="AL207" s="753"/>
      <c r="AM207" s="753"/>
      <c r="AN207" s="753"/>
      <c r="AO207" s="753"/>
      <c r="AP207" s="753"/>
      <c r="AQ207" s="753"/>
      <c r="AR207" s="753"/>
    </row>
    <row r="208" spans="1:44">
      <c r="A208" s="753"/>
      <c r="B208" s="753"/>
      <c r="C208" s="753"/>
      <c r="D208" s="753"/>
      <c r="E208" s="753"/>
      <c r="F208" s="753"/>
      <c r="G208" s="753"/>
      <c r="H208" s="753"/>
      <c r="I208" s="753"/>
      <c r="J208" s="753"/>
      <c r="K208" s="753"/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  <c r="AF208" s="753"/>
      <c r="AG208" s="753"/>
      <c r="AH208" s="753"/>
      <c r="AI208" s="753"/>
      <c r="AJ208" s="753"/>
      <c r="AK208" s="753"/>
      <c r="AL208" s="753"/>
      <c r="AM208" s="753"/>
      <c r="AN208" s="753"/>
      <c r="AO208" s="753"/>
      <c r="AP208" s="753"/>
      <c r="AQ208" s="753"/>
      <c r="AR208" s="753"/>
    </row>
    <row r="209" spans="1:44">
      <c r="A209" s="753"/>
      <c r="B209" s="753"/>
      <c r="C209" s="753"/>
      <c r="D209" s="753"/>
      <c r="E209" s="753"/>
      <c r="F209" s="753"/>
      <c r="G209" s="753"/>
      <c r="H209" s="753"/>
      <c r="I209" s="753"/>
      <c r="J209" s="753"/>
      <c r="K209" s="753"/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  <c r="AF209" s="753"/>
      <c r="AG209" s="753"/>
      <c r="AH209" s="753"/>
      <c r="AI209" s="753"/>
      <c r="AJ209" s="753"/>
      <c r="AK209" s="753"/>
      <c r="AL209" s="753"/>
      <c r="AM209" s="753"/>
      <c r="AN209" s="753"/>
      <c r="AO209" s="753"/>
      <c r="AP209" s="753"/>
      <c r="AQ209" s="753"/>
      <c r="AR209" s="753"/>
    </row>
    <row r="210" spans="1:44">
      <c r="A210" s="753"/>
      <c r="B210" s="753"/>
      <c r="C210" s="753"/>
      <c r="D210" s="753"/>
      <c r="E210" s="753"/>
      <c r="F210" s="753"/>
      <c r="G210" s="753"/>
      <c r="H210" s="753"/>
      <c r="I210" s="753"/>
      <c r="J210" s="753"/>
      <c r="K210" s="753"/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  <c r="AF210" s="753"/>
      <c r="AG210" s="753"/>
      <c r="AH210" s="753"/>
      <c r="AI210" s="753"/>
      <c r="AJ210" s="753"/>
      <c r="AK210" s="753"/>
      <c r="AL210" s="753"/>
      <c r="AM210" s="753"/>
      <c r="AN210" s="753"/>
      <c r="AO210" s="753"/>
      <c r="AP210" s="753"/>
      <c r="AQ210" s="753"/>
      <c r="AR210" s="753"/>
    </row>
    <row r="211" spans="1:44">
      <c r="A211" s="753"/>
      <c r="B211" s="753"/>
      <c r="C211" s="753"/>
      <c r="D211" s="753"/>
      <c r="E211" s="753"/>
      <c r="F211" s="753"/>
      <c r="G211" s="753"/>
      <c r="H211" s="753"/>
      <c r="I211" s="753"/>
      <c r="J211" s="753"/>
      <c r="K211" s="753"/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  <c r="AF211" s="753"/>
      <c r="AG211" s="753"/>
      <c r="AH211" s="753"/>
      <c r="AI211" s="753"/>
      <c r="AJ211" s="753"/>
      <c r="AK211" s="753"/>
      <c r="AL211" s="753"/>
      <c r="AM211" s="753"/>
      <c r="AN211" s="753"/>
      <c r="AO211" s="753"/>
      <c r="AP211" s="753"/>
      <c r="AQ211" s="753"/>
      <c r="AR211" s="753"/>
    </row>
    <row r="212" spans="1:44">
      <c r="A212" s="753"/>
      <c r="B212" s="753"/>
      <c r="C212" s="753"/>
      <c r="D212" s="753"/>
      <c r="E212" s="753"/>
      <c r="F212" s="753"/>
      <c r="G212" s="753"/>
      <c r="H212" s="753"/>
      <c r="I212" s="753"/>
      <c r="J212" s="753"/>
      <c r="K212" s="753"/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  <c r="AF212" s="753"/>
      <c r="AG212" s="753"/>
      <c r="AH212" s="753"/>
      <c r="AI212" s="753"/>
      <c r="AJ212" s="753"/>
      <c r="AK212" s="753"/>
      <c r="AL212" s="753"/>
      <c r="AM212" s="753"/>
      <c r="AN212" s="753"/>
      <c r="AO212" s="753"/>
      <c r="AP212" s="753"/>
      <c r="AQ212" s="753"/>
      <c r="AR212" s="753"/>
    </row>
    <row r="213" spans="1:44">
      <c r="A213" s="753"/>
      <c r="B213" s="753"/>
      <c r="C213" s="753"/>
      <c r="D213" s="753"/>
      <c r="E213" s="753"/>
      <c r="F213" s="753"/>
      <c r="G213" s="753"/>
      <c r="H213" s="753"/>
      <c r="I213" s="753"/>
      <c r="J213" s="753"/>
      <c r="K213" s="753"/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  <c r="AF213" s="753"/>
      <c r="AG213" s="753"/>
      <c r="AH213" s="753"/>
      <c r="AI213" s="753"/>
      <c r="AJ213" s="753"/>
      <c r="AK213" s="753"/>
      <c r="AL213" s="753"/>
      <c r="AM213" s="753"/>
      <c r="AN213" s="753"/>
      <c r="AO213" s="753"/>
      <c r="AP213" s="753"/>
      <c r="AQ213" s="753"/>
      <c r="AR213" s="753"/>
    </row>
    <row r="214" spans="1:44">
      <c r="A214" s="753"/>
      <c r="B214" s="753"/>
      <c r="C214" s="753"/>
      <c r="D214" s="753"/>
      <c r="E214" s="753"/>
      <c r="F214" s="753"/>
      <c r="G214" s="753"/>
      <c r="H214" s="753"/>
      <c r="I214" s="753"/>
      <c r="J214" s="753"/>
      <c r="K214" s="753"/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  <c r="AF214" s="753"/>
      <c r="AG214" s="753"/>
      <c r="AH214" s="753"/>
      <c r="AI214" s="753"/>
      <c r="AJ214" s="753"/>
      <c r="AK214" s="753"/>
      <c r="AL214" s="753"/>
      <c r="AM214" s="753"/>
      <c r="AN214" s="753"/>
      <c r="AO214" s="753"/>
      <c r="AP214" s="753"/>
      <c r="AQ214" s="753"/>
      <c r="AR214" s="753"/>
    </row>
    <row r="215" spans="1:44">
      <c r="A215" s="753"/>
      <c r="B215" s="753"/>
      <c r="C215" s="753"/>
      <c r="D215" s="753"/>
      <c r="E215" s="753"/>
      <c r="F215" s="753"/>
      <c r="G215" s="753"/>
      <c r="H215" s="753"/>
      <c r="I215" s="753"/>
      <c r="J215" s="753"/>
      <c r="K215" s="753"/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  <c r="AF215" s="753"/>
      <c r="AG215" s="753"/>
      <c r="AH215" s="753"/>
      <c r="AI215" s="753"/>
      <c r="AJ215" s="753"/>
      <c r="AK215" s="753"/>
      <c r="AL215" s="753"/>
      <c r="AM215" s="753"/>
      <c r="AN215" s="753"/>
      <c r="AO215" s="753"/>
      <c r="AP215" s="753"/>
      <c r="AQ215" s="753"/>
      <c r="AR215" s="753"/>
    </row>
    <row r="216" spans="1:44">
      <c r="A216" s="753"/>
      <c r="B216" s="753"/>
      <c r="C216" s="753"/>
      <c r="D216" s="753"/>
      <c r="E216" s="753"/>
      <c r="F216" s="753"/>
      <c r="G216" s="753"/>
      <c r="H216" s="753"/>
      <c r="I216" s="753"/>
      <c r="J216" s="753"/>
      <c r="K216" s="753"/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  <c r="AF216" s="753"/>
      <c r="AG216" s="753"/>
      <c r="AH216" s="753"/>
      <c r="AI216" s="753"/>
      <c r="AJ216" s="753"/>
      <c r="AK216" s="753"/>
      <c r="AL216" s="753"/>
      <c r="AM216" s="753"/>
      <c r="AN216" s="753"/>
      <c r="AO216" s="753"/>
      <c r="AP216" s="753"/>
      <c r="AQ216" s="753"/>
      <c r="AR216" s="753"/>
    </row>
    <row r="217" spans="1:44">
      <c r="A217" s="753"/>
      <c r="B217" s="753"/>
      <c r="C217" s="753"/>
      <c r="D217" s="753"/>
      <c r="E217" s="753"/>
      <c r="F217" s="753"/>
      <c r="G217" s="753"/>
      <c r="H217" s="753"/>
      <c r="I217" s="753"/>
      <c r="J217" s="753"/>
      <c r="K217" s="753"/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  <c r="AF217" s="753"/>
      <c r="AG217" s="753"/>
      <c r="AH217" s="753"/>
      <c r="AI217" s="753"/>
      <c r="AJ217" s="753"/>
      <c r="AK217" s="753"/>
      <c r="AL217" s="753"/>
      <c r="AM217" s="753"/>
      <c r="AN217" s="753"/>
      <c r="AO217" s="753"/>
      <c r="AP217" s="753"/>
      <c r="AQ217" s="753"/>
      <c r="AR217" s="753"/>
    </row>
    <row r="218" spans="1:44">
      <c r="A218" s="753"/>
      <c r="B218" s="753"/>
      <c r="C218" s="753"/>
      <c r="D218" s="753"/>
      <c r="E218" s="753"/>
      <c r="F218" s="753"/>
      <c r="G218" s="753"/>
      <c r="H218" s="753"/>
      <c r="I218" s="753"/>
      <c r="J218" s="753"/>
      <c r="K218" s="753"/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  <c r="AF218" s="753"/>
      <c r="AG218" s="753"/>
      <c r="AH218" s="753"/>
      <c r="AI218" s="753"/>
      <c r="AJ218" s="753"/>
      <c r="AK218" s="753"/>
      <c r="AL218" s="753"/>
      <c r="AM218" s="753"/>
      <c r="AN218" s="753"/>
      <c r="AO218" s="753"/>
      <c r="AP218" s="753"/>
      <c r="AQ218" s="753"/>
      <c r="AR218" s="753"/>
    </row>
    <row r="219" spans="1:44">
      <c r="A219" s="753"/>
      <c r="B219" s="753"/>
      <c r="C219" s="753"/>
      <c r="D219" s="753"/>
      <c r="E219" s="753"/>
      <c r="F219" s="753"/>
      <c r="G219" s="753"/>
      <c r="H219" s="753"/>
      <c r="I219" s="753"/>
      <c r="J219" s="753"/>
      <c r="K219" s="753"/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  <c r="AF219" s="753"/>
      <c r="AG219" s="753"/>
      <c r="AH219" s="753"/>
      <c r="AI219" s="753"/>
      <c r="AJ219" s="753"/>
      <c r="AK219" s="753"/>
      <c r="AL219" s="753"/>
      <c r="AM219" s="753"/>
      <c r="AN219" s="753"/>
      <c r="AO219" s="753"/>
      <c r="AP219" s="753"/>
      <c r="AQ219" s="753"/>
      <c r="AR219" s="753"/>
    </row>
    <row r="220" spans="1:44">
      <c r="A220" s="753"/>
      <c r="B220" s="753"/>
      <c r="C220" s="753"/>
      <c r="D220" s="753"/>
      <c r="E220" s="753"/>
      <c r="F220" s="753"/>
      <c r="G220" s="753"/>
      <c r="H220" s="753"/>
      <c r="I220" s="753"/>
      <c r="J220" s="753"/>
      <c r="K220" s="753"/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  <c r="AF220" s="753"/>
      <c r="AG220" s="753"/>
      <c r="AH220" s="753"/>
      <c r="AI220" s="753"/>
      <c r="AJ220" s="753"/>
      <c r="AK220" s="753"/>
      <c r="AL220" s="753"/>
      <c r="AM220" s="753"/>
      <c r="AN220" s="753"/>
      <c r="AO220" s="753"/>
      <c r="AP220" s="753"/>
      <c r="AQ220" s="753"/>
      <c r="AR220" s="753"/>
    </row>
    <row r="221" spans="1:44">
      <c r="A221" s="753"/>
      <c r="B221" s="753"/>
      <c r="C221" s="753"/>
      <c r="D221" s="753"/>
      <c r="E221" s="753"/>
      <c r="F221" s="753"/>
      <c r="G221" s="753"/>
      <c r="H221" s="753"/>
      <c r="I221" s="753"/>
      <c r="J221" s="753"/>
      <c r="K221" s="753"/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  <c r="AF221" s="753"/>
      <c r="AG221" s="753"/>
      <c r="AH221" s="753"/>
      <c r="AI221" s="753"/>
      <c r="AJ221" s="753"/>
      <c r="AK221" s="753"/>
      <c r="AL221" s="753"/>
      <c r="AM221" s="753"/>
      <c r="AN221" s="753"/>
      <c r="AO221" s="753"/>
      <c r="AP221" s="753"/>
      <c r="AQ221" s="753"/>
      <c r="AR221" s="753"/>
    </row>
    <row r="222" spans="1:44">
      <c r="A222" s="753"/>
      <c r="B222" s="753"/>
      <c r="C222" s="753"/>
      <c r="D222" s="753"/>
      <c r="E222" s="753"/>
      <c r="F222" s="753"/>
      <c r="G222" s="753"/>
      <c r="H222" s="753"/>
      <c r="I222" s="753"/>
      <c r="J222" s="753"/>
      <c r="K222" s="753"/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  <c r="AF222" s="753"/>
      <c r="AG222" s="753"/>
      <c r="AH222" s="753"/>
      <c r="AI222" s="753"/>
      <c r="AJ222" s="753"/>
      <c r="AK222" s="753"/>
      <c r="AL222" s="753"/>
      <c r="AM222" s="753"/>
      <c r="AN222" s="753"/>
      <c r="AO222" s="753"/>
      <c r="AP222" s="753"/>
      <c r="AQ222" s="753"/>
      <c r="AR222" s="753"/>
    </row>
    <row r="223" spans="1:44">
      <c r="A223" s="753"/>
      <c r="B223" s="753"/>
      <c r="C223" s="753"/>
      <c r="D223" s="753"/>
      <c r="E223" s="753"/>
      <c r="F223" s="753"/>
      <c r="G223" s="753"/>
      <c r="H223" s="753"/>
      <c r="I223" s="753"/>
      <c r="J223" s="753"/>
      <c r="K223" s="753"/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  <c r="AF223" s="753"/>
      <c r="AG223" s="753"/>
      <c r="AH223" s="753"/>
      <c r="AI223" s="753"/>
      <c r="AJ223" s="753"/>
      <c r="AK223" s="753"/>
      <c r="AL223" s="753"/>
      <c r="AM223" s="753"/>
      <c r="AN223" s="753"/>
      <c r="AO223" s="753"/>
      <c r="AP223" s="753"/>
      <c r="AQ223" s="753"/>
      <c r="AR223" s="753"/>
    </row>
    <row r="224" spans="1:44">
      <c r="A224" s="753"/>
      <c r="B224" s="753"/>
      <c r="C224" s="753"/>
      <c r="D224" s="753"/>
      <c r="E224" s="753"/>
      <c r="F224" s="753"/>
      <c r="G224" s="753"/>
      <c r="H224" s="753"/>
      <c r="I224" s="753"/>
      <c r="J224" s="753"/>
      <c r="K224" s="753"/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  <c r="AF224" s="753"/>
      <c r="AG224" s="753"/>
      <c r="AH224" s="753"/>
      <c r="AI224" s="753"/>
      <c r="AJ224" s="753"/>
      <c r="AK224" s="753"/>
      <c r="AL224" s="753"/>
      <c r="AM224" s="753"/>
      <c r="AN224" s="753"/>
      <c r="AO224" s="753"/>
      <c r="AP224" s="753"/>
      <c r="AQ224" s="753"/>
      <c r="AR224" s="753"/>
    </row>
    <row r="225" spans="1:44">
      <c r="A225" s="753"/>
      <c r="B225" s="753"/>
      <c r="C225" s="753"/>
      <c r="D225" s="753"/>
      <c r="E225" s="753"/>
      <c r="F225" s="753"/>
      <c r="G225" s="753"/>
      <c r="H225" s="753"/>
      <c r="I225" s="753"/>
      <c r="J225" s="753"/>
      <c r="K225" s="753"/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  <c r="AF225" s="753"/>
      <c r="AG225" s="753"/>
      <c r="AH225" s="753"/>
      <c r="AI225" s="753"/>
      <c r="AJ225" s="753"/>
      <c r="AK225" s="753"/>
      <c r="AL225" s="753"/>
      <c r="AM225" s="753"/>
      <c r="AN225" s="753"/>
      <c r="AO225" s="753"/>
      <c r="AP225" s="753"/>
      <c r="AQ225" s="753"/>
      <c r="AR225" s="753"/>
    </row>
    <row r="226" spans="1:44">
      <c r="A226" s="753"/>
      <c r="B226" s="753"/>
      <c r="C226" s="753"/>
      <c r="D226" s="753"/>
      <c r="E226" s="753"/>
      <c r="F226" s="753"/>
      <c r="G226" s="753"/>
      <c r="H226" s="753"/>
      <c r="I226" s="753"/>
      <c r="J226" s="753"/>
      <c r="K226" s="753"/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  <c r="AF226" s="753"/>
      <c r="AG226" s="753"/>
      <c r="AH226" s="753"/>
      <c r="AI226" s="753"/>
      <c r="AJ226" s="753"/>
      <c r="AK226" s="753"/>
      <c r="AL226" s="753"/>
      <c r="AM226" s="753"/>
      <c r="AN226" s="753"/>
      <c r="AO226" s="753"/>
      <c r="AP226" s="753"/>
      <c r="AQ226" s="753"/>
      <c r="AR226" s="753"/>
    </row>
    <row r="227" spans="1:44">
      <c r="A227" s="753"/>
      <c r="B227" s="753"/>
      <c r="C227" s="753"/>
      <c r="D227" s="753"/>
      <c r="E227" s="753"/>
      <c r="F227" s="753"/>
      <c r="G227" s="753"/>
      <c r="H227" s="753"/>
      <c r="I227" s="753"/>
      <c r="J227" s="753"/>
      <c r="K227" s="753"/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  <c r="AF227" s="753"/>
      <c r="AG227" s="753"/>
      <c r="AH227" s="753"/>
      <c r="AI227" s="753"/>
      <c r="AJ227" s="753"/>
      <c r="AK227" s="753"/>
      <c r="AL227" s="753"/>
      <c r="AM227" s="753"/>
      <c r="AN227" s="753"/>
      <c r="AO227" s="753"/>
      <c r="AP227" s="753"/>
      <c r="AQ227" s="753"/>
      <c r="AR227" s="753"/>
    </row>
    <row r="228" spans="1:44">
      <c r="A228" s="753"/>
      <c r="B228" s="753"/>
      <c r="C228" s="753"/>
      <c r="D228" s="753"/>
      <c r="E228" s="753"/>
      <c r="F228" s="753"/>
      <c r="G228" s="753"/>
      <c r="H228" s="753"/>
      <c r="I228" s="753"/>
      <c r="J228" s="753"/>
      <c r="K228" s="753"/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  <c r="AF228" s="753"/>
      <c r="AG228" s="753"/>
      <c r="AH228" s="753"/>
      <c r="AI228" s="753"/>
      <c r="AJ228" s="753"/>
      <c r="AK228" s="753"/>
      <c r="AL228" s="753"/>
      <c r="AM228" s="753"/>
      <c r="AN228" s="753"/>
      <c r="AO228" s="753"/>
      <c r="AP228" s="753"/>
      <c r="AQ228" s="753"/>
      <c r="AR228" s="753"/>
    </row>
    <row r="229" spans="1:44">
      <c r="A229" s="753"/>
      <c r="B229" s="753"/>
      <c r="C229" s="753"/>
      <c r="D229" s="753"/>
      <c r="E229" s="753"/>
      <c r="F229" s="753"/>
      <c r="G229" s="753"/>
      <c r="H229" s="753"/>
      <c r="I229" s="753"/>
      <c r="J229" s="753"/>
      <c r="K229" s="753"/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  <c r="AF229" s="753"/>
      <c r="AG229" s="753"/>
      <c r="AH229" s="753"/>
      <c r="AI229" s="753"/>
      <c r="AJ229" s="753"/>
      <c r="AK229" s="753"/>
      <c r="AL229" s="753"/>
      <c r="AM229" s="753"/>
      <c r="AN229" s="753"/>
      <c r="AO229" s="753"/>
      <c r="AP229" s="753"/>
      <c r="AQ229" s="753"/>
      <c r="AR229" s="753"/>
    </row>
    <row r="230" spans="1:44">
      <c r="A230" s="753"/>
      <c r="B230" s="753"/>
      <c r="C230" s="753"/>
      <c r="D230" s="753"/>
      <c r="E230" s="753"/>
      <c r="F230" s="753"/>
      <c r="G230" s="753"/>
      <c r="H230" s="753"/>
      <c r="I230" s="753"/>
      <c r="J230" s="753"/>
      <c r="K230" s="753"/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  <c r="AF230" s="753"/>
      <c r="AG230" s="753"/>
      <c r="AH230" s="753"/>
      <c r="AI230" s="753"/>
      <c r="AJ230" s="753"/>
      <c r="AK230" s="753"/>
      <c r="AL230" s="753"/>
      <c r="AM230" s="753"/>
      <c r="AN230" s="753"/>
      <c r="AO230" s="753"/>
      <c r="AP230" s="753"/>
      <c r="AQ230" s="753"/>
      <c r="AR230" s="753"/>
    </row>
    <row r="231" spans="1:44">
      <c r="A231" s="753"/>
      <c r="B231" s="753"/>
      <c r="C231" s="753"/>
      <c r="D231" s="753"/>
      <c r="E231" s="753"/>
      <c r="F231" s="753"/>
      <c r="G231" s="753"/>
      <c r="H231" s="753"/>
      <c r="I231" s="753"/>
      <c r="J231" s="753"/>
      <c r="K231" s="753"/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  <c r="AF231" s="753"/>
      <c r="AG231" s="753"/>
      <c r="AH231" s="753"/>
      <c r="AI231" s="753"/>
      <c r="AJ231" s="753"/>
      <c r="AK231" s="753"/>
      <c r="AL231" s="753"/>
      <c r="AM231" s="753"/>
      <c r="AN231" s="753"/>
      <c r="AO231" s="753"/>
      <c r="AP231" s="753"/>
      <c r="AQ231" s="753"/>
      <c r="AR231" s="753"/>
    </row>
    <row r="232" spans="1:44">
      <c r="A232" s="753"/>
      <c r="B232" s="753"/>
      <c r="C232" s="753"/>
      <c r="D232" s="753"/>
      <c r="E232" s="753"/>
      <c r="F232" s="753"/>
      <c r="G232" s="753"/>
      <c r="H232" s="753"/>
      <c r="I232" s="753"/>
      <c r="J232" s="753"/>
      <c r="K232" s="753"/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  <c r="AF232" s="753"/>
      <c r="AG232" s="753"/>
      <c r="AH232" s="753"/>
      <c r="AI232" s="753"/>
      <c r="AJ232" s="753"/>
      <c r="AK232" s="753"/>
      <c r="AL232" s="753"/>
      <c r="AM232" s="753"/>
      <c r="AN232" s="753"/>
      <c r="AO232" s="753"/>
      <c r="AP232" s="753"/>
      <c r="AQ232" s="753"/>
      <c r="AR232" s="753"/>
    </row>
    <row r="233" spans="1:44">
      <c r="A233" s="753"/>
      <c r="B233" s="753"/>
      <c r="C233" s="753"/>
      <c r="D233" s="753"/>
      <c r="E233" s="753"/>
      <c r="F233" s="753"/>
      <c r="G233" s="753"/>
      <c r="H233" s="753"/>
      <c r="I233" s="753"/>
      <c r="J233" s="753"/>
      <c r="K233" s="753"/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  <c r="AF233" s="753"/>
      <c r="AG233" s="753"/>
      <c r="AH233" s="753"/>
      <c r="AI233" s="753"/>
      <c r="AJ233" s="753"/>
      <c r="AK233" s="753"/>
      <c r="AL233" s="753"/>
      <c r="AM233" s="753"/>
      <c r="AN233" s="753"/>
      <c r="AO233" s="753"/>
      <c r="AP233" s="753"/>
      <c r="AQ233" s="753"/>
      <c r="AR233" s="753"/>
    </row>
    <row r="234" spans="1:44">
      <c r="A234" s="753"/>
      <c r="B234" s="753"/>
      <c r="C234" s="753"/>
      <c r="D234" s="753"/>
      <c r="E234" s="753"/>
      <c r="F234" s="753"/>
      <c r="G234" s="753"/>
      <c r="H234" s="753"/>
      <c r="I234" s="753"/>
      <c r="J234" s="753"/>
      <c r="K234" s="753"/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  <c r="AF234" s="753"/>
      <c r="AG234" s="753"/>
      <c r="AH234" s="753"/>
      <c r="AI234" s="753"/>
      <c r="AJ234" s="753"/>
      <c r="AK234" s="753"/>
      <c r="AL234" s="753"/>
      <c r="AM234" s="753"/>
      <c r="AN234" s="753"/>
      <c r="AO234" s="753"/>
      <c r="AP234" s="753"/>
      <c r="AQ234" s="753"/>
      <c r="AR234" s="753"/>
    </row>
    <row r="235" spans="1:44">
      <c r="A235" s="753"/>
      <c r="B235" s="753"/>
      <c r="C235" s="753"/>
      <c r="D235" s="753"/>
      <c r="E235" s="753"/>
      <c r="F235" s="753"/>
      <c r="G235" s="753"/>
      <c r="H235" s="753"/>
      <c r="I235" s="753"/>
      <c r="J235" s="753"/>
      <c r="K235" s="753"/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  <c r="AF235" s="753"/>
      <c r="AG235" s="753"/>
      <c r="AH235" s="753"/>
      <c r="AI235" s="753"/>
      <c r="AJ235" s="753"/>
      <c r="AK235" s="753"/>
      <c r="AL235" s="753"/>
      <c r="AM235" s="753"/>
      <c r="AN235" s="753"/>
      <c r="AO235" s="753"/>
      <c r="AP235" s="753"/>
      <c r="AQ235" s="753"/>
      <c r="AR235" s="753"/>
    </row>
    <row r="236" spans="1:44">
      <c r="A236" s="753"/>
      <c r="B236" s="753"/>
      <c r="C236" s="753"/>
      <c r="D236" s="753"/>
      <c r="E236" s="753"/>
      <c r="F236" s="753"/>
      <c r="G236" s="753"/>
      <c r="H236" s="753"/>
      <c r="I236" s="753"/>
      <c r="J236" s="753"/>
      <c r="K236" s="753"/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  <c r="AF236" s="753"/>
      <c r="AG236" s="753"/>
      <c r="AH236" s="753"/>
      <c r="AI236" s="753"/>
      <c r="AJ236" s="753"/>
      <c r="AK236" s="753"/>
      <c r="AL236" s="753"/>
      <c r="AM236" s="753"/>
      <c r="AN236" s="753"/>
      <c r="AO236" s="753"/>
      <c r="AP236" s="753"/>
      <c r="AQ236" s="753"/>
      <c r="AR236" s="753"/>
    </row>
    <row r="237" spans="1:44">
      <c r="A237" s="753"/>
      <c r="B237" s="753"/>
      <c r="C237" s="753"/>
      <c r="D237" s="753"/>
      <c r="E237" s="753"/>
      <c r="F237" s="753"/>
      <c r="G237" s="753"/>
      <c r="H237" s="753"/>
      <c r="I237" s="753"/>
      <c r="J237" s="753"/>
      <c r="K237" s="753"/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  <c r="AF237" s="753"/>
      <c r="AG237" s="753"/>
      <c r="AH237" s="753"/>
      <c r="AI237" s="753"/>
      <c r="AJ237" s="753"/>
      <c r="AK237" s="753"/>
      <c r="AL237" s="753"/>
      <c r="AM237" s="753"/>
      <c r="AN237" s="753"/>
      <c r="AO237" s="753"/>
      <c r="AP237" s="753"/>
      <c r="AQ237" s="753"/>
      <c r="AR237" s="753"/>
    </row>
    <row r="238" spans="1:44">
      <c r="A238" s="753"/>
      <c r="B238" s="753"/>
      <c r="C238" s="753"/>
      <c r="D238" s="753"/>
      <c r="E238" s="753"/>
      <c r="F238" s="753"/>
      <c r="G238" s="753"/>
      <c r="H238" s="753"/>
      <c r="I238" s="753"/>
      <c r="J238" s="753"/>
      <c r="K238" s="753"/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  <c r="AF238" s="753"/>
      <c r="AG238" s="753"/>
      <c r="AH238" s="753"/>
      <c r="AI238" s="753"/>
      <c r="AJ238" s="753"/>
      <c r="AK238" s="753"/>
      <c r="AL238" s="753"/>
      <c r="AM238" s="753"/>
      <c r="AN238" s="753"/>
      <c r="AO238" s="753"/>
      <c r="AP238" s="753"/>
      <c r="AQ238" s="753"/>
      <c r="AR238" s="753"/>
    </row>
    <row r="239" spans="1:44">
      <c r="A239" s="753"/>
      <c r="B239" s="753"/>
      <c r="C239" s="753"/>
      <c r="D239" s="753"/>
      <c r="E239" s="753"/>
      <c r="F239" s="753"/>
      <c r="G239" s="753"/>
      <c r="H239" s="753"/>
      <c r="I239" s="753"/>
      <c r="J239" s="753"/>
      <c r="K239" s="753"/>
      <c r="L239" s="75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  <c r="AF239" s="753"/>
      <c r="AG239" s="753"/>
      <c r="AH239" s="753"/>
      <c r="AI239" s="753"/>
      <c r="AJ239" s="753"/>
      <c r="AK239" s="753"/>
      <c r="AL239" s="753"/>
      <c r="AM239" s="753"/>
      <c r="AN239" s="753"/>
      <c r="AO239" s="753"/>
      <c r="AP239" s="753"/>
      <c r="AQ239" s="753"/>
      <c r="AR239" s="753"/>
    </row>
    <row r="240" spans="1:44">
      <c r="A240" s="753"/>
      <c r="B240" s="753"/>
      <c r="C240" s="753"/>
      <c r="D240" s="753"/>
      <c r="E240" s="753"/>
      <c r="F240" s="753"/>
      <c r="G240" s="753"/>
      <c r="H240" s="753"/>
      <c r="I240" s="753"/>
      <c r="J240" s="753"/>
      <c r="K240" s="753"/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  <c r="AF240" s="753"/>
      <c r="AG240" s="753"/>
      <c r="AH240" s="753"/>
      <c r="AI240" s="753"/>
      <c r="AJ240" s="753"/>
      <c r="AK240" s="753"/>
      <c r="AL240" s="753"/>
      <c r="AM240" s="753"/>
      <c r="AN240" s="753"/>
      <c r="AO240" s="753"/>
      <c r="AP240" s="753"/>
      <c r="AQ240" s="753"/>
      <c r="AR240" s="753"/>
    </row>
    <row r="241" spans="1:44">
      <c r="A241" s="753"/>
      <c r="B241" s="753"/>
      <c r="C241" s="753"/>
      <c r="D241" s="753"/>
      <c r="E241" s="753"/>
      <c r="F241" s="753"/>
      <c r="G241" s="753"/>
      <c r="H241" s="753"/>
      <c r="I241" s="753"/>
      <c r="J241" s="753"/>
      <c r="K241" s="753"/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  <c r="AF241" s="753"/>
      <c r="AG241" s="753"/>
      <c r="AH241" s="753"/>
      <c r="AI241" s="753"/>
      <c r="AJ241" s="753"/>
      <c r="AK241" s="753"/>
      <c r="AL241" s="753"/>
      <c r="AM241" s="753"/>
      <c r="AN241" s="753"/>
      <c r="AO241" s="753"/>
      <c r="AP241" s="753"/>
      <c r="AQ241" s="753"/>
      <c r="AR241" s="753"/>
    </row>
    <row r="242" spans="1:44">
      <c r="A242" s="753"/>
      <c r="B242" s="753"/>
      <c r="C242" s="753"/>
      <c r="D242" s="753"/>
      <c r="E242" s="753"/>
      <c r="F242" s="753"/>
      <c r="G242" s="753"/>
      <c r="H242" s="753"/>
      <c r="I242" s="753"/>
      <c r="J242" s="753"/>
      <c r="K242" s="753"/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  <c r="AF242" s="753"/>
      <c r="AG242" s="753"/>
      <c r="AH242" s="753"/>
      <c r="AI242" s="753"/>
      <c r="AJ242" s="753"/>
      <c r="AK242" s="753"/>
      <c r="AL242" s="753"/>
      <c r="AM242" s="753"/>
      <c r="AN242" s="753"/>
      <c r="AO242" s="753"/>
      <c r="AP242" s="753"/>
      <c r="AQ242" s="753"/>
      <c r="AR242" s="753"/>
    </row>
    <row r="243" spans="1:44">
      <c r="A243" s="753"/>
      <c r="B243" s="753"/>
      <c r="C243" s="753"/>
      <c r="D243" s="753"/>
      <c r="E243" s="753"/>
      <c r="F243" s="753"/>
      <c r="G243" s="753"/>
      <c r="H243" s="753"/>
      <c r="I243" s="753"/>
      <c r="J243" s="753"/>
      <c r="K243" s="753"/>
      <c r="L243" s="753"/>
      <c r="M243" s="75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  <c r="AF243" s="753"/>
      <c r="AG243" s="753"/>
      <c r="AH243" s="753"/>
      <c r="AI243" s="753"/>
      <c r="AJ243" s="753"/>
      <c r="AK243" s="753"/>
      <c r="AL243" s="753"/>
      <c r="AM243" s="753"/>
      <c r="AN243" s="753"/>
      <c r="AO243" s="753"/>
      <c r="AP243" s="753"/>
      <c r="AQ243" s="753"/>
      <c r="AR243" s="753"/>
    </row>
    <row r="244" spans="1:44">
      <c r="A244" s="753"/>
      <c r="B244" s="753"/>
      <c r="C244" s="753"/>
      <c r="D244" s="753"/>
      <c r="E244" s="753"/>
      <c r="F244" s="753"/>
      <c r="G244" s="753"/>
      <c r="H244" s="753"/>
      <c r="I244" s="753"/>
      <c r="J244" s="753"/>
      <c r="K244" s="753"/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  <c r="AF244" s="753"/>
      <c r="AG244" s="753"/>
      <c r="AH244" s="753"/>
      <c r="AI244" s="753"/>
      <c r="AJ244" s="753"/>
      <c r="AK244" s="753"/>
      <c r="AL244" s="753"/>
      <c r="AM244" s="753"/>
      <c r="AN244" s="753"/>
      <c r="AO244" s="753"/>
      <c r="AP244" s="753"/>
      <c r="AQ244" s="753"/>
      <c r="AR244" s="753"/>
    </row>
    <row r="245" spans="1:44">
      <c r="A245" s="753"/>
      <c r="B245" s="753"/>
      <c r="C245" s="753"/>
      <c r="D245" s="753"/>
      <c r="E245" s="753"/>
      <c r="F245" s="753"/>
      <c r="G245" s="753"/>
      <c r="H245" s="753"/>
      <c r="I245" s="753"/>
      <c r="J245" s="753"/>
      <c r="K245" s="753"/>
      <c r="L245" s="753"/>
      <c r="M245" s="753"/>
      <c r="N245" s="75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  <c r="AF245" s="753"/>
      <c r="AG245" s="753"/>
      <c r="AH245" s="753"/>
      <c r="AI245" s="753"/>
      <c r="AJ245" s="753"/>
      <c r="AK245" s="753"/>
      <c r="AL245" s="753"/>
      <c r="AM245" s="753"/>
      <c r="AN245" s="753"/>
      <c r="AO245" s="753"/>
      <c r="AP245" s="753"/>
      <c r="AQ245" s="753"/>
      <c r="AR245" s="753"/>
    </row>
    <row r="246" spans="1:44">
      <c r="A246" s="753"/>
      <c r="B246" s="753"/>
      <c r="C246" s="753"/>
      <c r="D246" s="753"/>
      <c r="E246" s="753"/>
      <c r="F246" s="753"/>
      <c r="G246" s="753"/>
      <c r="H246" s="753"/>
      <c r="I246" s="753"/>
      <c r="J246" s="753"/>
      <c r="K246" s="753"/>
      <c r="L246" s="753"/>
      <c r="M246" s="753"/>
      <c r="N246" s="753"/>
      <c r="O246" s="75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  <c r="AF246" s="753"/>
      <c r="AG246" s="753"/>
      <c r="AH246" s="753"/>
      <c r="AI246" s="753"/>
      <c r="AJ246" s="753"/>
      <c r="AK246" s="753"/>
      <c r="AL246" s="753"/>
      <c r="AM246" s="753"/>
      <c r="AN246" s="753"/>
      <c r="AO246" s="753"/>
      <c r="AP246" s="753"/>
      <c r="AQ246" s="753"/>
      <c r="AR246" s="753"/>
    </row>
    <row r="247" spans="1:44">
      <c r="A247" s="753"/>
      <c r="B247" s="753"/>
      <c r="C247" s="753"/>
      <c r="D247" s="753"/>
      <c r="E247" s="753"/>
      <c r="F247" s="753"/>
      <c r="G247" s="753"/>
      <c r="H247" s="753"/>
      <c r="I247" s="753"/>
      <c r="J247" s="753"/>
      <c r="K247" s="753"/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  <c r="AF247" s="753"/>
      <c r="AG247" s="753"/>
      <c r="AH247" s="753"/>
      <c r="AI247" s="753"/>
      <c r="AJ247" s="753"/>
      <c r="AK247" s="753"/>
      <c r="AL247" s="753"/>
      <c r="AM247" s="753"/>
      <c r="AN247" s="753"/>
      <c r="AO247" s="753"/>
      <c r="AP247" s="753"/>
      <c r="AQ247" s="753"/>
      <c r="AR247" s="753"/>
    </row>
    <row r="248" spans="1:44">
      <c r="A248" s="753"/>
      <c r="B248" s="753"/>
      <c r="C248" s="753"/>
      <c r="D248" s="753"/>
      <c r="E248" s="753"/>
      <c r="F248" s="753"/>
      <c r="G248" s="753"/>
      <c r="H248" s="753"/>
      <c r="I248" s="753"/>
      <c r="J248" s="753"/>
      <c r="K248" s="753"/>
      <c r="L248" s="753"/>
      <c r="M248" s="753"/>
      <c r="N248" s="753"/>
      <c r="O248" s="753"/>
      <c r="P248" s="75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  <c r="AF248" s="753"/>
      <c r="AG248" s="753"/>
      <c r="AH248" s="753"/>
      <c r="AI248" s="753"/>
      <c r="AJ248" s="753"/>
      <c r="AK248" s="753"/>
      <c r="AL248" s="753"/>
      <c r="AM248" s="753"/>
      <c r="AN248" s="753"/>
      <c r="AO248" s="753"/>
      <c r="AP248" s="753"/>
      <c r="AQ248" s="753"/>
      <c r="AR248" s="753"/>
    </row>
    <row r="249" spans="1:44">
      <c r="A249" s="753"/>
      <c r="B249" s="753"/>
      <c r="C249" s="753"/>
      <c r="D249" s="753"/>
      <c r="E249" s="753"/>
      <c r="F249" s="753"/>
      <c r="G249" s="753"/>
      <c r="H249" s="753"/>
      <c r="I249" s="753"/>
      <c r="J249" s="753"/>
      <c r="K249" s="753"/>
      <c r="L249" s="753"/>
      <c r="M249" s="753"/>
      <c r="N249" s="753"/>
      <c r="O249" s="753"/>
      <c r="P249" s="753"/>
      <c r="Q249" s="75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  <c r="AF249" s="753"/>
      <c r="AG249" s="753"/>
      <c r="AH249" s="753"/>
      <c r="AI249" s="753"/>
      <c r="AJ249" s="753"/>
      <c r="AK249" s="753"/>
      <c r="AL249" s="753"/>
      <c r="AM249" s="753"/>
      <c r="AN249" s="753"/>
      <c r="AO249" s="753"/>
      <c r="AP249" s="753"/>
      <c r="AQ249" s="753"/>
      <c r="AR249" s="753"/>
    </row>
    <row r="250" spans="1:44">
      <c r="A250" s="753"/>
      <c r="B250" s="753"/>
      <c r="C250" s="753"/>
      <c r="D250" s="753"/>
      <c r="E250" s="753"/>
      <c r="F250" s="753"/>
      <c r="G250" s="753"/>
      <c r="H250" s="753"/>
      <c r="I250" s="753"/>
      <c r="J250" s="753"/>
      <c r="K250" s="753"/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  <c r="AF250" s="753"/>
      <c r="AG250" s="753"/>
      <c r="AH250" s="753"/>
      <c r="AI250" s="753"/>
      <c r="AJ250" s="753"/>
      <c r="AK250" s="753"/>
      <c r="AL250" s="753"/>
      <c r="AM250" s="753"/>
      <c r="AN250" s="753"/>
      <c r="AO250" s="753"/>
      <c r="AP250" s="753"/>
      <c r="AQ250" s="753"/>
      <c r="AR250" s="753"/>
    </row>
    <row r="251" spans="1:44">
      <c r="A251" s="753"/>
      <c r="B251" s="753"/>
      <c r="C251" s="753"/>
      <c r="D251" s="753"/>
      <c r="E251" s="753"/>
      <c r="F251" s="753"/>
      <c r="G251" s="753"/>
      <c r="H251" s="753"/>
      <c r="I251" s="753"/>
      <c r="J251" s="753"/>
      <c r="K251" s="753"/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  <c r="AF251" s="753"/>
      <c r="AG251" s="753"/>
      <c r="AH251" s="753"/>
      <c r="AI251" s="753"/>
      <c r="AJ251" s="753"/>
      <c r="AK251" s="753"/>
      <c r="AL251" s="753"/>
      <c r="AM251" s="753"/>
      <c r="AN251" s="753"/>
      <c r="AO251" s="753"/>
      <c r="AP251" s="753"/>
      <c r="AQ251" s="753"/>
      <c r="AR251" s="753"/>
    </row>
    <row r="252" spans="1:44">
      <c r="A252" s="753"/>
      <c r="B252" s="753"/>
      <c r="C252" s="753"/>
      <c r="D252" s="753"/>
      <c r="E252" s="753"/>
      <c r="F252" s="753"/>
      <c r="G252" s="753"/>
      <c r="H252" s="753"/>
      <c r="I252" s="753"/>
      <c r="J252" s="753"/>
      <c r="K252" s="753"/>
      <c r="L252" s="753"/>
      <c r="M252" s="753"/>
      <c r="N252" s="753"/>
      <c r="O252" s="753"/>
      <c r="P252" s="753"/>
      <c r="Q252" s="753"/>
      <c r="R252" s="75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  <c r="AF252" s="753"/>
      <c r="AG252" s="753"/>
      <c r="AH252" s="753"/>
      <c r="AI252" s="753"/>
      <c r="AJ252" s="753"/>
      <c r="AK252" s="753"/>
      <c r="AL252" s="753"/>
      <c r="AM252" s="753"/>
      <c r="AN252" s="753"/>
      <c r="AO252" s="753"/>
      <c r="AP252" s="753"/>
      <c r="AQ252" s="753"/>
      <c r="AR252" s="753"/>
    </row>
    <row r="253" spans="1:44">
      <c r="A253" s="753"/>
      <c r="B253" s="753"/>
      <c r="C253" s="753"/>
      <c r="D253" s="753"/>
      <c r="E253" s="753"/>
      <c r="F253" s="753"/>
      <c r="G253" s="753"/>
      <c r="H253" s="753"/>
      <c r="I253" s="753"/>
      <c r="J253" s="753"/>
      <c r="K253" s="753"/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  <c r="AF253" s="753"/>
      <c r="AG253" s="753"/>
      <c r="AH253" s="753"/>
      <c r="AI253" s="753"/>
      <c r="AJ253" s="753"/>
      <c r="AK253" s="753"/>
      <c r="AL253" s="753"/>
      <c r="AM253" s="753"/>
      <c r="AN253" s="753"/>
      <c r="AO253" s="753"/>
      <c r="AP253" s="753"/>
      <c r="AQ253" s="753"/>
      <c r="AR253" s="753"/>
    </row>
    <row r="254" spans="1:44">
      <c r="A254" s="753"/>
      <c r="B254" s="753"/>
      <c r="C254" s="753"/>
      <c r="D254" s="753"/>
      <c r="E254" s="753"/>
      <c r="F254" s="753"/>
      <c r="G254" s="753"/>
      <c r="H254" s="753"/>
      <c r="I254" s="753"/>
      <c r="J254" s="753"/>
      <c r="K254" s="753"/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  <c r="AF254" s="753"/>
      <c r="AG254" s="753"/>
      <c r="AH254" s="753"/>
      <c r="AI254" s="753"/>
      <c r="AJ254" s="753"/>
      <c r="AK254" s="753"/>
      <c r="AL254" s="753"/>
      <c r="AM254" s="753"/>
      <c r="AN254" s="753"/>
      <c r="AO254" s="753"/>
      <c r="AP254" s="753"/>
      <c r="AQ254" s="753"/>
      <c r="AR254" s="753"/>
    </row>
    <row r="255" spans="1:44">
      <c r="A255" s="753"/>
      <c r="B255" s="753"/>
      <c r="C255" s="753"/>
      <c r="D255" s="753"/>
      <c r="E255" s="753"/>
      <c r="F255" s="753"/>
      <c r="G255" s="753"/>
      <c r="H255" s="753"/>
      <c r="I255" s="753"/>
      <c r="J255" s="753"/>
      <c r="K255" s="753"/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  <c r="AF255" s="753"/>
      <c r="AG255" s="753"/>
      <c r="AH255" s="753"/>
      <c r="AI255" s="753"/>
      <c r="AJ255" s="753"/>
      <c r="AK255" s="753"/>
      <c r="AL255" s="753"/>
      <c r="AM255" s="753"/>
      <c r="AN255" s="753"/>
      <c r="AO255" s="753"/>
      <c r="AP255" s="753"/>
      <c r="AQ255" s="753"/>
      <c r="AR255" s="753"/>
    </row>
    <row r="256" spans="1:44">
      <c r="A256" s="753"/>
      <c r="B256" s="753"/>
      <c r="C256" s="753"/>
      <c r="D256" s="753"/>
      <c r="E256" s="753"/>
      <c r="F256" s="753"/>
      <c r="G256" s="753"/>
      <c r="H256" s="753"/>
      <c r="I256" s="753"/>
      <c r="J256" s="753"/>
      <c r="K256" s="753"/>
      <c r="L256" s="753"/>
      <c r="M256" s="753"/>
      <c r="N256" s="753"/>
      <c r="O256" s="753"/>
      <c r="P256" s="753"/>
      <c r="Q256" s="753"/>
      <c r="R256" s="75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</row>
    <row r="257" spans="1:44">
      <c r="A257" s="753"/>
      <c r="B257" s="753"/>
      <c r="C257" s="753"/>
      <c r="D257" s="753"/>
      <c r="E257" s="753"/>
      <c r="F257" s="753"/>
      <c r="G257" s="753"/>
      <c r="H257" s="753"/>
      <c r="I257" s="753"/>
      <c r="J257" s="753"/>
      <c r="K257" s="753"/>
      <c r="L257" s="753"/>
      <c r="M257" s="753"/>
      <c r="N257" s="753"/>
      <c r="O257" s="753"/>
      <c r="P257" s="753"/>
      <c r="Q257" s="753"/>
      <c r="R257" s="753"/>
      <c r="S257" s="75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</row>
    <row r="258" spans="1:44">
      <c r="A258" s="753"/>
      <c r="B258" s="753"/>
      <c r="C258" s="753"/>
      <c r="D258" s="753"/>
      <c r="E258" s="753"/>
      <c r="F258" s="753"/>
      <c r="G258" s="753"/>
      <c r="H258" s="753"/>
      <c r="I258" s="753"/>
      <c r="J258" s="753"/>
      <c r="K258" s="753"/>
      <c r="L258" s="753"/>
      <c r="M258" s="753"/>
      <c r="N258" s="753"/>
      <c r="O258" s="753"/>
      <c r="P258" s="753"/>
      <c r="Q258" s="753"/>
      <c r="R258" s="753"/>
      <c r="S258" s="753"/>
      <c r="T258" s="75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</row>
    <row r="259" spans="1:44">
      <c r="A259" s="753"/>
      <c r="B259" s="753"/>
      <c r="C259" s="753"/>
      <c r="D259" s="753"/>
      <c r="E259" s="753"/>
      <c r="F259" s="753"/>
      <c r="G259" s="753"/>
      <c r="H259" s="753"/>
      <c r="I259" s="753"/>
      <c r="J259" s="753"/>
      <c r="K259" s="753"/>
      <c r="L259" s="753"/>
      <c r="M259" s="753"/>
      <c r="N259" s="753"/>
      <c r="O259" s="753"/>
      <c r="P259" s="753"/>
      <c r="Q259" s="753"/>
      <c r="R259" s="753"/>
      <c r="S259" s="753"/>
      <c r="T259" s="75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</row>
    <row r="260" spans="1:44">
      <c r="A260" s="753"/>
      <c r="B260" s="753"/>
      <c r="C260" s="753"/>
      <c r="D260" s="753"/>
      <c r="E260" s="753"/>
      <c r="F260" s="753"/>
      <c r="G260" s="753"/>
      <c r="H260" s="753"/>
      <c r="I260" s="753"/>
      <c r="J260" s="753"/>
      <c r="K260" s="753"/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</row>
    <row r="261" spans="1:44">
      <c r="A261" s="753"/>
      <c r="B261" s="753"/>
      <c r="C261" s="753"/>
      <c r="D261" s="753"/>
      <c r="E261" s="753"/>
      <c r="F261" s="753"/>
      <c r="G261" s="753"/>
      <c r="H261" s="753"/>
      <c r="I261" s="753"/>
      <c r="J261" s="753"/>
      <c r="K261" s="753"/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/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</row>
    <row r="262" spans="1:44">
      <c r="A262" s="753"/>
      <c r="B262" s="753"/>
      <c r="C262" s="753"/>
      <c r="D262" s="753"/>
      <c r="E262" s="753"/>
      <c r="F262" s="753"/>
      <c r="G262" s="753"/>
      <c r="H262" s="753"/>
      <c r="I262" s="753"/>
      <c r="J262" s="753"/>
      <c r="K262" s="753"/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/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</row>
    <row r="263" spans="1:44">
      <c r="A263" s="753"/>
      <c r="B263" s="753"/>
      <c r="C263" s="753"/>
      <c r="D263" s="753"/>
      <c r="E263" s="753"/>
      <c r="F263" s="753"/>
      <c r="G263" s="753"/>
      <c r="H263" s="753"/>
      <c r="I263" s="753"/>
      <c r="J263" s="753"/>
      <c r="K263" s="753"/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/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</row>
    <row r="264" spans="1:44">
      <c r="A264" s="753"/>
      <c r="B264" s="753"/>
      <c r="C264" s="753"/>
      <c r="D264" s="753"/>
      <c r="E264" s="753"/>
      <c r="F264" s="753"/>
      <c r="G264" s="753"/>
      <c r="H264" s="753"/>
      <c r="I264" s="753"/>
      <c r="J264" s="753"/>
      <c r="K264" s="753"/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</row>
    <row r="265" spans="1:44">
      <c r="A265" s="753"/>
      <c r="B265" s="753"/>
      <c r="C265" s="753"/>
      <c r="D265" s="753"/>
      <c r="E265" s="753"/>
      <c r="F265" s="753"/>
      <c r="G265" s="753"/>
      <c r="H265" s="753"/>
      <c r="I265" s="753"/>
      <c r="J265" s="753"/>
      <c r="K265" s="753"/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</row>
    <row r="266" spans="1:44">
      <c r="A266" s="753"/>
      <c r="B266" s="753"/>
      <c r="C266" s="753"/>
      <c r="D266" s="753"/>
      <c r="E266" s="753"/>
      <c r="F266" s="753"/>
      <c r="G266" s="753"/>
      <c r="H266" s="753"/>
      <c r="I266" s="753"/>
      <c r="J266" s="753"/>
      <c r="K266" s="753"/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</row>
    <row r="267" spans="1:44">
      <c r="A267" s="753"/>
      <c r="B267" s="753"/>
      <c r="C267" s="753"/>
      <c r="D267" s="753"/>
      <c r="E267" s="753"/>
      <c r="F267" s="753"/>
      <c r="G267" s="753"/>
      <c r="H267" s="753"/>
      <c r="I267" s="753"/>
      <c r="J267" s="753"/>
      <c r="K267" s="753"/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</row>
    <row r="268" spans="1:44">
      <c r="A268" s="753"/>
      <c r="B268" s="753"/>
      <c r="C268" s="753"/>
      <c r="D268" s="753"/>
      <c r="E268" s="753"/>
      <c r="F268" s="753"/>
      <c r="G268" s="753"/>
      <c r="H268" s="753"/>
      <c r="I268" s="753"/>
      <c r="J268" s="753"/>
      <c r="K268" s="753"/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</row>
    <row r="269" spans="1:44">
      <c r="A269" s="753"/>
      <c r="B269" s="753"/>
      <c r="C269" s="753"/>
      <c r="D269" s="753"/>
      <c r="E269" s="753"/>
      <c r="F269" s="753"/>
      <c r="G269" s="753"/>
      <c r="H269" s="753"/>
      <c r="I269" s="753"/>
      <c r="J269" s="753"/>
      <c r="K269" s="753"/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</row>
    <row r="270" spans="1:44">
      <c r="A270" s="753"/>
      <c r="B270" s="753"/>
      <c r="C270" s="753"/>
      <c r="D270" s="753"/>
      <c r="E270" s="753"/>
      <c r="F270" s="753"/>
      <c r="G270" s="753"/>
      <c r="H270" s="753"/>
      <c r="I270" s="753"/>
      <c r="J270" s="753"/>
      <c r="K270" s="753"/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</row>
    <row r="271" spans="1:44">
      <c r="A271" s="753"/>
      <c r="B271" s="753"/>
      <c r="C271" s="753"/>
      <c r="D271" s="753"/>
      <c r="E271" s="753"/>
      <c r="F271" s="753"/>
      <c r="G271" s="753"/>
      <c r="H271" s="753"/>
      <c r="I271" s="753"/>
      <c r="J271" s="753"/>
      <c r="K271" s="753"/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</row>
    <row r="272" spans="1:44">
      <c r="A272" s="753"/>
      <c r="B272" s="753"/>
      <c r="C272" s="753"/>
      <c r="D272" s="753"/>
      <c r="E272" s="753"/>
      <c r="F272" s="753"/>
      <c r="G272" s="753"/>
      <c r="H272" s="753"/>
      <c r="I272" s="753"/>
      <c r="J272" s="753"/>
      <c r="K272" s="753"/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</row>
    <row r="273" spans="1:44">
      <c r="A273" s="753"/>
      <c r="B273" s="753"/>
      <c r="C273" s="753"/>
      <c r="D273" s="753"/>
      <c r="E273" s="753"/>
      <c r="F273" s="753"/>
      <c r="G273" s="753"/>
      <c r="H273" s="753"/>
      <c r="I273" s="753"/>
      <c r="J273" s="753"/>
      <c r="K273" s="753"/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</row>
    <row r="274" spans="1:44">
      <c r="A274" s="753"/>
      <c r="B274" s="753"/>
      <c r="C274" s="753"/>
      <c r="D274" s="753"/>
      <c r="E274" s="753"/>
      <c r="F274" s="753"/>
      <c r="G274" s="753"/>
      <c r="H274" s="753"/>
      <c r="I274" s="753"/>
      <c r="J274" s="753"/>
      <c r="K274" s="753"/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</row>
    <row r="275" spans="1:44">
      <c r="A275" s="753"/>
      <c r="B275" s="753"/>
      <c r="C275" s="753"/>
      <c r="D275" s="753"/>
      <c r="E275" s="753"/>
      <c r="F275" s="753"/>
      <c r="G275" s="753"/>
      <c r="H275" s="753"/>
      <c r="I275" s="753"/>
      <c r="J275" s="753"/>
      <c r="K275" s="753"/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</row>
    <row r="276" spans="1:44">
      <c r="A276" s="753"/>
      <c r="B276" s="753"/>
      <c r="C276" s="753"/>
      <c r="D276" s="753"/>
      <c r="E276" s="753"/>
      <c r="F276" s="753"/>
      <c r="G276" s="753"/>
      <c r="H276" s="753"/>
      <c r="I276" s="753"/>
      <c r="J276" s="753"/>
      <c r="K276" s="753"/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</row>
    <row r="277" spans="1:44">
      <c r="A277" s="753"/>
      <c r="B277" s="753"/>
      <c r="C277" s="753"/>
      <c r="D277" s="753"/>
      <c r="E277" s="753"/>
      <c r="F277" s="753"/>
      <c r="G277" s="753"/>
      <c r="H277" s="753"/>
      <c r="I277" s="753"/>
      <c r="J277" s="753"/>
      <c r="K277" s="753"/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</row>
    <row r="278" spans="1:44">
      <c r="A278" s="753"/>
      <c r="B278" s="753"/>
      <c r="C278" s="753"/>
      <c r="D278" s="753"/>
      <c r="E278" s="753"/>
      <c r="F278" s="753"/>
      <c r="G278" s="753"/>
      <c r="H278" s="753"/>
      <c r="I278" s="753"/>
      <c r="J278" s="753"/>
      <c r="K278" s="753"/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</row>
    <row r="279" spans="1:44">
      <c r="A279" s="753"/>
      <c r="B279" s="753"/>
      <c r="C279" s="753"/>
      <c r="D279" s="753"/>
      <c r="E279" s="753"/>
      <c r="F279" s="753"/>
      <c r="G279" s="753"/>
      <c r="H279" s="753"/>
      <c r="I279" s="753"/>
      <c r="J279" s="753"/>
      <c r="K279" s="753"/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</row>
    <row r="280" spans="1:44">
      <c r="A280" s="753"/>
      <c r="B280" s="753"/>
      <c r="C280" s="753"/>
      <c r="D280" s="753"/>
      <c r="E280" s="753"/>
      <c r="F280" s="753"/>
      <c r="G280" s="753"/>
      <c r="H280" s="753"/>
      <c r="I280" s="753"/>
      <c r="J280" s="753"/>
      <c r="K280" s="753"/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</row>
    <row r="281" spans="1:44">
      <c r="A281" s="753"/>
      <c r="B281" s="753"/>
      <c r="C281" s="753"/>
      <c r="D281" s="753"/>
      <c r="E281" s="753"/>
      <c r="F281" s="753"/>
      <c r="G281" s="753"/>
      <c r="H281" s="753"/>
      <c r="I281" s="753"/>
      <c r="J281" s="753"/>
      <c r="K281" s="753"/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</row>
    <row r="282" spans="1:44">
      <c r="A282" s="753"/>
      <c r="B282" s="753"/>
      <c r="C282" s="753"/>
      <c r="D282" s="753"/>
      <c r="E282" s="753"/>
      <c r="F282" s="753"/>
      <c r="G282" s="753"/>
      <c r="H282" s="753"/>
      <c r="I282" s="753"/>
      <c r="J282" s="753"/>
      <c r="K282" s="753"/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</row>
    <row r="283" spans="1:44">
      <c r="A283" s="753"/>
      <c r="B283" s="753"/>
      <c r="C283" s="753"/>
      <c r="D283" s="753"/>
      <c r="E283" s="753"/>
      <c r="F283" s="753"/>
      <c r="G283" s="753"/>
      <c r="H283" s="753"/>
      <c r="I283" s="753"/>
      <c r="J283" s="753"/>
      <c r="K283" s="753"/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</row>
    <row r="284" spans="1:44">
      <c r="A284" s="753"/>
      <c r="B284" s="753"/>
      <c r="C284" s="753"/>
      <c r="D284" s="753"/>
      <c r="E284" s="753"/>
      <c r="F284" s="753"/>
      <c r="G284" s="753"/>
      <c r="H284" s="753"/>
      <c r="I284" s="753"/>
      <c r="J284" s="753"/>
      <c r="K284" s="753"/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</row>
    <row r="285" spans="1:44">
      <c r="A285" s="753"/>
      <c r="B285" s="753"/>
      <c r="C285" s="753"/>
      <c r="D285" s="753"/>
      <c r="E285" s="753"/>
      <c r="F285" s="753"/>
      <c r="G285" s="753"/>
      <c r="H285" s="753"/>
      <c r="I285" s="753"/>
      <c r="J285" s="753"/>
      <c r="K285" s="753"/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</row>
    <row r="286" spans="1:44">
      <c r="A286" s="753"/>
      <c r="B286" s="753"/>
      <c r="C286" s="753"/>
      <c r="D286" s="753"/>
      <c r="E286" s="753"/>
      <c r="F286" s="753"/>
      <c r="G286" s="753"/>
      <c r="H286" s="753"/>
      <c r="I286" s="753"/>
      <c r="J286" s="753"/>
      <c r="K286" s="753"/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</row>
    <row r="287" spans="1:44">
      <c r="A287" s="753"/>
      <c r="B287" s="753"/>
      <c r="C287" s="753"/>
      <c r="D287" s="753"/>
      <c r="E287" s="753"/>
      <c r="F287" s="753"/>
      <c r="G287" s="753"/>
      <c r="H287" s="753"/>
      <c r="I287" s="753"/>
      <c r="J287" s="753"/>
      <c r="K287" s="753"/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</row>
    <row r="288" spans="1:44">
      <c r="A288" s="753"/>
      <c r="B288" s="753"/>
      <c r="C288" s="753"/>
      <c r="D288" s="753"/>
      <c r="E288" s="753"/>
      <c r="F288" s="753"/>
      <c r="G288" s="753"/>
      <c r="H288" s="753"/>
      <c r="I288" s="753"/>
      <c r="J288" s="753"/>
      <c r="K288" s="753"/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</row>
    <row r="289" spans="1:44">
      <c r="A289" s="753"/>
      <c r="B289" s="753"/>
      <c r="C289" s="753"/>
      <c r="D289" s="753"/>
      <c r="E289" s="753"/>
      <c r="F289" s="753"/>
      <c r="G289" s="753"/>
      <c r="H289" s="753"/>
      <c r="I289" s="753"/>
      <c r="J289" s="753"/>
      <c r="K289" s="753"/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</row>
    <row r="290" spans="1:44">
      <c r="A290" s="753"/>
      <c r="B290" s="753"/>
      <c r="C290" s="753"/>
      <c r="D290" s="753"/>
      <c r="E290" s="753"/>
      <c r="F290" s="753"/>
      <c r="G290" s="753"/>
      <c r="H290" s="753"/>
      <c r="I290" s="753"/>
      <c r="J290" s="753"/>
      <c r="K290" s="753"/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</row>
    <row r="291" spans="1:44">
      <c r="A291" s="753"/>
      <c r="B291" s="753"/>
      <c r="C291" s="753"/>
      <c r="D291" s="753"/>
      <c r="E291" s="753"/>
      <c r="F291" s="753"/>
      <c r="G291" s="753"/>
      <c r="H291" s="753"/>
      <c r="I291" s="753"/>
      <c r="J291" s="753"/>
      <c r="K291" s="753"/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</row>
    <row r="292" spans="1:44">
      <c r="A292" s="753"/>
      <c r="B292" s="753"/>
      <c r="C292" s="753"/>
      <c r="D292" s="753"/>
      <c r="E292" s="753"/>
      <c r="F292" s="753"/>
      <c r="G292" s="753"/>
      <c r="H292" s="753"/>
      <c r="I292" s="753"/>
      <c r="J292" s="753"/>
      <c r="K292" s="753"/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</row>
    <row r="293" spans="1:44">
      <c r="A293" s="753"/>
      <c r="B293" s="753"/>
      <c r="C293" s="753"/>
      <c r="D293" s="753"/>
      <c r="E293" s="753"/>
      <c r="F293" s="753"/>
      <c r="G293" s="753"/>
      <c r="H293" s="753"/>
      <c r="I293" s="753"/>
      <c r="J293" s="753"/>
      <c r="K293" s="753"/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</row>
    <row r="294" spans="1:44">
      <c r="A294" s="753"/>
      <c r="B294" s="753"/>
      <c r="C294" s="753"/>
      <c r="D294" s="753"/>
      <c r="E294" s="753"/>
      <c r="F294" s="753"/>
      <c r="G294" s="753"/>
      <c r="H294" s="753"/>
      <c r="I294" s="753"/>
      <c r="J294" s="753"/>
      <c r="K294" s="753"/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</row>
    <row r="295" spans="1:44">
      <c r="A295" s="753"/>
      <c r="B295" s="753"/>
      <c r="C295" s="753"/>
      <c r="D295" s="753"/>
      <c r="E295" s="753"/>
      <c r="F295" s="753"/>
      <c r="G295" s="753"/>
      <c r="H295" s="753"/>
      <c r="I295" s="753"/>
      <c r="J295" s="753"/>
      <c r="K295" s="753"/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</row>
    <row r="296" spans="1:44">
      <c r="A296" s="753"/>
      <c r="B296" s="753"/>
      <c r="C296" s="753"/>
      <c r="D296" s="753"/>
      <c r="E296" s="753"/>
      <c r="F296" s="753"/>
      <c r="G296" s="753"/>
      <c r="H296" s="753"/>
      <c r="I296" s="753"/>
      <c r="J296" s="753"/>
      <c r="K296" s="753"/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</row>
    <row r="297" spans="1:44">
      <c r="A297" s="753"/>
      <c r="B297" s="753"/>
      <c r="C297" s="753"/>
      <c r="D297" s="753"/>
      <c r="E297" s="753"/>
      <c r="F297" s="753"/>
      <c r="G297" s="753"/>
      <c r="H297" s="753"/>
      <c r="I297" s="753"/>
      <c r="J297" s="753"/>
      <c r="K297" s="753"/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</row>
    <row r="298" spans="1:44">
      <c r="A298" s="753"/>
      <c r="B298" s="753"/>
      <c r="C298" s="753"/>
      <c r="D298" s="753"/>
      <c r="E298" s="753"/>
      <c r="F298" s="753"/>
      <c r="G298" s="753"/>
      <c r="H298" s="753"/>
      <c r="I298" s="753"/>
      <c r="J298" s="753"/>
      <c r="K298" s="753"/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</row>
    <row r="299" spans="1:44">
      <c r="A299" s="753"/>
      <c r="B299" s="753"/>
      <c r="C299" s="753"/>
      <c r="D299" s="753"/>
      <c r="E299" s="753"/>
      <c r="F299" s="753"/>
      <c r="G299" s="753"/>
      <c r="H299" s="753"/>
      <c r="I299" s="753"/>
      <c r="J299" s="753"/>
      <c r="K299" s="753"/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</row>
    <row r="300" spans="1:44">
      <c r="A300" s="753"/>
      <c r="B300" s="753"/>
      <c r="C300" s="753"/>
      <c r="D300" s="753"/>
      <c r="E300" s="753"/>
      <c r="F300" s="753"/>
      <c r="G300" s="753"/>
      <c r="H300" s="753"/>
      <c r="I300" s="753"/>
      <c r="J300" s="753"/>
      <c r="K300" s="753"/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</row>
    <row r="301" spans="1:44">
      <c r="A301" s="753"/>
      <c r="B301" s="753"/>
      <c r="C301" s="753"/>
      <c r="D301" s="753"/>
      <c r="E301" s="753"/>
      <c r="F301" s="753"/>
      <c r="G301" s="753"/>
      <c r="H301" s="753"/>
      <c r="I301" s="753"/>
      <c r="J301" s="753"/>
      <c r="K301" s="753"/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</row>
    <row r="302" spans="1:44">
      <c r="A302" s="753"/>
      <c r="B302" s="753"/>
      <c r="C302" s="753"/>
      <c r="D302" s="753"/>
      <c r="E302" s="753"/>
      <c r="F302" s="753"/>
      <c r="G302" s="753"/>
      <c r="H302" s="753"/>
      <c r="I302" s="753"/>
      <c r="J302" s="753"/>
      <c r="K302" s="753"/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</row>
    <row r="303" spans="1:44">
      <c r="A303" s="753"/>
      <c r="B303" s="753"/>
      <c r="C303" s="753"/>
      <c r="D303" s="753"/>
      <c r="E303" s="753"/>
      <c r="F303" s="753"/>
      <c r="G303" s="753"/>
      <c r="H303" s="753"/>
      <c r="I303" s="753"/>
      <c r="J303" s="753"/>
      <c r="K303" s="753"/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</row>
    <row r="304" spans="1:44">
      <c r="A304" s="753"/>
      <c r="B304" s="753"/>
      <c r="C304" s="753"/>
      <c r="D304" s="753"/>
      <c r="E304" s="753"/>
      <c r="F304" s="753"/>
      <c r="G304" s="753"/>
      <c r="H304" s="753"/>
      <c r="I304" s="753"/>
      <c r="J304" s="753"/>
      <c r="K304" s="753"/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</row>
    <row r="305" spans="1:44">
      <c r="A305" s="753"/>
      <c r="B305" s="753"/>
      <c r="C305" s="753"/>
      <c r="D305" s="753"/>
      <c r="E305" s="753"/>
      <c r="F305" s="753"/>
      <c r="G305" s="753"/>
      <c r="H305" s="753"/>
      <c r="I305" s="753"/>
      <c r="J305" s="753"/>
      <c r="K305" s="753"/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</row>
    <row r="306" spans="1:44">
      <c r="A306" s="753"/>
      <c r="B306" s="753"/>
      <c r="C306" s="753"/>
      <c r="D306" s="753"/>
      <c r="E306" s="753"/>
      <c r="F306" s="753"/>
      <c r="G306" s="753"/>
      <c r="H306" s="753"/>
      <c r="I306" s="753"/>
      <c r="J306" s="753"/>
      <c r="K306" s="753"/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</row>
    <row r="307" spans="1:44">
      <c r="A307" s="753"/>
      <c r="B307" s="753"/>
      <c r="C307" s="753"/>
      <c r="D307" s="753"/>
      <c r="E307" s="753"/>
      <c r="F307" s="753"/>
      <c r="G307" s="753"/>
      <c r="H307" s="753"/>
      <c r="I307" s="753"/>
      <c r="J307" s="753"/>
      <c r="K307" s="753"/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</row>
    <row r="308" spans="1:44">
      <c r="A308" s="753"/>
      <c r="B308" s="753"/>
      <c r="C308" s="753"/>
      <c r="D308" s="753"/>
      <c r="E308" s="753"/>
      <c r="F308" s="753"/>
      <c r="G308" s="753"/>
      <c r="H308" s="753"/>
      <c r="I308" s="753"/>
      <c r="J308" s="753"/>
      <c r="K308" s="753"/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</row>
    <row r="309" spans="1:44">
      <c r="A309" s="753"/>
      <c r="B309" s="753"/>
      <c r="C309" s="753"/>
      <c r="D309" s="753"/>
      <c r="E309" s="753"/>
      <c r="F309" s="753"/>
      <c r="G309" s="753"/>
      <c r="H309" s="753"/>
      <c r="I309" s="753"/>
      <c r="J309" s="753"/>
      <c r="K309" s="753"/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</row>
    <row r="310" spans="1:44">
      <c r="A310" s="753"/>
      <c r="B310" s="753"/>
      <c r="C310" s="753"/>
      <c r="D310" s="753"/>
      <c r="E310" s="753"/>
      <c r="F310" s="753"/>
      <c r="G310" s="753"/>
      <c r="H310" s="753"/>
      <c r="I310" s="753"/>
      <c r="J310" s="753"/>
      <c r="K310" s="753"/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</row>
    <row r="311" spans="1:44">
      <c r="A311" s="753"/>
      <c r="B311" s="753"/>
      <c r="C311" s="753"/>
      <c r="D311" s="753"/>
      <c r="E311" s="753"/>
      <c r="F311" s="753"/>
      <c r="G311" s="753"/>
      <c r="H311" s="753"/>
      <c r="I311" s="753"/>
      <c r="J311" s="753"/>
      <c r="K311" s="753"/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</row>
    <row r="312" spans="1:44">
      <c r="A312" s="753"/>
      <c r="B312" s="753"/>
      <c r="C312" s="753"/>
      <c r="D312" s="753"/>
      <c r="E312" s="753"/>
      <c r="F312" s="753"/>
      <c r="G312" s="753"/>
      <c r="H312" s="753"/>
      <c r="I312" s="753"/>
      <c r="J312" s="753"/>
      <c r="K312" s="753"/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</row>
    <row r="313" spans="1:44">
      <c r="A313" s="753"/>
      <c r="B313" s="753"/>
      <c r="C313" s="753"/>
      <c r="D313" s="753"/>
      <c r="E313" s="753"/>
      <c r="F313" s="753"/>
      <c r="G313" s="753"/>
      <c r="H313" s="753"/>
      <c r="I313" s="753"/>
      <c r="J313" s="753"/>
      <c r="K313" s="753"/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</row>
    <row r="314" spans="1:44">
      <c r="A314" s="753"/>
      <c r="B314" s="753"/>
      <c r="C314" s="753"/>
      <c r="D314" s="753"/>
      <c r="E314" s="753"/>
      <c r="F314" s="753"/>
      <c r="G314" s="753"/>
      <c r="H314" s="753"/>
      <c r="I314" s="753"/>
      <c r="J314" s="753"/>
      <c r="K314" s="753"/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</row>
    <row r="315" spans="1:44">
      <c r="A315" s="753"/>
      <c r="B315" s="753"/>
      <c r="C315" s="753"/>
      <c r="D315" s="753"/>
      <c r="E315" s="753"/>
      <c r="F315" s="753"/>
      <c r="G315" s="753"/>
      <c r="H315" s="753"/>
      <c r="I315" s="753"/>
      <c r="J315" s="753"/>
      <c r="K315" s="753"/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</row>
    <row r="316" spans="1:44">
      <c r="A316" s="753"/>
      <c r="B316" s="753"/>
      <c r="C316" s="753"/>
      <c r="D316" s="753"/>
      <c r="E316" s="753"/>
      <c r="F316" s="753"/>
      <c r="G316" s="753"/>
      <c r="H316" s="753"/>
      <c r="I316" s="753"/>
      <c r="J316" s="753"/>
      <c r="K316" s="753"/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</row>
    <row r="317" spans="1:44">
      <c r="A317" s="753"/>
      <c r="B317" s="753"/>
      <c r="C317" s="753"/>
      <c r="D317" s="753"/>
      <c r="E317" s="753"/>
      <c r="F317" s="753"/>
      <c r="G317" s="753"/>
      <c r="H317" s="753"/>
      <c r="I317" s="753"/>
      <c r="J317" s="753"/>
      <c r="K317" s="753"/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</row>
    <row r="318" spans="1:44">
      <c r="A318" s="753"/>
      <c r="B318" s="753"/>
      <c r="C318" s="753"/>
      <c r="D318" s="753"/>
      <c r="E318" s="753"/>
      <c r="F318" s="753"/>
      <c r="G318" s="753"/>
      <c r="H318" s="753"/>
      <c r="I318" s="753"/>
      <c r="J318" s="753"/>
      <c r="K318" s="753"/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</row>
    <row r="319" spans="1:44">
      <c r="A319" s="753"/>
      <c r="B319" s="753"/>
      <c r="C319" s="753"/>
      <c r="D319" s="753"/>
      <c r="E319" s="753"/>
      <c r="F319" s="753"/>
      <c r="G319" s="753"/>
      <c r="H319" s="753"/>
      <c r="I319" s="753"/>
      <c r="J319" s="753"/>
      <c r="K319" s="753"/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</row>
    <row r="320" spans="1:44">
      <c r="A320" s="753"/>
      <c r="B320" s="753"/>
      <c r="C320" s="753"/>
      <c r="D320" s="753"/>
      <c r="E320" s="753"/>
      <c r="F320" s="753"/>
      <c r="G320" s="753"/>
      <c r="H320" s="753"/>
      <c r="I320" s="753"/>
      <c r="J320" s="753"/>
      <c r="K320" s="753"/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</row>
    <row r="321" spans="1:44">
      <c r="A321" s="753"/>
      <c r="B321" s="753"/>
      <c r="C321" s="753"/>
      <c r="D321" s="753"/>
      <c r="E321" s="753"/>
      <c r="F321" s="753"/>
      <c r="G321" s="753"/>
      <c r="H321" s="753"/>
      <c r="I321" s="753"/>
      <c r="J321" s="753"/>
      <c r="K321" s="753"/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</row>
    <row r="322" spans="1:44">
      <c r="A322" s="753"/>
      <c r="B322" s="753"/>
      <c r="C322" s="753"/>
      <c r="D322" s="753"/>
      <c r="E322" s="753"/>
      <c r="F322" s="753"/>
      <c r="G322" s="753"/>
      <c r="H322" s="753"/>
      <c r="I322" s="753"/>
      <c r="J322" s="753"/>
      <c r="K322" s="753"/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</row>
    <row r="323" spans="1:44">
      <c r="A323" s="753"/>
      <c r="B323" s="753"/>
      <c r="C323" s="753"/>
      <c r="D323" s="753"/>
      <c r="E323" s="753"/>
      <c r="F323" s="753"/>
      <c r="G323" s="753"/>
      <c r="H323" s="753"/>
      <c r="I323" s="753"/>
      <c r="J323" s="753"/>
      <c r="K323" s="753"/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</row>
    <row r="324" spans="1:44">
      <c r="A324" s="753"/>
      <c r="B324" s="753"/>
      <c r="C324" s="753"/>
      <c r="D324" s="753"/>
      <c r="E324" s="753"/>
      <c r="F324" s="753"/>
      <c r="G324" s="753"/>
      <c r="H324" s="753"/>
      <c r="I324" s="753"/>
      <c r="J324" s="753"/>
      <c r="K324" s="753"/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</row>
    <row r="325" spans="1:44">
      <c r="A325" s="753"/>
      <c r="B325" s="753"/>
      <c r="C325" s="753"/>
      <c r="D325" s="753"/>
      <c r="E325" s="753"/>
      <c r="F325" s="753"/>
      <c r="G325" s="753"/>
      <c r="H325" s="753"/>
      <c r="I325" s="753"/>
      <c r="J325" s="753"/>
      <c r="K325" s="753"/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</row>
    <row r="326" spans="1:44">
      <c r="A326" s="753"/>
      <c r="B326" s="753"/>
      <c r="C326" s="753"/>
      <c r="D326" s="753"/>
      <c r="E326" s="753"/>
      <c r="F326" s="753"/>
      <c r="G326" s="753"/>
      <c r="H326" s="753"/>
      <c r="I326" s="753"/>
      <c r="J326" s="753"/>
      <c r="K326" s="753"/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</row>
    <row r="327" spans="1:44">
      <c r="A327" s="753"/>
      <c r="B327" s="753"/>
      <c r="C327" s="753"/>
      <c r="D327" s="753"/>
      <c r="E327" s="753"/>
      <c r="F327" s="753"/>
      <c r="G327" s="753"/>
      <c r="H327" s="753"/>
      <c r="I327" s="753"/>
      <c r="J327" s="753"/>
      <c r="K327" s="753"/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</row>
    <row r="328" spans="1:44">
      <c r="A328" s="753"/>
      <c r="B328" s="753"/>
      <c r="C328" s="753"/>
      <c r="D328" s="753"/>
      <c r="E328" s="753"/>
      <c r="F328" s="753"/>
      <c r="G328" s="753"/>
      <c r="H328" s="753"/>
      <c r="I328" s="753"/>
      <c r="J328" s="753"/>
      <c r="K328" s="753"/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</row>
    <row r="329" spans="1:44">
      <c r="A329" s="753"/>
      <c r="B329" s="753"/>
      <c r="C329" s="753"/>
      <c r="D329" s="753"/>
      <c r="E329" s="753"/>
      <c r="F329" s="753"/>
      <c r="G329" s="753"/>
      <c r="H329" s="753"/>
      <c r="I329" s="753"/>
      <c r="J329" s="753"/>
      <c r="K329" s="753"/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</row>
    <row r="330" spans="1:44">
      <c r="A330" s="753"/>
      <c r="B330" s="753"/>
      <c r="C330" s="753"/>
      <c r="D330" s="753"/>
      <c r="E330" s="753"/>
      <c r="F330" s="753"/>
      <c r="G330" s="753"/>
      <c r="H330" s="753"/>
      <c r="I330" s="753"/>
      <c r="J330" s="753"/>
      <c r="K330" s="753"/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</row>
    <row r="331" spans="1:44">
      <c r="A331" s="753"/>
      <c r="B331" s="753"/>
      <c r="C331" s="753"/>
      <c r="D331" s="753"/>
      <c r="E331" s="753"/>
      <c r="F331" s="753"/>
      <c r="G331" s="753"/>
      <c r="H331" s="753"/>
      <c r="I331" s="753"/>
      <c r="J331" s="753"/>
      <c r="K331" s="753"/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</row>
    <row r="332" spans="1:44">
      <c r="A332" s="753"/>
      <c r="B332" s="753"/>
      <c r="C332" s="753"/>
      <c r="D332" s="753"/>
      <c r="E332" s="753"/>
      <c r="F332" s="753"/>
      <c r="G332" s="753"/>
      <c r="H332" s="753"/>
      <c r="I332" s="753"/>
      <c r="J332" s="753"/>
      <c r="K332" s="753"/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</row>
    <row r="333" spans="1:44">
      <c r="A333" s="753"/>
      <c r="B333" s="753"/>
      <c r="C333" s="753"/>
      <c r="D333" s="753"/>
      <c r="E333" s="753"/>
      <c r="F333" s="753"/>
      <c r="G333" s="753"/>
      <c r="H333" s="753"/>
      <c r="I333" s="753"/>
      <c r="J333" s="753"/>
      <c r="K333" s="753"/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</row>
    <row r="334" spans="1:44">
      <c r="A334" s="753"/>
      <c r="B334" s="753"/>
      <c r="C334" s="753"/>
      <c r="D334" s="753"/>
      <c r="E334" s="753"/>
      <c r="F334" s="753"/>
      <c r="G334" s="753"/>
      <c r="H334" s="753"/>
      <c r="I334" s="753"/>
      <c r="J334" s="753"/>
      <c r="K334" s="753"/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</row>
    <row r="335" spans="1:44">
      <c r="A335" s="753"/>
      <c r="B335" s="753"/>
      <c r="C335" s="753"/>
      <c r="D335" s="753"/>
      <c r="E335" s="753"/>
      <c r="F335" s="753"/>
      <c r="G335" s="753"/>
      <c r="H335" s="753"/>
      <c r="I335" s="753"/>
      <c r="J335" s="753"/>
      <c r="K335" s="753"/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</row>
    <row r="336" spans="1:44">
      <c r="A336" s="753"/>
      <c r="B336" s="753"/>
      <c r="C336" s="753"/>
      <c r="D336" s="753"/>
      <c r="E336" s="753"/>
      <c r="F336" s="753"/>
      <c r="G336" s="753"/>
      <c r="H336" s="753"/>
      <c r="I336" s="753"/>
      <c r="J336" s="753"/>
      <c r="K336" s="753"/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</row>
    <row r="337" spans="1:44">
      <c r="A337" s="753"/>
      <c r="B337" s="753"/>
      <c r="C337" s="753"/>
      <c r="D337" s="753"/>
      <c r="E337" s="753"/>
      <c r="F337" s="753"/>
      <c r="G337" s="753"/>
      <c r="H337" s="753"/>
      <c r="I337" s="753"/>
      <c r="J337" s="753"/>
      <c r="K337" s="753"/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</row>
    <row r="338" spans="1:44">
      <c r="A338" s="753"/>
      <c r="B338" s="753"/>
      <c r="C338" s="753"/>
      <c r="D338" s="753"/>
      <c r="E338" s="753"/>
      <c r="F338" s="753"/>
      <c r="G338" s="753"/>
      <c r="H338" s="753"/>
      <c r="I338" s="753"/>
      <c r="J338" s="753"/>
      <c r="K338" s="753"/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</row>
    <row r="339" spans="1:44">
      <c r="A339" s="753"/>
      <c r="B339" s="753"/>
      <c r="C339" s="753"/>
      <c r="D339" s="753"/>
      <c r="E339" s="753"/>
      <c r="F339" s="753"/>
      <c r="G339" s="753"/>
      <c r="H339" s="753"/>
      <c r="I339" s="753"/>
      <c r="J339" s="753"/>
      <c r="K339" s="753"/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</row>
    <row r="340" spans="1:44">
      <c r="A340" s="753"/>
      <c r="B340" s="753"/>
      <c r="C340" s="753"/>
      <c r="D340" s="753"/>
      <c r="E340" s="753"/>
      <c r="F340" s="753"/>
      <c r="G340" s="753"/>
      <c r="H340" s="753"/>
      <c r="I340" s="753"/>
      <c r="J340" s="753"/>
      <c r="K340" s="753"/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</row>
    <row r="341" spans="1:44">
      <c r="A341" s="753"/>
      <c r="B341" s="753"/>
      <c r="C341" s="753"/>
      <c r="D341" s="753"/>
      <c r="E341" s="753"/>
      <c r="F341" s="753"/>
      <c r="G341" s="753"/>
      <c r="H341" s="753"/>
      <c r="I341" s="753"/>
      <c r="J341" s="753"/>
      <c r="K341" s="753"/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</row>
    <row r="342" spans="1:44">
      <c r="A342" s="753"/>
      <c r="B342" s="753"/>
      <c r="C342" s="753"/>
      <c r="D342" s="753"/>
      <c r="E342" s="753"/>
      <c r="F342" s="753"/>
      <c r="G342" s="753"/>
      <c r="H342" s="753"/>
      <c r="I342" s="753"/>
      <c r="J342" s="753"/>
      <c r="K342" s="753"/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</row>
    <row r="343" spans="1:44">
      <c r="A343" s="753"/>
      <c r="B343" s="753"/>
      <c r="C343" s="753"/>
      <c r="D343" s="753"/>
      <c r="E343" s="753"/>
      <c r="F343" s="753"/>
      <c r="G343" s="753"/>
      <c r="H343" s="753"/>
      <c r="I343" s="753"/>
      <c r="J343" s="753"/>
      <c r="K343" s="753"/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</row>
    <row r="344" spans="1:44">
      <c r="A344" s="753"/>
      <c r="B344" s="753"/>
      <c r="C344" s="753"/>
      <c r="D344" s="753"/>
      <c r="E344" s="753"/>
      <c r="F344" s="753"/>
      <c r="G344" s="753"/>
      <c r="H344" s="753"/>
      <c r="I344" s="753"/>
      <c r="J344" s="753"/>
      <c r="K344" s="753"/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</row>
    <row r="345" spans="1:44">
      <c r="A345" s="753"/>
      <c r="B345" s="753"/>
      <c r="C345" s="753"/>
      <c r="D345" s="753"/>
      <c r="E345" s="753"/>
      <c r="F345" s="753"/>
      <c r="G345" s="753"/>
      <c r="H345" s="753"/>
      <c r="I345" s="753"/>
      <c r="J345" s="753"/>
      <c r="K345" s="753"/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</row>
    <row r="346" spans="1:44">
      <c r="A346" s="753"/>
      <c r="B346" s="753"/>
      <c r="C346" s="753"/>
      <c r="D346" s="753"/>
      <c r="E346" s="753"/>
      <c r="F346" s="753"/>
      <c r="G346" s="753"/>
      <c r="H346" s="753"/>
      <c r="I346" s="753"/>
      <c r="J346" s="753"/>
      <c r="K346" s="753"/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</row>
    <row r="347" spans="1:44">
      <c r="A347" s="753"/>
      <c r="B347" s="753"/>
      <c r="C347" s="753"/>
      <c r="D347" s="753"/>
      <c r="E347" s="753"/>
      <c r="F347" s="753"/>
      <c r="G347" s="753"/>
      <c r="H347" s="753"/>
      <c r="I347" s="753"/>
      <c r="J347" s="753"/>
      <c r="K347" s="753"/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</row>
    <row r="348" spans="1:44">
      <c r="A348" s="753"/>
      <c r="B348" s="753"/>
      <c r="C348" s="753"/>
      <c r="D348" s="753"/>
      <c r="E348" s="753"/>
      <c r="F348" s="753"/>
      <c r="G348" s="753"/>
      <c r="H348" s="753"/>
      <c r="I348" s="753"/>
      <c r="J348" s="753"/>
      <c r="K348" s="753"/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</row>
    <row r="349" spans="1:44">
      <c r="A349" s="753"/>
      <c r="B349" s="753"/>
      <c r="C349" s="753"/>
      <c r="D349" s="753"/>
      <c r="E349" s="753"/>
      <c r="F349" s="753"/>
      <c r="G349" s="753"/>
      <c r="H349" s="753"/>
      <c r="I349" s="753"/>
      <c r="J349" s="753"/>
      <c r="K349" s="753"/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</row>
    <row r="350" spans="1:44">
      <c r="A350" s="753"/>
      <c r="B350" s="753"/>
      <c r="C350" s="753"/>
      <c r="D350" s="753"/>
      <c r="E350" s="753"/>
      <c r="F350" s="753"/>
      <c r="G350" s="753"/>
      <c r="H350" s="753"/>
      <c r="I350" s="753"/>
      <c r="J350" s="753"/>
      <c r="K350" s="753"/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</row>
    <row r="351" spans="1:44">
      <c r="A351" s="753"/>
      <c r="B351" s="753"/>
      <c r="C351" s="753"/>
      <c r="D351" s="753"/>
      <c r="E351" s="753"/>
      <c r="F351" s="753"/>
      <c r="G351" s="753"/>
      <c r="H351" s="753"/>
      <c r="I351" s="753"/>
      <c r="J351" s="753"/>
      <c r="K351" s="753"/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</row>
  </sheetData>
  <printOptions horizontalCentered="1"/>
  <pageMargins left="0.75" right="0.75" top="1" bottom="1" header="0.5" footer="0.5"/>
  <pageSetup scale="78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2"/>
  <sheetViews>
    <sheetView topLeftCell="A112" zoomScale="80" workbookViewId="0">
      <selection activeCell="A114" sqref="A114"/>
    </sheetView>
  </sheetViews>
  <sheetFormatPr defaultRowHeight="12.75"/>
  <cols>
    <col min="1" max="1" width="45.85546875" customWidth="1"/>
    <col min="2" max="2" width="9" customWidth="1"/>
    <col min="3" max="4" width="9.5703125" customWidth="1"/>
    <col min="5" max="5" width="10" customWidth="1"/>
    <col min="6" max="6" width="30.7109375" customWidth="1"/>
    <col min="7" max="7" width="9.42578125" customWidth="1"/>
  </cols>
  <sheetData>
    <row r="1" spans="1:8" ht="15.75">
      <c r="A1" s="875" t="str">
        <f>Scope!A1</f>
        <v>Plano, Illinois 6 x LM6000 Power Project, Rev 0</v>
      </c>
      <c r="B1" s="875"/>
      <c r="C1" s="875"/>
      <c r="D1" s="875"/>
      <c r="E1" s="875"/>
      <c r="F1" s="875"/>
      <c r="G1" s="714"/>
      <c r="H1" s="714"/>
    </row>
    <row r="2" spans="1:8" ht="15.75">
      <c r="A2" s="876" t="s">
        <v>31</v>
      </c>
      <c r="B2" s="876"/>
      <c r="C2" s="876"/>
      <c r="D2" s="876"/>
      <c r="E2" s="876"/>
      <c r="F2" s="876"/>
      <c r="G2" s="714"/>
      <c r="H2" s="714"/>
    </row>
    <row r="4" spans="1:8">
      <c r="C4" s="622" t="s">
        <v>32</v>
      </c>
    </row>
    <row r="5" spans="1:8">
      <c r="C5" s="877" t="s">
        <v>1498</v>
      </c>
      <c r="D5" s="878" t="s">
        <v>33</v>
      </c>
      <c r="E5" s="877" t="s">
        <v>34</v>
      </c>
      <c r="F5" s="879" t="s">
        <v>35</v>
      </c>
      <c r="G5" s="285"/>
      <c r="H5" s="285"/>
    </row>
    <row r="6" spans="1:8">
      <c r="A6" s="346" t="s">
        <v>36</v>
      </c>
      <c r="B6" s="346"/>
      <c r="C6" s="880"/>
      <c r="D6" s="881"/>
      <c r="E6" s="880"/>
      <c r="F6" s="882"/>
    </row>
    <row r="7" spans="1:8">
      <c r="A7" s="346"/>
      <c r="B7" s="346"/>
      <c r="C7" s="880"/>
      <c r="D7" s="881"/>
      <c r="E7" s="880"/>
      <c r="F7" s="882"/>
    </row>
    <row r="8" spans="1:8">
      <c r="A8" t="s">
        <v>37</v>
      </c>
      <c r="C8" s="883"/>
      <c r="D8" s="884"/>
      <c r="E8" s="883"/>
      <c r="F8" s="882"/>
    </row>
    <row r="9" spans="1:8">
      <c r="A9" t="s">
        <v>38</v>
      </c>
      <c r="C9" s="883"/>
      <c r="D9" s="884"/>
      <c r="E9" s="883" t="s">
        <v>39</v>
      </c>
      <c r="F9" s="882"/>
    </row>
    <row r="10" spans="1:8">
      <c r="A10" t="s">
        <v>40</v>
      </c>
      <c r="C10" s="883"/>
      <c r="D10" s="883" t="s">
        <v>39</v>
      </c>
      <c r="E10" s="883"/>
      <c r="F10" s="882"/>
    </row>
    <row r="11" spans="1:8">
      <c r="A11" t="s">
        <v>41</v>
      </c>
      <c r="C11" s="883" t="s">
        <v>39</v>
      </c>
      <c r="D11" s="883"/>
      <c r="E11" s="883"/>
      <c r="F11" s="882"/>
    </row>
    <row r="12" spans="1:8">
      <c r="A12" t="s">
        <v>42</v>
      </c>
      <c r="C12" s="883"/>
      <c r="D12" s="883"/>
      <c r="E12" s="883"/>
      <c r="F12" s="882"/>
    </row>
    <row r="13" spans="1:8">
      <c r="A13" t="s">
        <v>38</v>
      </c>
      <c r="C13" s="883"/>
      <c r="D13" s="883"/>
      <c r="E13" s="883" t="s">
        <v>39</v>
      </c>
      <c r="F13" s="882"/>
    </row>
    <row r="14" spans="1:8">
      <c r="A14" t="s">
        <v>40</v>
      </c>
      <c r="C14" s="883"/>
      <c r="D14" s="883" t="s">
        <v>39</v>
      </c>
      <c r="E14" s="883"/>
      <c r="F14" s="882"/>
    </row>
    <row r="15" spans="1:8">
      <c r="A15" t="s">
        <v>41</v>
      </c>
      <c r="C15" s="883" t="s">
        <v>39</v>
      </c>
      <c r="D15" s="883"/>
      <c r="E15" s="883"/>
      <c r="F15" s="882"/>
    </row>
    <row r="16" spans="1:8">
      <c r="A16" t="s">
        <v>1666</v>
      </c>
      <c r="C16" s="883"/>
      <c r="D16" s="883"/>
      <c r="E16" s="883"/>
      <c r="F16" s="882"/>
    </row>
    <row r="17" spans="1:6">
      <c r="A17" t="s">
        <v>43</v>
      </c>
      <c r="C17" s="883" t="s">
        <v>39</v>
      </c>
      <c r="D17" s="883"/>
      <c r="E17" s="883"/>
      <c r="F17" s="882"/>
    </row>
    <row r="18" spans="1:6">
      <c r="A18" t="s">
        <v>44</v>
      </c>
      <c r="C18" s="883" t="s">
        <v>39</v>
      </c>
      <c r="D18" s="883"/>
      <c r="E18" s="883"/>
      <c r="F18" s="882"/>
    </row>
    <row r="19" spans="1:6">
      <c r="A19" t="s">
        <v>45</v>
      </c>
      <c r="C19" s="883" t="s">
        <v>39</v>
      </c>
      <c r="D19" s="883"/>
      <c r="E19" s="883"/>
      <c r="F19" s="882"/>
    </row>
    <row r="20" spans="1:6">
      <c r="A20" t="s">
        <v>46</v>
      </c>
      <c r="C20" s="883"/>
      <c r="D20" s="883"/>
      <c r="E20" s="883" t="s">
        <v>39</v>
      </c>
      <c r="F20" s="882" t="s">
        <v>47</v>
      </c>
    </row>
    <row r="21" spans="1:6">
      <c r="A21" t="s">
        <v>48</v>
      </c>
      <c r="C21" s="883"/>
      <c r="D21" s="883" t="s">
        <v>39</v>
      </c>
      <c r="E21" s="883"/>
      <c r="F21" s="882"/>
    </row>
    <row r="22" spans="1:6">
      <c r="A22" t="s">
        <v>49</v>
      </c>
      <c r="C22" s="883"/>
      <c r="D22" s="883"/>
      <c r="E22" s="883" t="s">
        <v>39</v>
      </c>
      <c r="F22" s="882" t="s">
        <v>47</v>
      </c>
    </row>
    <row r="23" spans="1:6">
      <c r="A23" t="s">
        <v>50</v>
      </c>
      <c r="C23" s="883"/>
      <c r="D23" s="883"/>
      <c r="E23" s="883" t="s">
        <v>39</v>
      </c>
      <c r="F23" s="882" t="s">
        <v>47</v>
      </c>
    </row>
    <row r="24" spans="1:6">
      <c r="A24" t="s">
        <v>1667</v>
      </c>
      <c r="C24" s="883"/>
      <c r="D24" s="883"/>
      <c r="E24" s="883"/>
      <c r="F24" s="882"/>
    </row>
    <row r="25" spans="1:6">
      <c r="A25" t="s">
        <v>40</v>
      </c>
      <c r="C25" s="883"/>
      <c r="D25" s="883" t="s">
        <v>39</v>
      </c>
      <c r="E25" s="883"/>
      <c r="F25" s="882"/>
    </row>
    <row r="26" spans="1:6">
      <c r="A26" t="s">
        <v>41</v>
      </c>
      <c r="C26" s="883" t="s">
        <v>39</v>
      </c>
      <c r="D26" s="883"/>
      <c r="E26" s="883"/>
      <c r="F26" s="882"/>
    </row>
    <row r="27" spans="1:6">
      <c r="A27" t="s">
        <v>51</v>
      </c>
      <c r="C27" s="883"/>
      <c r="D27" s="883"/>
      <c r="E27" s="883"/>
      <c r="F27" s="882"/>
    </row>
    <row r="28" spans="1:6">
      <c r="A28" t="s">
        <v>40</v>
      </c>
      <c r="C28" s="883"/>
      <c r="D28" s="883" t="s">
        <v>39</v>
      </c>
      <c r="E28" s="883"/>
      <c r="F28" s="882"/>
    </row>
    <row r="29" spans="1:6">
      <c r="A29" t="s">
        <v>52</v>
      </c>
      <c r="C29" s="883" t="s">
        <v>39</v>
      </c>
      <c r="D29" s="883"/>
      <c r="E29" s="883"/>
      <c r="F29" s="882"/>
    </row>
    <row r="30" spans="1:6">
      <c r="A30" t="s">
        <v>53</v>
      </c>
      <c r="C30" s="883"/>
      <c r="D30" s="883"/>
      <c r="E30" s="883"/>
      <c r="F30" s="882"/>
    </row>
    <row r="31" spans="1:6">
      <c r="A31" t="s">
        <v>54</v>
      </c>
      <c r="C31" s="883"/>
      <c r="D31" s="883" t="s">
        <v>39</v>
      </c>
      <c r="E31" s="883"/>
      <c r="F31" s="882"/>
    </row>
    <row r="32" spans="1:6">
      <c r="A32" t="s">
        <v>55</v>
      </c>
      <c r="C32" s="883" t="s">
        <v>39</v>
      </c>
      <c r="D32" s="883"/>
      <c r="E32" s="883"/>
      <c r="F32" s="882"/>
    </row>
    <row r="33" spans="1:6">
      <c r="A33" t="s">
        <v>56</v>
      </c>
      <c r="C33" s="883"/>
      <c r="D33" s="883"/>
      <c r="E33" s="883"/>
      <c r="F33" s="882"/>
    </row>
    <row r="34" spans="1:6">
      <c r="A34" t="s">
        <v>57</v>
      </c>
      <c r="C34" s="883"/>
      <c r="D34" s="883"/>
      <c r="E34" s="883" t="s">
        <v>39</v>
      </c>
      <c r="F34" s="882" t="s">
        <v>58</v>
      </c>
    </row>
    <row r="35" spans="1:6">
      <c r="A35" s="885" t="s">
        <v>59</v>
      </c>
      <c r="C35" s="883"/>
      <c r="D35" s="883" t="s">
        <v>39</v>
      </c>
      <c r="E35" s="883"/>
      <c r="F35" s="882"/>
    </row>
    <row r="36" spans="1:6">
      <c r="A36" t="s">
        <v>60</v>
      </c>
      <c r="C36" s="883" t="s">
        <v>39</v>
      </c>
      <c r="D36" s="883"/>
      <c r="E36" s="883"/>
      <c r="F36" s="882"/>
    </row>
    <row r="37" spans="1:6">
      <c r="A37" s="885" t="s">
        <v>61</v>
      </c>
      <c r="C37" s="883"/>
      <c r="D37" s="883" t="s">
        <v>39</v>
      </c>
      <c r="E37" s="883"/>
      <c r="F37" s="882"/>
    </row>
    <row r="38" spans="1:6">
      <c r="A38" t="s">
        <v>62</v>
      </c>
      <c r="C38" s="883"/>
      <c r="D38" s="883"/>
      <c r="E38" s="883"/>
      <c r="F38" s="882"/>
    </row>
    <row r="39" spans="1:6">
      <c r="A39" t="s">
        <v>63</v>
      </c>
      <c r="C39" s="883" t="s">
        <v>39</v>
      </c>
      <c r="D39" s="883"/>
      <c r="E39" s="883"/>
      <c r="F39" s="882" t="s">
        <v>64</v>
      </c>
    </row>
    <row r="40" spans="1:6">
      <c r="A40" t="s">
        <v>65</v>
      </c>
      <c r="C40" s="883"/>
      <c r="D40" s="883" t="s">
        <v>39</v>
      </c>
      <c r="E40" s="883"/>
      <c r="F40" s="882" t="s">
        <v>66</v>
      </c>
    </row>
    <row r="41" spans="1:6">
      <c r="A41" t="s">
        <v>67</v>
      </c>
      <c r="C41" s="883"/>
      <c r="D41" s="883"/>
      <c r="E41" s="883" t="s">
        <v>39</v>
      </c>
      <c r="F41" s="882" t="s">
        <v>66</v>
      </c>
    </row>
    <row r="42" spans="1:6">
      <c r="A42" t="s">
        <v>68</v>
      </c>
      <c r="C42" s="883"/>
      <c r="D42" s="883"/>
      <c r="E42" s="883"/>
      <c r="F42" s="882"/>
    </row>
    <row r="43" spans="1:6">
      <c r="A43" t="s">
        <v>69</v>
      </c>
      <c r="C43" s="883" t="s">
        <v>39</v>
      </c>
      <c r="D43" s="883"/>
      <c r="E43" s="883"/>
      <c r="F43" s="882"/>
    </row>
    <row r="44" spans="1:6">
      <c r="A44" t="s">
        <v>70</v>
      </c>
      <c r="C44" s="883" t="s">
        <v>39</v>
      </c>
      <c r="D44" s="883"/>
      <c r="E44" s="883"/>
      <c r="F44" s="882"/>
    </row>
    <row r="45" spans="1:6">
      <c r="A45" s="885" t="s">
        <v>71</v>
      </c>
      <c r="C45" s="883" t="s">
        <v>39</v>
      </c>
      <c r="D45" s="883"/>
      <c r="E45" s="883"/>
      <c r="F45" s="886" t="s">
        <v>72</v>
      </c>
    </row>
    <row r="46" spans="1:6">
      <c r="A46" t="s">
        <v>73</v>
      </c>
      <c r="C46" s="883" t="s">
        <v>39</v>
      </c>
      <c r="D46" s="883"/>
      <c r="E46" s="883"/>
      <c r="F46" s="886"/>
    </row>
    <row r="47" spans="1:6">
      <c r="A47" t="s">
        <v>74</v>
      </c>
      <c r="C47" s="883" t="s">
        <v>39</v>
      </c>
      <c r="D47" s="883"/>
      <c r="E47" s="883"/>
      <c r="F47" s="882"/>
    </row>
    <row r="48" spans="1:6">
      <c r="A48" t="s">
        <v>75</v>
      </c>
      <c r="C48" s="883" t="s">
        <v>39</v>
      </c>
      <c r="D48" s="883" t="s">
        <v>39</v>
      </c>
      <c r="E48" s="883"/>
      <c r="F48" s="882"/>
    </row>
    <row r="49" spans="1:6">
      <c r="A49" t="s">
        <v>76</v>
      </c>
      <c r="C49" s="883"/>
      <c r="D49" s="883" t="s">
        <v>39</v>
      </c>
      <c r="E49" s="883"/>
      <c r="F49" s="882"/>
    </row>
    <row r="50" spans="1:6">
      <c r="A50" s="885" t="s">
        <v>77</v>
      </c>
      <c r="C50" s="883" t="s">
        <v>39</v>
      </c>
      <c r="D50" s="883"/>
      <c r="E50" s="883"/>
      <c r="F50" s="886" t="s">
        <v>78</v>
      </c>
    </row>
    <row r="51" spans="1:6">
      <c r="A51" s="885" t="s">
        <v>79</v>
      </c>
      <c r="C51" s="883" t="s">
        <v>39</v>
      </c>
      <c r="D51" s="883"/>
      <c r="E51" s="882"/>
      <c r="F51" s="882"/>
    </row>
    <row r="52" spans="1:6">
      <c r="A52" s="885" t="s">
        <v>80</v>
      </c>
      <c r="C52" s="883"/>
      <c r="D52" s="883" t="s">
        <v>39</v>
      </c>
      <c r="E52" s="883"/>
      <c r="F52" s="882"/>
    </row>
    <row r="53" spans="1:6">
      <c r="A53" s="885" t="s">
        <v>81</v>
      </c>
      <c r="C53" s="882"/>
      <c r="D53" s="883"/>
      <c r="E53" s="883" t="s">
        <v>39</v>
      </c>
      <c r="F53" s="882"/>
    </row>
    <row r="54" spans="1:6">
      <c r="A54" s="885" t="s">
        <v>82</v>
      </c>
      <c r="C54" s="883" t="s">
        <v>39</v>
      </c>
      <c r="D54" s="883"/>
      <c r="E54" s="882"/>
      <c r="F54" s="882"/>
    </row>
    <row r="55" spans="1:6">
      <c r="A55" t="s">
        <v>83</v>
      </c>
      <c r="C55" s="883" t="s">
        <v>39</v>
      </c>
      <c r="D55" s="883"/>
      <c r="E55" s="883"/>
      <c r="F55" s="882"/>
    </row>
    <row r="56" spans="1:6">
      <c r="A56" t="s">
        <v>84</v>
      </c>
      <c r="C56" s="883"/>
      <c r="D56" s="883"/>
      <c r="E56" s="883"/>
      <c r="F56" s="882" t="s">
        <v>85</v>
      </c>
    </row>
    <row r="57" spans="1:6">
      <c r="A57" t="s">
        <v>86</v>
      </c>
      <c r="C57" s="883" t="s">
        <v>39</v>
      </c>
      <c r="D57" s="883"/>
      <c r="E57" s="883"/>
      <c r="F57" s="882"/>
    </row>
    <row r="58" spans="1:6">
      <c r="A58" t="s">
        <v>87</v>
      </c>
      <c r="C58" s="883" t="s">
        <v>39</v>
      </c>
      <c r="D58" s="883"/>
      <c r="E58" s="883"/>
      <c r="F58" s="882"/>
    </row>
    <row r="59" spans="1:6">
      <c r="C59" s="887"/>
      <c r="D59" s="887"/>
      <c r="E59" s="887"/>
    </row>
    <row r="60" spans="1:6">
      <c r="A60" t="s">
        <v>88</v>
      </c>
      <c r="C60" s="887"/>
      <c r="D60" s="887"/>
      <c r="E60" s="887"/>
    </row>
    <row r="61" spans="1:6">
      <c r="A61" t="s">
        <v>89</v>
      </c>
      <c r="C61" s="887"/>
      <c r="D61" s="887"/>
      <c r="E61" s="887"/>
    </row>
    <row r="62" spans="1:6">
      <c r="C62" s="622" t="s">
        <v>32</v>
      </c>
      <c r="D62" s="733"/>
      <c r="E62" s="733"/>
      <c r="F62" s="733"/>
    </row>
    <row r="63" spans="1:6">
      <c r="C63" s="888" t="s">
        <v>1498</v>
      </c>
      <c r="D63" s="717" t="s">
        <v>33</v>
      </c>
      <c r="E63" s="888" t="s">
        <v>34</v>
      </c>
      <c r="F63" s="622" t="s">
        <v>35</v>
      </c>
    </row>
    <row r="64" spans="1:6">
      <c r="A64" t="s">
        <v>90</v>
      </c>
      <c r="C64" s="883" t="s">
        <v>39</v>
      </c>
      <c r="D64" s="883"/>
      <c r="E64" s="883"/>
      <c r="F64" s="882" t="s">
        <v>91</v>
      </c>
    </row>
    <row r="65" spans="1:6">
      <c r="A65" t="s">
        <v>92</v>
      </c>
      <c r="C65" s="883"/>
      <c r="D65" s="883"/>
      <c r="E65" s="883"/>
      <c r="F65" s="882"/>
    </row>
    <row r="66" spans="1:6">
      <c r="A66" t="s">
        <v>93</v>
      </c>
      <c r="C66" s="883"/>
      <c r="D66" s="883" t="s">
        <v>39</v>
      </c>
      <c r="E66" s="883"/>
      <c r="F66" s="882"/>
    </row>
    <row r="67" spans="1:6">
      <c r="A67" t="s">
        <v>94</v>
      </c>
      <c r="C67" s="883"/>
      <c r="D67" s="883" t="s">
        <v>39</v>
      </c>
      <c r="E67" s="883"/>
      <c r="F67" s="882"/>
    </row>
    <row r="68" spans="1:6">
      <c r="A68" t="s">
        <v>95</v>
      </c>
      <c r="C68" s="883"/>
      <c r="D68" s="883" t="s">
        <v>39</v>
      </c>
      <c r="E68" s="883"/>
      <c r="F68" s="882"/>
    </row>
    <row r="69" spans="1:6">
      <c r="A69" s="885" t="s">
        <v>96</v>
      </c>
      <c r="C69" s="883" t="s">
        <v>39</v>
      </c>
      <c r="D69" s="883"/>
      <c r="E69" s="883"/>
      <c r="F69" s="882"/>
    </row>
    <row r="70" spans="1:6">
      <c r="C70" s="883"/>
      <c r="D70" s="883"/>
      <c r="E70" s="883"/>
      <c r="F70" s="882"/>
    </row>
    <row r="71" spans="1:6">
      <c r="A71" s="346" t="s">
        <v>97</v>
      </c>
      <c r="B71" s="346"/>
      <c r="C71" s="883"/>
      <c r="D71" s="883"/>
      <c r="E71" s="883"/>
      <c r="F71" s="882"/>
    </row>
    <row r="72" spans="1:6">
      <c r="A72" s="346"/>
      <c r="B72" s="346"/>
      <c r="C72" s="883"/>
      <c r="D72" s="883"/>
      <c r="E72" s="883"/>
      <c r="F72" s="882"/>
    </row>
    <row r="73" spans="1:6">
      <c r="A73" t="s">
        <v>1676</v>
      </c>
      <c r="C73" s="883"/>
      <c r="D73" s="883"/>
      <c r="E73" s="883"/>
      <c r="F73" s="882"/>
    </row>
    <row r="74" spans="1:6">
      <c r="A74" t="s">
        <v>98</v>
      </c>
      <c r="C74" s="883" t="s">
        <v>39</v>
      </c>
      <c r="D74" s="883"/>
      <c r="E74" s="883"/>
      <c r="F74" s="882"/>
    </row>
    <row r="75" spans="1:6">
      <c r="A75" t="s">
        <v>99</v>
      </c>
      <c r="C75" s="883" t="s">
        <v>39</v>
      </c>
      <c r="D75" s="883"/>
      <c r="E75" s="883"/>
      <c r="F75" s="882"/>
    </row>
    <row r="76" spans="1:6">
      <c r="A76" t="s">
        <v>100</v>
      </c>
      <c r="C76" s="883"/>
      <c r="D76" s="883"/>
      <c r="E76" s="883"/>
      <c r="F76" s="882"/>
    </row>
    <row r="77" spans="1:6">
      <c r="A77" t="s">
        <v>101</v>
      </c>
      <c r="C77" s="883"/>
      <c r="D77" s="883"/>
      <c r="E77" s="883"/>
      <c r="F77" s="882" t="s">
        <v>85</v>
      </c>
    </row>
    <row r="78" spans="1:6">
      <c r="A78" t="s">
        <v>102</v>
      </c>
      <c r="C78" s="883"/>
      <c r="D78" s="883" t="s">
        <v>39</v>
      </c>
      <c r="E78" s="883"/>
      <c r="F78" s="882"/>
    </row>
    <row r="79" spans="1:6">
      <c r="A79" t="s">
        <v>103</v>
      </c>
      <c r="C79" s="883"/>
      <c r="D79" s="883" t="s">
        <v>39</v>
      </c>
      <c r="E79" s="883"/>
      <c r="F79" s="882"/>
    </row>
    <row r="80" spans="1:6">
      <c r="A80" t="s">
        <v>104</v>
      </c>
      <c r="C80" s="883"/>
      <c r="D80" s="883" t="s">
        <v>39</v>
      </c>
      <c r="E80" s="883"/>
      <c r="F80" s="882"/>
    </row>
    <row r="81" spans="1:6">
      <c r="A81" t="s">
        <v>105</v>
      </c>
      <c r="C81" s="883"/>
      <c r="D81" s="883" t="s">
        <v>39</v>
      </c>
      <c r="E81" s="883"/>
      <c r="F81" s="882"/>
    </row>
    <row r="82" spans="1:6">
      <c r="A82" t="s">
        <v>106</v>
      </c>
      <c r="C82" s="883"/>
      <c r="D82" s="883"/>
      <c r="E82" s="883"/>
      <c r="F82" s="882"/>
    </row>
    <row r="83" spans="1:6">
      <c r="A83" t="s">
        <v>107</v>
      </c>
      <c r="C83" s="883" t="s">
        <v>39</v>
      </c>
      <c r="D83" s="883"/>
      <c r="E83" s="883"/>
      <c r="F83" s="882"/>
    </row>
    <row r="84" spans="1:6">
      <c r="A84" t="s">
        <v>108</v>
      </c>
      <c r="C84" s="883" t="s">
        <v>39</v>
      </c>
      <c r="D84" s="883"/>
      <c r="E84" s="883"/>
      <c r="F84" s="882"/>
    </row>
    <row r="85" spans="1:6">
      <c r="A85" t="s">
        <v>109</v>
      </c>
      <c r="C85" s="883" t="s">
        <v>39</v>
      </c>
      <c r="D85" s="882"/>
      <c r="E85" s="883"/>
      <c r="F85" s="882"/>
    </row>
    <row r="86" spans="1:6">
      <c r="A86" t="s">
        <v>110</v>
      </c>
      <c r="C86" s="883" t="s">
        <v>39</v>
      </c>
      <c r="D86" s="883"/>
      <c r="E86" s="883"/>
      <c r="F86" s="882"/>
    </row>
    <row r="87" spans="1:6">
      <c r="A87" t="s">
        <v>111</v>
      </c>
      <c r="C87" s="883" t="s">
        <v>39</v>
      </c>
      <c r="D87" s="883"/>
      <c r="E87" s="883"/>
      <c r="F87" s="882"/>
    </row>
    <row r="88" spans="1:6">
      <c r="A88" t="s">
        <v>112</v>
      </c>
      <c r="C88" s="883"/>
      <c r="D88" s="883" t="s">
        <v>39</v>
      </c>
      <c r="E88" s="883"/>
      <c r="F88" s="882"/>
    </row>
    <row r="89" spans="1:6">
      <c r="A89" t="s">
        <v>113</v>
      </c>
      <c r="C89" s="883"/>
      <c r="D89" s="883" t="s">
        <v>39</v>
      </c>
      <c r="E89" s="883"/>
      <c r="F89" s="882"/>
    </row>
    <row r="90" spans="1:6">
      <c r="A90" t="s">
        <v>114</v>
      </c>
      <c r="C90" s="883"/>
      <c r="D90" s="883"/>
      <c r="E90" s="883"/>
      <c r="F90" s="882"/>
    </row>
    <row r="91" spans="1:6">
      <c r="A91" t="s">
        <v>115</v>
      </c>
      <c r="C91" s="883" t="s">
        <v>39</v>
      </c>
      <c r="D91" s="883"/>
      <c r="E91" s="883"/>
      <c r="F91" s="882"/>
    </row>
    <row r="92" spans="1:6">
      <c r="A92" t="s">
        <v>116</v>
      </c>
      <c r="C92" s="883"/>
      <c r="D92" s="883" t="s">
        <v>39</v>
      </c>
      <c r="E92" s="883"/>
      <c r="F92" s="882"/>
    </row>
    <row r="93" spans="1:6">
      <c r="A93" t="s">
        <v>117</v>
      </c>
      <c r="C93" s="883"/>
      <c r="D93" s="883"/>
      <c r="E93" s="883"/>
      <c r="F93" s="882"/>
    </row>
    <row r="94" spans="1:6">
      <c r="A94" t="s">
        <v>118</v>
      </c>
      <c r="C94" s="883" t="s">
        <v>39</v>
      </c>
      <c r="D94" s="883"/>
      <c r="E94" s="883"/>
      <c r="F94" s="882"/>
    </row>
    <row r="95" spans="1:6">
      <c r="A95" t="s">
        <v>119</v>
      </c>
      <c r="C95" s="883"/>
      <c r="D95" s="883" t="s">
        <v>39</v>
      </c>
      <c r="E95" s="883"/>
      <c r="F95" s="882"/>
    </row>
    <row r="96" spans="1:6">
      <c r="A96" t="s">
        <v>120</v>
      </c>
      <c r="C96" s="883"/>
      <c r="D96" s="883"/>
      <c r="E96" s="883"/>
      <c r="F96" s="882"/>
    </row>
    <row r="97" spans="1:6">
      <c r="A97" t="s">
        <v>121</v>
      </c>
      <c r="C97" s="883" t="s">
        <v>39</v>
      </c>
      <c r="D97" s="883"/>
      <c r="E97" s="883"/>
      <c r="F97" s="882"/>
    </row>
    <row r="98" spans="1:6">
      <c r="A98" t="s">
        <v>122</v>
      </c>
      <c r="C98" s="883" t="s">
        <v>39</v>
      </c>
      <c r="D98" s="883"/>
      <c r="E98" s="883"/>
      <c r="F98" s="882"/>
    </row>
    <row r="99" spans="1:6">
      <c r="A99" t="s">
        <v>123</v>
      </c>
      <c r="C99" s="883"/>
      <c r="D99" s="883" t="s">
        <v>39</v>
      </c>
      <c r="E99" s="883"/>
      <c r="F99" s="882"/>
    </row>
    <row r="100" spans="1:6">
      <c r="A100" t="s">
        <v>124</v>
      </c>
      <c r="C100" s="883"/>
      <c r="D100" s="883"/>
      <c r="E100" s="883"/>
      <c r="F100" s="882"/>
    </row>
    <row r="101" spans="1:6">
      <c r="A101" t="s">
        <v>125</v>
      </c>
      <c r="C101" s="883"/>
      <c r="D101" s="883" t="s">
        <v>39</v>
      </c>
      <c r="E101" s="883"/>
      <c r="F101" s="882"/>
    </row>
    <row r="102" spans="1:6">
      <c r="A102" t="s">
        <v>126</v>
      </c>
      <c r="C102" s="883"/>
      <c r="D102" s="883" t="s">
        <v>39</v>
      </c>
      <c r="E102" s="883"/>
      <c r="F102" s="882"/>
    </row>
    <row r="103" spans="1:6">
      <c r="A103" t="s">
        <v>127</v>
      </c>
      <c r="C103" s="883"/>
      <c r="D103" s="883" t="s">
        <v>39</v>
      </c>
      <c r="E103" s="883"/>
      <c r="F103" s="882"/>
    </row>
    <row r="104" spans="1:6">
      <c r="A104" t="s">
        <v>128</v>
      </c>
      <c r="C104" s="883"/>
      <c r="D104" s="883" t="s">
        <v>39</v>
      </c>
      <c r="E104" s="883"/>
      <c r="F104" s="882"/>
    </row>
    <row r="105" spans="1:6">
      <c r="A105" t="s">
        <v>129</v>
      </c>
      <c r="C105" s="883" t="s">
        <v>39</v>
      </c>
      <c r="D105" s="883"/>
      <c r="E105" s="883"/>
      <c r="F105" s="882"/>
    </row>
    <row r="106" spans="1:6">
      <c r="A106" t="s">
        <v>130</v>
      </c>
      <c r="C106" s="883"/>
      <c r="D106" s="883"/>
      <c r="E106" s="883"/>
      <c r="F106" s="882"/>
    </row>
    <row r="107" spans="1:6">
      <c r="A107" t="s">
        <v>131</v>
      </c>
      <c r="C107" s="883" t="s">
        <v>39</v>
      </c>
      <c r="D107" s="883"/>
      <c r="E107" s="883"/>
      <c r="F107" s="882"/>
    </row>
    <row r="108" spans="1:6">
      <c r="A108" t="s">
        <v>132</v>
      </c>
      <c r="C108" s="883"/>
      <c r="D108" s="883" t="s">
        <v>39</v>
      </c>
      <c r="E108" s="883" t="s">
        <v>39</v>
      </c>
      <c r="F108" s="882" t="s">
        <v>133</v>
      </c>
    </row>
    <row r="109" spans="1:6">
      <c r="A109" t="s">
        <v>134</v>
      </c>
      <c r="C109" s="883"/>
      <c r="D109" s="883"/>
      <c r="E109" s="883"/>
      <c r="F109" s="882"/>
    </row>
    <row r="110" spans="1:6">
      <c r="A110" t="s">
        <v>135</v>
      </c>
      <c r="C110" s="883" t="s">
        <v>39</v>
      </c>
      <c r="D110" s="883"/>
      <c r="E110" s="883"/>
      <c r="F110" s="882"/>
    </row>
    <row r="111" spans="1:6">
      <c r="A111" t="s">
        <v>136</v>
      </c>
      <c r="C111" s="883" t="s">
        <v>39</v>
      </c>
      <c r="D111" s="883"/>
      <c r="E111" s="883"/>
      <c r="F111" s="882"/>
    </row>
    <row r="112" spans="1:6">
      <c r="A112" t="s">
        <v>137</v>
      </c>
      <c r="C112" s="883"/>
      <c r="D112" s="883" t="s">
        <v>39</v>
      </c>
      <c r="E112" s="883"/>
      <c r="F112" s="882"/>
    </row>
    <row r="113" spans="1:6">
      <c r="A113" t="s">
        <v>138</v>
      </c>
      <c r="C113" s="883"/>
      <c r="D113" s="883" t="s">
        <v>39</v>
      </c>
      <c r="E113" s="883"/>
      <c r="F113" s="882"/>
    </row>
    <row r="114" spans="1:6">
      <c r="A114" t="s">
        <v>139</v>
      </c>
      <c r="C114" s="883"/>
      <c r="D114" s="883"/>
      <c r="E114" s="883"/>
      <c r="F114" s="882"/>
    </row>
    <row r="115" spans="1:6">
      <c r="A115" t="s">
        <v>136</v>
      </c>
      <c r="C115" s="883" t="s">
        <v>39</v>
      </c>
      <c r="D115" s="883"/>
      <c r="E115" s="883"/>
      <c r="F115" s="882"/>
    </row>
    <row r="116" spans="1:6">
      <c r="A116" t="s">
        <v>137</v>
      </c>
      <c r="C116" s="883"/>
      <c r="D116" s="883" t="s">
        <v>39</v>
      </c>
      <c r="E116" s="883"/>
      <c r="F116" s="882"/>
    </row>
    <row r="117" spans="1:6" hidden="1">
      <c r="A117" t="s">
        <v>140</v>
      </c>
      <c r="C117" s="882"/>
      <c r="D117" s="882"/>
      <c r="E117" s="883" t="s">
        <v>39</v>
      </c>
      <c r="F117" s="882" t="s">
        <v>141</v>
      </c>
    </row>
    <row r="118" spans="1:6">
      <c r="A118" t="s">
        <v>142</v>
      </c>
      <c r="C118" s="882"/>
      <c r="D118" s="883" t="s">
        <v>39</v>
      </c>
      <c r="E118" s="883"/>
      <c r="F118" s="882"/>
    </row>
    <row r="119" spans="1:6">
      <c r="A119" t="s">
        <v>143</v>
      </c>
      <c r="C119" s="883"/>
      <c r="D119" s="883" t="s">
        <v>39</v>
      </c>
      <c r="E119" s="883"/>
      <c r="F119" s="882"/>
    </row>
    <row r="120" spans="1:6">
      <c r="A120" t="s">
        <v>144</v>
      </c>
      <c r="C120" s="883"/>
      <c r="D120" s="883"/>
      <c r="E120" s="883"/>
      <c r="F120" s="882" t="s">
        <v>85</v>
      </c>
    </row>
    <row r="121" spans="1:6">
      <c r="A121" s="889" t="s">
        <v>145</v>
      </c>
    </row>
    <row r="122" spans="1:6">
      <c r="A122" t="s">
        <v>146</v>
      </c>
    </row>
  </sheetData>
  <printOptions horizontalCentered="1"/>
  <pageMargins left="0.75" right="0.75" top="1" bottom="1" header="0.5" footer="0.5"/>
  <pageSetup scale="79" fitToHeight="2" orientation="portrait" horizontalDpi="4294967292" verticalDpi="4294967292" r:id="rId1"/>
  <headerFooter alignWithMargins="0">
    <oddFooter>&amp;LScot Chambers
&amp;D&amp;CPage _____&amp;R&amp;F
&amp;A</oddFooter>
  </headerFooter>
  <rowBreaks count="3" manualBreakCount="3">
    <brk id="61" max="65535" man="1"/>
    <brk id="62" max="5" man="1"/>
    <brk id="65" max="5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  <pageSetUpPr fitToPage="1"/>
  </sheetPr>
  <dimension ref="A1:M903"/>
  <sheetViews>
    <sheetView topLeftCell="E1" zoomScale="80" workbookViewId="0">
      <pane ySplit="2" topLeftCell="A3" activePane="bottomLeft" state="frozen"/>
      <selection sqref="A1:W1"/>
      <selection pane="bottomLeft" activeCell="G36" sqref="G36"/>
    </sheetView>
  </sheetViews>
  <sheetFormatPr defaultRowHeight="12.75" outlineLevelRow="2"/>
  <cols>
    <col min="1" max="1" width="23.7109375" style="753" hidden="1" customWidth="1"/>
    <col min="2" max="2" width="24.42578125" style="753" hidden="1" customWidth="1"/>
    <col min="3" max="3" width="20.85546875" style="753" hidden="1" customWidth="1"/>
    <col min="4" max="4" width="22.85546875" style="753" hidden="1" customWidth="1"/>
    <col min="5" max="5" width="35.140625" style="753" customWidth="1"/>
    <col min="6" max="6" width="42.5703125" style="753" customWidth="1"/>
    <col min="7" max="7" width="15.140625" style="753" customWidth="1"/>
    <col min="8" max="8" width="15.7109375" style="753" customWidth="1"/>
    <col min="9" max="9" width="15.7109375" style="753" hidden="1" customWidth="1"/>
    <col min="10" max="10" width="13.85546875" style="753" hidden="1" customWidth="1"/>
    <col min="11" max="11" width="2.5703125" style="753" customWidth="1"/>
    <col min="12" max="12" width="9.42578125" style="766" customWidth="1"/>
    <col min="13" max="13" width="9.140625" style="766"/>
    <col min="14" max="16384" width="9.140625" style="753"/>
  </cols>
  <sheetData>
    <row r="1" spans="1:13" ht="18" customHeight="1" thickBot="1">
      <c r="L1" s="753"/>
      <c r="M1" s="753"/>
    </row>
    <row r="2" spans="1:13" ht="17.25" customHeight="1" thickBot="1">
      <c r="B2" s="890" t="s">
        <v>147</v>
      </c>
      <c r="C2" s="890" t="s">
        <v>148</v>
      </c>
      <c r="D2" s="890" t="s">
        <v>149</v>
      </c>
      <c r="E2" s="891" t="s">
        <v>150</v>
      </c>
      <c r="F2" s="892" t="s">
        <v>151</v>
      </c>
      <c r="G2" s="893"/>
      <c r="H2" s="894" t="s">
        <v>152</v>
      </c>
      <c r="I2" s="894" t="s">
        <v>153</v>
      </c>
      <c r="J2" s="894" t="s">
        <v>154</v>
      </c>
      <c r="L2" s="895" t="s">
        <v>155</v>
      </c>
    </row>
    <row r="3" spans="1:13" ht="17.25" customHeight="1">
      <c r="B3" s="890"/>
      <c r="C3" s="890"/>
      <c r="D3" s="890"/>
      <c r="E3" s="896" t="str">
        <f>Scope!A1</f>
        <v>Plano, Illinois 6 x LM6000 Power Project, Rev 0</v>
      </c>
      <c r="F3" s="897"/>
      <c r="G3" s="897"/>
      <c r="H3" s="898"/>
      <c r="I3" s="898"/>
      <c r="J3" s="898"/>
      <c r="L3" s="895"/>
    </row>
    <row r="4" spans="1:13" ht="23.25" customHeight="1" thickBot="1">
      <c r="B4" s="890"/>
      <c r="C4" s="890"/>
      <c r="D4" s="890"/>
      <c r="E4" s="899" t="s">
        <v>156</v>
      </c>
      <c r="F4" s="900"/>
      <c r="G4" s="900"/>
      <c r="H4" s="901"/>
      <c r="I4" s="901"/>
      <c r="J4" s="901"/>
      <c r="L4" s="895"/>
    </row>
    <row r="5" spans="1:13" s="907" customFormat="1" ht="13.5" outlineLevel="1" thickBot="1">
      <c r="A5" s="753" t="s">
        <v>157</v>
      </c>
      <c r="B5" s="753" t="s">
        <v>158</v>
      </c>
      <c r="C5" s="753" t="s">
        <v>948</v>
      </c>
      <c r="D5" s="753" t="s">
        <v>159</v>
      </c>
      <c r="E5" s="902" t="s">
        <v>1625</v>
      </c>
      <c r="F5" s="903"/>
      <c r="G5" s="904"/>
      <c r="H5" s="905"/>
      <c r="I5" s="905"/>
      <c r="J5" s="906"/>
    </row>
    <row r="6" spans="1:13" ht="13.5" outlineLevel="2" thickBot="1">
      <c r="A6" s="753" t="str">
        <f>B6&amp;C6&amp;D6</f>
        <v>O&amp;M Mobilization BudgetOperating ExpensesPublic Relations</v>
      </c>
      <c r="B6" s="753" t="s">
        <v>158</v>
      </c>
      <c r="C6" s="753" t="s">
        <v>948</v>
      </c>
      <c r="D6" s="753" t="s">
        <v>159</v>
      </c>
      <c r="E6" s="799" t="s">
        <v>160</v>
      </c>
      <c r="F6" s="762" t="s">
        <v>161</v>
      </c>
      <c r="G6" s="796"/>
      <c r="H6" s="908">
        <v>2500</v>
      </c>
      <c r="I6" s="908">
        <f t="shared" ref="I6:I15" si="0">H6</f>
        <v>2500</v>
      </c>
      <c r="J6" s="908">
        <f t="shared" ref="J6:J15" si="1">H6-I6</f>
        <v>0</v>
      </c>
      <c r="L6" s="753"/>
      <c r="M6" s="753"/>
    </row>
    <row r="7" spans="1:13" ht="13.5" outlineLevel="2" thickBot="1">
      <c r="E7" s="799" t="s">
        <v>162</v>
      </c>
      <c r="F7" s="762" t="s">
        <v>163</v>
      </c>
      <c r="G7" s="796"/>
      <c r="H7" s="908">
        <f>'Pay &amp; Benefits Calculations'!K28*160</f>
        <v>10400.267076923075</v>
      </c>
      <c r="I7" s="908">
        <f t="shared" si="0"/>
        <v>10400.267076923075</v>
      </c>
      <c r="J7" s="908">
        <f t="shared" si="1"/>
        <v>0</v>
      </c>
      <c r="L7" s="753"/>
      <c r="M7" s="753"/>
    </row>
    <row r="8" spans="1:13" ht="13.5" outlineLevel="2" thickBot="1">
      <c r="E8" s="799" t="s">
        <v>164</v>
      </c>
      <c r="F8" s="762" t="s">
        <v>165</v>
      </c>
      <c r="G8" s="796"/>
      <c r="H8" s="908">
        <f>2*1000+150*30</f>
        <v>6500</v>
      </c>
      <c r="I8" s="908">
        <f t="shared" si="0"/>
        <v>6500</v>
      </c>
      <c r="J8" s="908">
        <f t="shared" si="1"/>
        <v>0</v>
      </c>
      <c r="L8" s="753"/>
      <c r="M8" s="753"/>
    </row>
    <row r="9" spans="1:13" ht="13.5" outlineLevel="2" thickBot="1">
      <c r="E9" s="799" t="s">
        <v>166</v>
      </c>
      <c r="F9" s="762"/>
      <c r="G9" s="796"/>
      <c r="H9" s="908">
        <v>1000</v>
      </c>
      <c r="I9" s="908">
        <f t="shared" si="0"/>
        <v>1000</v>
      </c>
      <c r="J9" s="908">
        <f t="shared" si="1"/>
        <v>0</v>
      </c>
      <c r="L9" s="753"/>
      <c r="M9" s="753"/>
    </row>
    <row r="10" spans="1:13" ht="13.5" outlineLevel="2" thickBot="1">
      <c r="E10" s="799"/>
      <c r="F10" s="762"/>
      <c r="G10" s="796"/>
      <c r="H10" s="908"/>
      <c r="I10" s="908">
        <f t="shared" si="0"/>
        <v>0</v>
      </c>
      <c r="J10" s="908">
        <f t="shared" si="1"/>
        <v>0</v>
      </c>
      <c r="L10" s="753"/>
      <c r="M10" s="753"/>
    </row>
    <row r="11" spans="1:13" ht="13.5" outlineLevel="2" thickBot="1">
      <c r="E11" s="799"/>
      <c r="F11" s="762"/>
      <c r="G11" s="796"/>
      <c r="H11" s="908"/>
      <c r="I11" s="908">
        <f t="shared" si="0"/>
        <v>0</v>
      </c>
      <c r="J11" s="908">
        <f t="shared" si="1"/>
        <v>0</v>
      </c>
      <c r="L11" s="753"/>
      <c r="M11" s="753"/>
    </row>
    <row r="12" spans="1:13" ht="13.5" outlineLevel="2" thickBot="1">
      <c r="E12" s="799"/>
      <c r="F12" s="762"/>
      <c r="G12" s="796"/>
      <c r="H12" s="908"/>
      <c r="I12" s="908">
        <f t="shared" si="0"/>
        <v>0</v>
      </c>
      <c r="J12" s="908">
        <f t="shared" si="1"/>
        <v>0</v>
      </c>
      <c r="L12" s="753"/>
      <c r="M12" s="753"/>
    </row>
    <row r="13" spans="1:13" ht="13.5" outlineLevel="2" thickBot="1">
      <c r="E13" s="799"/>
      <c r="F13" s="762"/>
      <c r="G13" s="796"/>
      <c r="H13" s="908"/>
      <c r="I13" s="908">
        <f t="shared" si="0"/>
        <v>0</v>
      </c>
      <c r="J13" s="908">
        <f t="shared" si="1"/>
        <v>0</v>
      </c>
      <c r="L13" s="753"/>
      <c r="M13" s="753"/>
    </row>
    <row r="14" spans="1:13" ht="13.5" outlineLevel="2" thickBot="1">
      <c r="E14" s="799"/>
      <c r="F14" s="762"/>
      <c r="G14" s="796"/>
      <c r="H14" s="908"/>
      <c r="I14" s="908">
        <f t="shared" si="0"/>
        <v>0</v>
      </c>
      <c r="J14" s="908">
        <f t="shared" si="1"/>
        <v>0</v>
      </c>
      <c r="L14" s="753"/>
      <c r="M14" s="753"/>
    </row>
    <row r="15" spans="1:13" ht="13.5" outlineLevel="2" thickBot="1">
      <c r="E15" s="799"/>
      <c r="F15" s="762"/>
      <c r="G15" s="796"/>
      <c r="H15" s="908"/>
      <c r="I15" s="908">
        <f t="shared" si="0"/>
        <v>0</v>
      </c>
      <c r="J15" s="908">
        <f t="shared" si="1"/>
        <v>0</v>
      </c>
      <c r="L15" s="753"/>
      <c r="M15" s="753"/>
    </row>
    <row r="16" spans="1:13" s="907" customFormat="1" ht="13.5" outlineLevel="1" thickBot="1">
      <c r="A16" s="907" t="s">
        <v>167</v>
      </c>
      <c r="B16" s="907" t="s">
        <v>158</v>
      </c>
      <c r="C16" s="907" t="s">
        <v>948</v>
      </c>
      <c r="D16" s="907" t="s">
        <v>159</v>
      </c>
      <c r="E16" s="762" t="s">
        <v>168</v>
      </c>
      <c r="G16" s="909" t="s">
        <v>169</v>
      </c>
      <c r="H16" s="910">
        <f>SUBTOTAL(9,H6:H15)</f>
        <v>20400.267076923075</v>
      </c>
      <c r="I16" s="910">
        <f>SUBTOTAL(9,I6:I15)</f>
        <v>20400.267076923075</v>
      </c>
      <c r="J16" s="910">
        <f>SUBTOTAL(9,J6:J15)</f>
        <v>0</v>
      </c>
    </row>
    <row r="17" spans="1:13" ht="13.5" customHeight="1" thickBot="1">
      <c r="A17" s="753" t="s">
        <v>170</v>
      </c>
      <c r="B17" s="753" t="s">
        <v>158</v>
      </c>
      <c r="C17" s="753" t="s">
        <v>948</v>
      </c>
      <c r="D17" s="753" t="s">
        <v>171</v>
      </c>
      <c r="E17" s="911" t="s">
        <v>171</v>
      </c>
      <c r="F17" s="912"/>
      <c r="G17" s="913"/>
      <c r="H17" s="914"/>
      <c r="I17" s="915"/>
      <c r="J17" s="916"/>
      <c r="M17" s="753"/>
    </row>
    <row r="18" spans="1:13" ht="13.5" customHeight="1" outlineLevel="2" thickBot="1">
      <c r="E18" s="799" t="s">
        <v>172</v>
      </c>
      <c r="F18" s="762"/>
      <c r="G18" s="796"/>
      <c r="H18" s="908">
        <f>'Pay &amp; Benefits Calculations'!P55</f>
        <v>206512.06259999998</v>
      </c>
      <c r="I18" s="908">
        <f>H18</f>
        <v>206512.06259999998</v>
      </c>
      <c r="J18" s="908">
        <f>H18-I18</f>
        <v>0</v>
      </c>
      <c r="L18" s="753"/>
      <c r="M18" s="753"/>
    </row>
    <row r="19" spans="1:13" ht="13.5" customHeight="1" outlineLevel="2" thickBot="1">
      <c r="E19" s="799" t="s">
        <v>173</v>
      </c>
      <c r="F19" s="762"/>
      <c r="G19" s="796"/>
      <c r="H19" s="908"/>
      <c r="I19" s="908">
        <f>H19</f>
        <v>0</v>
      </c>
      <c r="J19" s="908">
        <f>H19-I19</f>
        <v>0</v>
      </c>
      <c r="L19" s="753"/>
      <c r="M19" s="753"/>
    </row>
    <row r="20" spans="1:13" ht="13.5" customHeight="1" outlineLevel="2" thickBot="1">
      <c r="E20" s="799"/>
      <c r="F20" s="762"/>
      <c r="G20" s="796"/>
      <c r="H20" s="908"/>
      <c r="I20" s="908">
        <f>H20</f>
        <v>0</v>
      </c>
      <c r="J20" s="908">
        <f>H20-I20</f>
        <v>0</v>
      </c>
      <c r="L20" s="753"/>
      <c r="M20" s="753"/>
    </row>
    <row r="21" spans="1:13" ht="13.5" customHeight="1" outlineLevel="2" thickBot="1">
      <c r="E21" s="799"/>
      <c r="F21" s="762"/>
      <c r="G21" s="796"/>
      <c r="H21" s="908"/>
      <c r="I21" s="908">
        <f>H21</f>
        <v>0</v>
      </c>
      <c r="J21" s="908">
        <f>H21-I21</f>
        <v>0</v>
      </c>
      <c r="L21" s="753"/>
      <c r="M21" s="753"/>
    </row>
    <row r="22" spans="1:13" s="907" customFormat="1" ht="13.5" customHeight="1" outlineLevel="1" thickBot="1">
      <c r="A22" s="917" t="s">
        <v>174</v>
      </c>
      <c r="B22" s="907" t="s">
        <v>158</v>
      </c>
      <c r="C22" s="907" t="s">
        <v>948</v>
      </c>
      <c r="D22" s="907" t="s">
        <v>171</v>
      </c>
      <c r="E22" s="799"/>
      <c r="F22" s="762"/>
      <c r="G22" s="909" t="s">
        <v>169</v>
      </c>
      <c r="H22" s="910">
        <f>SUBTOTAL(9,H18:H21)</f>
        <v>206512.06259999998</v>
      </c>
      <c r="I22" s="910">
        <f>SUBTOTAL(9,I18:I21)</f>
        <v>206512.06259999998</v>
      </c>
      <c r="J22" s="910">
        <f>SUBTOTAL(9,J18:J21)</f>
        <v>0</v>
      </c>
    </row>
    <row r="23" spans="1:13" s="907" customFormat="1" ht="13.5" customHeight="1" outlineLevel="1" thickBot="1">
      <c r="A23" s="753" t="s">
        <v>175</v>
      </c>
      <c r="B23" s="753" t="s">
        <v>158</v>
      </c>
      <c r="C23" s="753" t="s">
        <v>948</v>
      </c>
      <c r="D23" s="753" t="s">
        <v>1663</v>
      </c>
      <c r="E23" s="911" t="s">
        <v>1663</v>
      </c>
      <c r="F23" s="912"/>
      <c r="G23" s="913"/>
      <c r="H23" s="905"/>
      <c r="I23" s="906"/>
      <c r="J23" s="906"/>
    </row>
    <row r="24" spans="1:13" ht="13.5" customHeight="1" outlineLevel="2" thickBot="1">
      <c r="A24" s="753" t="str">
        <f>B24&amp;C24&amp;D24</f>
        <v>O&amp;M Mobilization BudgetOperating ExpensesEmployee Expenses</v>
      </c>
      <c r="B24" s="753" t="s">
        <v>158</v>
      </c>
      <c r="C24" s="753" t="s">
        <v>948</v>
      </c>
      <c r="D24" s="753" t="s">
        <v>1663</v>
      </c>
      <c r="E24" s="799" t="s">
        <v>176</v>
      </c>
      <c r="F24" s="762" t="s">
        <v>177</v>
      </c>
      <c r="G24" s="796"/>
      <c r="H24" s="908">
        <f>6*1500</f>
        <v>9000</v>
      </c>
      <c r="I24" s="908">
        <f>H24-J24</f>
        <v>9000</v>
      </c>
      <c r="J24" s="908"/>
      <c r="L24" s="753"/>
      <c r="M24" s="753"/>
    </row>
    <row r="25" spans="1:13" ht="13.5" customHeight="1" outlineLevel="2" thickBot="1">
      <c r="E25" s="799" t="s">
        <v>178</v>
      </c>
      <c r="F25" s="762" t="s">
        <v>179</v>
      </c>
      <c r="G25" s="796"/>
      <c r="H25" s="908">
        <v>1200</v>
      </c>
      <c r="I25" s="908">
        <f>H25-J25</f>
        <v>1200</v>
      </c>
      <c r="J25" s="908"/>
      <c r="L25" s="753"/>
      <c r="M25" s="753"/>
    </row>
    <row r="26" spans="1:13" ht="13.5" customHeight="1" outlineLevel="2" thickBot="1">
      <c r="E26" s="799" t="s">
        <v>180</v>
      </c>
      <c r="F26" s="762"/>
      <c r="G26" s="796"/>
      <c r="H26" s="908">
        <v>1000</v>
      </c>
      <c r="I26" s="908">
        <f>H26-J26</f>
        <v>1000</v>
      </c>
      <c r="J26" s="908"/>
      <c r="L26" s="753"/>
      <c r="M26" s="753"/>
    </row>
    <row r="27" spans="1:13" ht="13.5" customHeight="1" outlineLevel="2" thickBot="1">
      <c r="E27" s="799" t="s">
        <v>1663</v>
      </c>
      <c r="F27" s="762" t="s">
        <v>181</v>
      </c>
      <c r="G27" s="796"/>
      <c r="H27" s="908">
        <v>1000</v>
      </c>
      <c r="I27" s="908"/>
      <c r="J27" s="908"/>
      <c r="L27" s="753"/>
      <c r="M27" s="753"/>
    </row>
    <row r="28" spans="1:13" s="907" customFormat="1" ht="13.5" customHeight="1" outlineLevel="1" thickBot="1">
      <c r="A28" s="907" t="s">
        <v>182</v>
      </c>
      <c r="B28" s="907" t="s">
        <v>158</v>
      </c>
      <c r="C28" s="907" t="s">
        <v>948</v>
      </c>
      <c r="D28" s="907" t="s">
        <v>1663</v>
      </c>
      <c r="E28" s="799"/>
      <c r="F28" s="762"/>
      <c r="G28" s="909" t="s">
        <v>169</v>
      </c>
      <c r="H28" s="910">
        <f>SUBTOTAL(9,H24:H27)</f>
        <v>12200</v>
      </c>
      <c r="I28" s="910">
        <f>SUBTOTAL(9,I24:I26)</f>
        <v>11200</v>
      </c>
      <c r="J28" s="910">
        <f>SUBTOTAL(9,J24:J26)</f>
        <v>0</v>
      </c>
    </row>
    <row r="29" spans="1:13" s="907" customFormat="1" ht="13.5" customHeight="1" outlineLevel="1" thickBot="1">
      <c r="A29" s="753" t="s">
        <v>183</v>
      </c>
      <c r="B29" s="753" t="s">
        <v>158</v>
      </c>
      <c r="C29" s="753" t="s">
        <v>948</v>
      </c>
      <c r="D29" s="753" t="s">
        <v>1664</v>
      </c>
      <c r="E29" s="911" t="s">
        <v>1664</v>
      </c>
      <c r="F29" s="912"/>
      <c r="G29" s="913"/>
      <c r="H29" s="905"/>
      <c r="I29" s="906"/>
      <c r="J29" s="905"/>
    </row>
    <row r="30" spans="1:13" s="907" customFormat="1" ht="13.5" customHeight="1" outlineLevel="1" thickBot="1">
      <c r="A30" s="753"/>
      <c r="B30" s="753"/>
      <c r="C30" s="753"/>
      <c r="D30" s="753"/>
      <c r="E30" s="918" t="s">
        <v>184</v>
      </c>
      <c r="F30" s="762" t="s">
        <v>185</v>
      </c>
      <c r="G30" s="796"/>
      <c r="H30" s="908">
        <f>2*1000+150*4</f>
        <v>2600</v>
      </c>
      <c r="I30" s="906"/>
      <c r="J30" s="905"/>
    </row>
    <row r="31" spans="1:13" ht="13.5" outlineLevel="2" thickBot="1">
      <c r="A31" s="753" t="str">
        <f>B31&amp;C31&amp;D31</f>
        <v>O&amp;M Mobilization BudgetOperating ExpensesRecruiting Expenses</v>
      </c>
      <c r="B31" s="753" t="s">
        <v>158</v>
      </c>
      <c r="C31" s="753" t="s">
        <v>948</v>
      </c>
      <c r="D31" s="753" t="s">
        <v>1664</v>
      </c>
      <c r="E31" s="918" t="s">
        <v>186</v>
      </c>
      <c r="F31" s="762" t="s">
        <v>187</v>
      </c>
      <c r="G31" s="796"/>
      <c r="H31" s="908">
        <f>2*1500+10*150</f>
        <v>4500</v>
      </c>
      <c r="I31" s="908">
        <f>H31</f>
        <v>4500</v>
      </c>
      <c r="J31" s="908">
        <f>H31-I31</f>
        <v>0</v>
      </c>
      <c r="L31" s="753"/>
      <c r="M31" s="753"/>
    </row>
    <row r="32" spans="1:13" ht="13.5" customHeight="1" outlineLevel="2" thickBot="1">
      <c r="A32" s="753" t="str">
        <f>B32&amp;C32&amp;D32</f>
        <v>O&amp;M Mobilization BudgetOperating ExpensesRecruiting Expenses</v>
      </c>
      <c r="B32" s="753" t="s">
        <v>158</v>
      </c>
      <c r="C32" s="753" t="s">
        <v>948</v>
      </c>
      <c r="D32" s="753" t="s">
        <v>1664</v>
      </c>
      <c r="E32" s="918" t="s">
        <v>188</v>
      </c>
      <c r="F32" s="762" t="s">
        <v>189</v>
      </c>
      <c r="G32" s="796"/>
      <c r="H32" s="908">
        <v>5000</v>
      </c>
      <c r="I32" s="908">
        <f>H32</f>
        <v>5000</v>
      </c>
      <c r="J32" s="908">
        <f>H32-I32</f>
        <v>0</v>
      </c>
      <c r="L32" s="753"/>
      <c r="M32" s="753"/>
    </row>
    <row r="33" spans="1:13" ht="13.5" customHeight="1" outlineLevel="2" thickBot="1">
      <c r="E33" s="918" t="s">
        <v>190</v>
      </c>
      <c r="F33" s="762" t="s">
        <v>191</v>
      </c>
      <c r="G33" s="796"/>
      <c r="H33" s="908">
        <f>200*Plt_Staff!B22</f>
        <v>1400</v>
      </c>
      <c r="I33" s="908">
        <f>H33</f>
        <v>1400</v>
      </c>
      <c r="J33" s="908">
        <f>H33-I33</f>
        <v>0</v>
      </c>
      <c r="L33" s="753"/>
      <c r="M33" s="753"/>
    </row>
    <row r="34" spans="1:13" ht="13.5" customHeight="1" outlineLevel="2" thickBot="1">
      <c r="E34" s="799" t="s">
        <v>192</v>
      </c>
      <c r="F34" s="762" t="s">
        <v>193</v>
      </c>
      <c r="G34" s="796"/>
      <c r="H34" s="908">
        <v>1000</v>
      </c>
      <c r="I34" s="908">
        <f>H34</f>
        <v>1000</v>
      </c>
      <c r="J34" s="908">
        <f>H34-I34</f>
        <v>0</v>
      </c>
      <c r="L34" s="753"/>
      <c r="M34" s="753"/>
    </row>
    <row r="35" spans="1:13" ht="13.5" customHeight="1" outlineLevel="2" thickBot="1">
      <c r="E35" s="799"/>
      <c r="F35" s="762"/>
      <c r="G35" s="796"/>
      <c r="H35" s="908"/>
      <c r="I35" s="908"/>
      <c r="J35" s="908"/>
      <c r="L35" s="753"/>
      <c r="M35" s="753"/>
    </row>
    <row r="36" spans="1:13" s="907" customFormat="1" ht="13.5" outlineLevel="1" thickBot="1">
      <c r="A36" s="907" t="s">
        <v>194</v>
      </c>
      <c r="B36" s="907" t="s">
        <v>158</v>
      </c>
      <c r="C36" s="907" t="s">
        <v>948</v>
      </c>
      <c r="D36" s="907" t="s">
        <v>1664</v>
      </c>
      <c r="E36" s="799"/>
      <c r="F36" s="762"/>
      <c r="G36" s="909" t="s">
        <v>169</v>
      </c>
      <c r="H36" s="910">
        <f>SUM(H30:H35)</f>
        <v>14500</v>
      </c>
      <c r="I36" s="910">
        <f>SUBTOTAL(9,I32:I35)</f>
        <v>7400</v>
      </c>
      <c r="J36" s="910">
        <f>SUBTOTAL(9,J31:J35)</f>
        <v>0</v>
      </c>
    </row>
    <row r="37" spans="1:13" s="907" customFormat="1" ht="13.5" outlineLevel="1" thickBot="1">
      <c r="A37" s="753" t="s">
        <v>195</v>
      </c>
      <c r="B37" s="753" t="s">
        <v>158</v>
      </c>
      <c r="C37" s="753" t="s">
        <v>948</v>
      </c>
      <c r="D37" s="753" t="s">
        <v>1665</v>
      </c>
      <c r="E37" s="911" t="s">
        <v>1665</v>
      </c>
      <c r="F37" s="912"/>
      <c r="G37" s="913"/>
      <c r="H37" s="905"/>
      <c r="I37" s="906"/>
      <c r="J37" s="905"/>
    </row>
    <row r="38" spans="1:13" ht="13.5" outlineLevel="2" thickBot="1">
      <c r="E38" s="918" t="s">
        <v>196</v>
      </c>
      <c r="F38" s="919" t="s">
        <v>197</v>
      </c>
      <c r="G38" s="796"/>
      <c r="H38" s="908">
        <f>0.2*Plt_Staff!C8</f>
        <v>17056</v>
      </c>
      <c r="I38" s="908"/>
      <c r="J38" s="908"/>
      <c r="L38" s="753"/>
      <c r="M38" s="753"/>
    </row>
    <row r="39" spans="1:13" ht="13.5" outlineLevel="2" thickBot="1">
      <c r="E39" s="799" t="s">
        <v>198</v>
      </c>
      <c r="F39" s="919" t="s">
        <v>199</v>
      </c>
      <c r="G39" s="796"/>
      <c r="H39" s="908">
        <v>5000</v>
      </c>
      <c r="I39" s="908">
        <f>H39</f>
        <v>5000</v>
      </c>
      <c r="J39" s="908">
        <f>H39-I39</f>
        <v>0</v>
      </c>
      <c r="L39" s="753"/>
      <c r="M39" s="753"/>
    </row>
    <row r="40" spans="1:13" ht="13.5" outlineLevel="2" thickBot="1">
      <c r="E40" s="799" t="s">
        <v>200</v>
      </c>
      <c r="F40" s="919" t="s">
        <v>199</v>
      </c>
      <c r="G40" s="796"/>
      <c r="H40" s="908">
        <v>5000</v>
      </c>
      <c r="I40" s="908">
        <f>H40</f>
        <v>5000</v>
      </c>
      <c r="J40" s="908">
        <f>H40-I40</f>
        <v>0</v>
      </c>
      <c r="L40" s="753"/>
      <c r="M40" s="753"/>
    </row>
    <row r="41" spans="1:13" ht="13.5" outlineLevel="2" thickBot="1">
      <c r="E41" s="799" t="s">
        <v>201</v>
      </c>
      <c r="F41" s="762"/>
      <c r="G41" s="796"/>
      <c r="H41" s="908"/>
      <c r="I41" s="908"/>
      <c r="J41" s="908"/>
      <c r="L41" s="753"/>
      <c r="M41" s="753"/>
    </row>
    <row r="42" spans="1:13" s="907" customFormat="1" ht="13.5" outlineLevel="1" thickBot="1">
      <c r="A42" s="907" t="s">
        <v>202</v>
      </c>
      <c r="B42" s="907" t="s">
        <v>158</v>
      </c>
      <c r="C42" s="907" t="s">
        <v>948</v>
      </c>
      <c r="D42" s="907" t="s">
        <v>1665</v>
      </c>
      <c r="E42" s="799"/>
      <c r="F42" s="762"/>
      <c r="G42" s="909" t="s">
        <v>169</v>
      </c>
      <c r="H42" s="910">
        <f>SUBTOTAL(9,H38:H40)</f>
        <v>27056</v>
      </c>
      <c r="I42" s="910">
        <f>SUBTOTAL(9,I38:I40)</f>
        <v>10000</v>
      </c>
      <c r="J42" s="910">
        <f>SUBTOTAL(9,J38:J40)</f>
        <v>0</v>
      </c>
    </row>
    <row r="43" spans="1:13" s="907" customFormat="1" ht="13.5" outlineLevel="1" thickBot="1">
      <c r="A43" s="753" t="s">
        <v>203</v>
      </c>
      <c r="B43" s="753" t="s">
        <v>158</v>
      </c>
      <c r="C43" s="753" t="s">
        <v>948</v>
      </c>
      <c r="D43" s="753" t="s">
        <v>1666</v>
      </c>
      <c r="E43" s="911" t="s">
        <v>1666</v>
      </c>
      <c r="F43" s="912"/>
      <c r="G43" s="913"/>
      <c r="H43" s="905"/>
      <c r="I43" s="905"/>
      <c r="J43" s="905"/>
    </row>
    <row r="44" spans="1:13" ht="13.5" outlineLevel="2" thickBot="1">
      <c r="A44" s="753" t="str">
        <f>B44&amp;C44&amp;D44</f>
        <v>O&amp;M Mobilization BudgetOperating ExpensesOutside Services</v>
      </c>
      <c r="B44" s="753" t="s">
        <v>158</v>
      </c>
      <c r="C44" s="753" t="s">
        <v>948</v>
      </c>
      <c r="D44" s="753" t="s">
        <v>1666</v>
      </c>
      <c r="E44" s="799" t="s">
        <v>204</v>
      </c>
      <c r="F44" s="762" t="s">
        <v>205</v>
      </c>
      <c r="G44" s="796"/>
      <c r="H44" s="908"/>
      <c r="I44" s="908">
        <f t="shared" ref="I44:I51" si="2">H44</f>
        <v>0</v>
      </c>
      <c r="J44" s="908">
        <f t="shared" ref="J44:J51" si="3">H44-I44</f>
        <v>0</v>
      </c>
      <c r="L44" s="753"/>
      <c r="M44" s="753"/>
    </row>
    <row r="45" spans="1:13" ht="13.5" outlineLevel="2" thickBot="1">
      <c r="A45" s="753" t="str">
        <f>B45&amp;C45&amp;D45</f>
        <v>O&amp;M Mobilization BudgetOperating ExpensesOutside Services</v>
      </c>
      <c r="B45" s="753" t="s">
        <v>158</v>
      </c>
      <c r="C45" s="753" t="s">
        <v>948</v>
      </c>
      <c r="D45" s="753" t="s">
        <v>1666</v>
      </c>
      <c r="E45" s="799" t="s">
        <v>206</v>
      </c>
      <c r="F45" s="762" t="s">
        <v>205</v>
      </c>
      <c r="G45" s="796"/>
      <c r="H45" s="908"/>
      <c r="I45" s="908">
        <f t="shared" si="2"/>
        <v>0</v>
      </c>
      <c r="J45" s="908">
        <f t="shared" si="3"/>
        <v>0</v>
      </c>
      <c r="L45" s="753"/>
      <c r="M45" s="753"/>
    </row>
    <row r="46" spans="1:13" ht="13.5" outlineLevel="2" thickBot="1">
      <c r="A46" s="753" t="str">
        <f>B46&amp;C46&amp;D46</f>
        <v>O&amp;M Mobilization BudgetOperating ExpensesOutside Services</v>
      </c>
      <c r="B46" s="753" t="s">
        <v>158</v>
      </c>
      <c r="C46" s="753" t="s">
        <v>948</v>
      </c>
      <c r="D46" s="753" t="s">
        <v>1666</v>
      </c>
      <c r="E46" s="799" t="s">
        <v>207</v>
      </c>
      <c r="F46" s="762" t="s">
        <v>208</v>
      </c>
      <c r="G46" s="796"/>
      <c r="H46" s="908">
        <f>800*5</f>
        <v>4000</v>
      </c>
      <c r="I46" s="908">
        <f t="shared" si="2"/>
        <v>4000</v>
      </c>
      <c r="J46" s="908">
        <f t="shared" si="3"/>
        <v>0</v>
      </c>
      <c r="L46" s="753"/>
      <c r="M46" s="753"/>
    </row>
    <row r="47" spans="1:13" ht="13.5" outlineLevel="2" thickBot="1">
      <c r="A47" s="753" t="str">
        <f>B47&amp;C47&amp;D47</f>
        <v>O&amp;M Mobilization BudgetOperating ExpensesOutside Services</v>
      </c>
      <c r="B47" s="753" t="s">
        <v>158</v>
      </c>
      <c r="C47" s="753" t="s">
        <v>948</v>
      </c>
      <c r="D47" s="753" t="s">
        <v>1666</v>
      </c>
      <c r="E47" s="799" t="s">
        <v>209</v>
      </c>
      <c r="F47" s="762" t="s">
        <v>210</v>
      </c>
      <c r="G47" s="796"/>
      <c r="H47" s="908">
        <v>0</v>
      </c>
      <c r="I47" s="908">
        <f t="shared" si="2"/>
        <v>0</v>
      </c>
      <c r="J47" s="908">
        <f t="shared" si="3"/>
        <v>0</v>
      </c>
      <c r="L47" s="753"/>
      <c r="M47" s="753"/>
    </row>
    <row r="48" spans="1:13" ht="13.5" outlineLevel="2" thickBot="1">
      <c r="E48" s="799" t="s">
        <v>211</v>
      </c>
      <c r="F48" s="762" t="s">
        <v>210</v>
      </c>
      <c r="G48" s="796"/>
      <c r="H48" s="908">
        <v>0</v>
      </c>
      <c r="I48" s="908">
        <f t="shared" si="2"/>
        <v>0</v>
      </c>
      <c r="J48" s="908">
        <f t="shared" si="3"/>
        <v>0</v>
      </c>
      <c r="L48" s="753"/>
      <c r="M48" s="753"/>
    </row>
    <row r="49" spans="1:13" ht="13.5" outlineLevel="2" thickBot="1">
      <c r="A49" s="753" t="str">
        <f>B49&amp;C49&amp;D49</f>
        <v>O&amp;M Mobilization BudgetOperating ExpensesOutside Services</v>
      </c>
      <c r="B49" s="753" t="s">
        <v>158</v>
      </c>
      <c r="C49" s="753" t="s">
        <v>948</v>
      </c>
      <c r="D49" s="753" t="s">
        <v>1666</v>
      </c>
      <c r="E49" s="799" t="s">
        <v>212</v>
      </c>
      <c r="F49" s="762" t="s">
        <v>213</v>
      </c>
      <c r="G49" s="796"/>
      <c r="H49" s="908">
        <f>1*1000+4*150</f>
        <v>1600</v>
      </c>
      <c r="I49" s="908">
        <f t="shared" si="2"/>
        <v>1600</v>
      </c>
      <c r="J49" s="908">
        <f t="shared" si="3"/>
        <v>0</v>
      </c>
      <c r="L49" s="753"/>
      <c r="M49" s="753"/>
    </row>
    <row r="50" spans="1:13" ht="13.5" outlineLevel="2" thickBot="1">
      <c r="A50" s="753" t="str">
        <f>B50&amp;C50&amp;D50</f>
        <v>O&amp;M Mobilization BudgetOperating ExpensesOutside Services</v>
      </c>
      <c r="B50" s="753" t="s">
        <v>158</v>
      </c>
      <c r="C50" s="753" t="s">
        <v>948</v>
      </c>
      <c r="D50" s="753" t="s">
        <v>1666</v>
      </c>
      <c r="E50" s="799" t="s">
        <v>214</v>
      </c>
      <c r="F50" s="762" t="s">
        <v>215</v>
      </c>
      <c r="G50" s="796"/>
      <c r="H50" s="908">
        <f>2*1000+8*150</f>
        <v>3200</v>
      </c>
      <c r="I50" s="908">
        <f t="shared" si="2"/>
        <v>3200</v>
      </c>
      <c r="J50" s="908">
        <f t="shared" si="3"/>
        <v>0</v>
      </c>
      <c r="L50" s="753"/>
      <c r="M50" s="753"/>
    </row>
    <row r="51" spans="1:13" ht="13.5" outlineLevel="2" thickBot="1">
      <c r="A51" s="753" t="str">
        <f>B51&amp;C51&amp;D51</f>
        <v>O&amp;M Mobilization BudgetOperating ExpensesOutside Services</v>
      </c>
      <c r="B51" s="753" t="s">
        <v>158</v>
      </c>
      <c r="C51" s="753" t="s">
        <v>948</v>
      </c>
      <c r="D51" s="753" t="s">
        <v>1666</v>
      </c>
      <c r="E51" s="799" t="s">
        <v>216</v>
      </c>
      <c r="F51" s="762" t="s">
        <v>215</v>
      </c>
      <c r="G51" s="796"/>
      <c r="H51" s="908">
        <f>2*1000+8*150</f>
        <v>3200</v>
      </c>
      <c r="I51" s="908">
        <f t="shared" si="2"/>
        <v>3200</v>
      </c>
      <c r="J51" s="908">
        <f t="shared" si="3"/>
        <v>0</v>
      </c>
      <c r="L51" s="753"/>
      <c r="M51" s="753"/>
    </row>
    <row r="52" spans="1:13" ht="13.5" outlineLevel="2" thickBot="1">
      <c r="E52" s="799" t="s">
        <v>217</v>
      </c>
      <c r="F52" s="762" t="s">
        <v>215</v>
      </c>
      <c r="G52" s="796"/>
      <c r="H52" s="908">
        <f>2*1000+8*150</f>
        <v>3200</v>
      </c>
      <c r="I52" s="908"/>
      <c r="J52" s="908"/>
      <c r="L52" s="753"/>
      <c r="M52" s="753"/>
    </row>
    <row r="53" spans="1:13" ht="13.5" outlineLevel="2" thickBot="1">
      <c r="E53" s="799" t="s">
        <v>218</v>
      </c>
      <c r="F53" s="762" t="s">
        <v>219</v>
      </c>
      <c r="G53" s="796"/>
      <c r="H53" s="908">
        <f>15*8*60</f>
        <v>7200</v>
      </c>
      <c r="I53" s="908"/>
      <c r="J53" s="908"/>
      <c r="L53" s="753"/>
      <c r="M53" s="753"/>
    </row>
    <row r="54" spans="1:13" ht="13.5" outlineLevel="2" thickBot="1">
      <c r="E54" s="799" t="s">
        <v>220</v>
      </c>
      <c r="F54" s="762" t="s">
        <v>205</v>
      </c>
      <c r="G54" s="796"/>
      <c r="H54" s="908"/>
      <c r="I54" s="908">
        <f>H54</f>
        <v>0</v>
      </c>
      <c r="J54" s="908">
        <f>H54-I54</f>
        <v>0</v>
      </c>
      <c r="L54" s="753"/>
      <c r="M54" s="753"/>
    </row>
    <row r="55" spans="1:13" ht="13.5" outlineLevel="2" thickBot="1">
      <c r="E55" s="799" t="s">
        <v>221</v>
      </c>
      <c r="F55" s="762" t="s">
        <v>205</v>
      </c>
      <c r="G55" s="796"/>
      <c r="H55" s="908"/>
      <c r="I55" s="908">
        <f>H55</f>
        <v>0</v>
      </c>
      <c r="J55" s="908">
        <f>H55-I55</f>
        <v>0</v>
      </c>
      <c r="L55" s="753"/>
      <c r="M55" s="753"/>
    </row>
    <row r="56" spans="1:13" ht="13.5" outlineLevel="2" thickBot="1">
      <c r="E56" s="799" t="s">
        <v>222</v>
      </c>
      <c r="F56" s="762" t="s">
        <v>223</v>
      </c>
      <c r="G56" s="796"/>
      <c r="H56" s="908">
        <f>480*43</f>
        <v>20640</v>
      </c>
      <c r="I56" s="908">
        <f>H56</f>
        <v>20640</v>
      </c>
      <c r="J56" s="908">
        <f>H56-I56</f>
        <v>0</v>
      </c>
      <c r="L56" s="753"/>
      <c r="M56" s="753"/>
    </row>
    <row r="57" spans="1:13" ht="13.5" outlineLevel="2" thickBot="1">
      <c r="E57" s="799" t="s">
        <v>224</v>
      </c>
      <c r="F57" s="762"/>
      <c r="G57" s="796"/>
      <c r="H57" s="908">
        <v>3000</v>
      </c>
      <c r="I57" s="908"/>
      <c r="J57" s="908"/>
      <c r="L57" s="753"/>
      <c r="M57" s="753"/>
    </row>
    <row r="58" spans="1:13" ht="13.5" outlineLevel="2" thickBot="1">
      <c r="A58" s="753" t="str">
        <f>B58&amp;C58&amp;D58</f>
        <v>O&amp;M Mobilization BudgetOperating ExpensesOutside Services</v>
      </c>
      <c r="B58" s="753" t="s">
        <v>158</v>
      </c>
      <c r="C58" s="753" t="s">
        <v>948</v>
      </c>
      <c r="D58" s="753" t="s">
        <v>1666</v>
      </c>
      <c r="E58" s="799" t="s">
        <v>225</v>
      </c>
      <c r="F58" s="762"/>
      <c r="G58" s="796"/>
      <c r="H58" s="908">
        <v>0</v>
      </c>
      <c r="I58" s="908">
        <f>H58</f>
        <v>0</v>
      </c>
      <c r="J58" s="908">
        <f>H58-I58</f>
        <v>0</v>
      </c>
      <c r="L58" s="753"/>
      <c r="M58" s="753"/>
    </row>
    <row r="59" spans="1:13" ht="13.5" outlineLevel="2" thickBot="1">
      <c r="E59" s="799" t="s">
        <v>226</v>
      </c>
      <c r="F59" s="762" t="s">
        <v>227</v>
      </c>
      <c r="G59" s="796"/>
      <c r="H59" s="908">
        <f>20*160</f>
        <v>3200</v>
      </c>
      <c r="I59" s="908"/>
      <c r="J59" s="908"/>
      <c r="L59" s="753"/>
      <c r="M59" s="753"/>
    </row>
    <row r="60" spans="1:13" s="907" customFormat="1" ht="13.5" outlineLevel="1" thickBot="1">
      <c r="A60" s="907" t="s">
        <v>228</v>
      </c>
      <c r="B60" s="907" t="s">
        <v>158</v>
      </c>
      <c r="C60" s="907" t="s">
        <v>948</v>
      </c>
      <c r="D60" s="907" t="s">
        <v>1666</v>
      </c>
      <c r="E60" s="799" t="s">
        <v>229</v>
      </c>
      <c r="F60" s="762"/>
      <c r="G60" s="909" t="s">
        <v>169</v>
      </c>
      <c r="H60" s="910">
        <f>SUBTOTAL(9,H44:H59)</f>
        <v>49240</v>
      </c>
      <c r="I60" s="910">
        <f>SUBTOTAL(9,I44:I59)</f>
        <v>32640</v>
      </c>
      <c r="J60" s="910">
        <f>SUBTOTAL(9,J44:J59)</f>
        <v>0</v>
      </c>
    </row>
    <row r="61" spans="1:13" s="907" customFormat="1" ht="13.5" outlineLevel="1" thickBot="1">
      <c r="A61" s="753" t="s">
        <v>230</v>
      </c>
      <c r="B61" s="753" t="s">
        <v>158</v>
      </c>
      <c r="C61" s="753" t="s">
        <v>948</v>
      </c>
      <c r="D61" s="753" t="s">
        <v>1667</v>
      </c>
      <c r="E61" s="911" t="s">
        <v>1667</v>
      </c>
      <c r="F61" s="912"/>
      <c r="G61" s="913"/>
      <c r="H61" s="905"/>
      <c r="I61" s="905"/>
      <c r="J61" s="905"/>
    </row>
    <row r="62" spans="1:13" ht="13.5" outlineLevel="2" thickBot="1">
      <c r="E62" s="918" t="s">
        <v>231</v>
      </c>
      <c r="F62" s="919" t="s">
        <v>232</v>
      </c>
      <c r="G62" s="796"/>
      <c r="H62" s="908">
        <v>600</v>
      </c>
      <c r="I62" s="908">
        <f>H62-J62</f>
        <v>600</v>
      </c>
      <c r="J62" s="908"/>
      <c r="L62" s="753"/>
      <c r="M62" s="753"/>
    </row>
    <row r="63" spans="1:13" ht="13.5" outlineLevel="2" thickBot="1">
      <c r="A63" s="753" t="str">
        <f>B63&amp;C63&amp;D63</f>
        <v>O&amp;M Mobilization BudgetOperating ExpensesOther Supplies &amp; Expenses</v>
      </c>
      <c r="B63" s="753" t="s">
        <v>158</v>
      </c>
      <c r="C63" s="753" t="s">
        <v>948</v>
      </c>
      <c r="D63" s="753" t="s">
        <v>1667</v>
      </c>
      <c r="E63" s="918" t="s">
        <v>233</v>
      </c>
      <c r="F63" s="919" t="s">
        <v>234</v>
      </c>
      <c r="G63" s="796"/>
      <c r="H63" s="908">
        <v>2500</v>
      </c>
      <c r="I63" s="908">
        <f>H63-J63</f>
        <v>2500</v>
      </c>
      <c r="J63" s="908"/>
      <c r="L63" s="753"/>
      <c r="M63" s="753"/>
    </row>
    <row r="64" spans="1:13" ht="13.5" outlineLevel="2" thickBot="1">
      <c r="A64" s="753" t="str">
        <f>B64&amp;C64&amp;D64</f>
        <v>O&amp;M Mobilization BudgetOperating ExpensesOther Supplies &amp; Expenses</v>
      </c>
      <c r="B64" s="753" t="s">
        <v>158</v>
      </c>
      <c r="C64" s="753" t="s">
        <v>948</v>
      </c>
      <c r="D64" s="753" t="s">
        <v>1667</v>
      </c>
      <c r="E64" s="918" t="s">
        <v>235</v>
      </c>
      <c r="F64" s="919" t="s">
        <v>236</v>
      </c>
      <c r="G64" s="796"/>
      <c r="H64" s="908">
        <f>1*5*1000*1.5/14+500</f>
        <v>1035.7142857142858</v>
      </c>
      <c r="I64" s="908">
        <f>H64-J64</f>
        <v>1035.7142857142858</v>
      </c>
      <c r="J64" s="908"/>
      <c r="L64" s="753"/>
      <c r="M64" s="753"/>
    </row>
    <row r="65" spans="1:13" ht="13.5" outlineLevel="2" thickBot="1">
      <c r="A65" s="753" t="str">
        <f>B65&amp;C65&amp;D65</f>
        <v>O&amp;M Mobilization BudgetOperating ExpensesOther Supplies &amp; Expenses</v>
      </c>
      <c r="B65" s="753" t="s">
        <v>158</v>
      </c>
      <c r="C65" s="753" t="s">
        <v>948</v>
      </c>
      <c r="D65" s="753" t="s">
        <v>1667</v>
      </c>
      <c r="E65" s="918" t="s">
        <v>237</v>
      </c>
      <c r="F65" s="919"/>
      <c r="G65" s="796"/>
      <c r="H65" s="908">
        <v>2000</v>
      </c>
      <c r="I65" s="908">
        <f>H65-J65</f>
        <v>2000</v>
      </c>
      <c r="J65" s="908"/>
      <c r="L65" s="753"/>
      <c r="M65" s="753"/>
    </row>
    <row r="66" spans="1:13" ht="13.5" outlineLevel="2" thickBot="1">
      <c r="A66" s="753" t="str">
        <f>B66&amp;C66&amp;D66</f>
        <v>O&amp;M Mobilization BudgetOperating ExpensesOther Supplies &amp; Expenses</v>
      </c>
      <c r="B66" s="753" t="s">
        <v>158</v>
      </c>
      <c r="C66" s="753" t="s">
        <v>948</v>
      </c>
      <c r="D66" s="753" t="s">
        <v>1667</v>
      </c>
      <c r="E66" s="918" t="s">
        <v>238</v>
      </c>
      <c r="F66" s="919" t="s">
        <v>239</v>
      </c>
      <c r="G66" s="796"/>
      <c r="H66" s="908">
        <v>2500</v>
      </c>
      <c r="I66" s="908">
        <f>H66-J66</f>
        <v>2500</v>
      </c>
      <c r="J66" s="908"/>
      <c r="L66" s="753"/>
      <c r="M66" s="753"/>
    </row>
    <row r="67" spans="1:13" ht="13.5" outlineLevel="2" thickBot="1">
      <c r="E67" s="799"/>
      <c r="F67" s="762"/>
      <c r="G67" s="796"/>
      <c r="H67" s="908"/>
      <c r="I67" s="908"/>
      <c r="J67" s="908"/>
      <c r="L67" s="753"/>
      <c r="M67" s="753"/>
    </row>
    <row r="68" spans="1:13" s="907" customFormat="1" ht="13.5" outlineLevel="1" thickBot="1">
      <c r="A68" s="907" t="s">
        <v>240</v>
      </c>
      <c r="B68" s="907" t="s">
        <v>158</v>
      </c>
      <c r="C68" s="907" t="s">
        <v>948</v>
      </c>
      <c r="D68" s="907" t="s">
        <v>1667</v>
      </c>
      <c r="E68" s="799"/>
      <c r="F68" s="762"/>
      <c r="G68" s="909" t="s">
        <v>169</v>
      </c>
      <c r="H68" s="910">
        <f>SUBTOTAL(9,H62:H67)</f>
        <v>8635.7142857142862</v>
      </c>
      <c r="I68" s="910">
        <f>SUBTOTAL(9,I62:I67)</f>
        <v>8635.7142857142862</v>
      </c>
      <c r="J68" s="910">
        <f>SUBTOTAL(9,J62:J67)</f>
        <v>0</v>
      </c>
    </row>
    <row r="69" spans="1:13" s="907" customFormat="1" ht="13.5" outlineLevel="1" thickBot="1">
      <c r="A69" s="753" t="s">
        <v>241</v>
      </c>
      <c r="B69" s="753" t="s">
        <v>158</v>
      </c>
      <c r="C69" s="753" t="s">
        <v>948</v>
      </c>
      <c r="D69" s="753" t="s">
        <v>1668</v>
      </c>
      <c r="E69" s="911" t="s">
        <v>1668</v>
      </c>
      <c r="F69" s="912"/>
      <c r="G69" s="913"/>
      <c r="H69" s="905"/>
      <c r="I69" s="905"/>
      <c r="J69" s="905"/>
    </row>
    <row r="70" spans="1:13" ht="13.5" outlineLevel="2" thickBot="1">
      <c r="A70" s="753" t="str">
        <f>B70&amp;C70&amp;D70</f>
        <v>O&amp;M Mobilization BudgetOperating ExpensesCommunications</v>
      </c>
      <c r="B70" s="753" t="s">
        <v>158</v>
      </c>
      <c r="C70" s="753" t="s">
        <v>948</v>
      </c>
      <c r="D70" s="753" t="s">
        <v>1668</v>
      </c>
      <c r="E70" s="799" t="s">
        <v>242</v>
      </c>
      <c r="F70" s="762" t="s">
        <v>243</v>
      </c>
      <c r="G70" s="796"/>
      <c r="H70" s="908">
        <f>5*500</f>
        <v>2500</v>
      </c>
      <c r="I70" s="908">
        <f>H70-J70</f>
        <v>2500</v>
      </c>
      <c r="J70" s="908"/>
      <c r="L70" s="753"/>
      <c r="M70" s="753"/>
    </row>
    <row r="71" spans="1:13" ht="13.5" outlineLevel="2" thickBot="1">
      <c r="A71" s="753" t="str">
        <f>B71&amp;C71&amp;D71</f>
        <v>O&amp;M Mobilization BudgetOperating ExpensesCommunications</v>
      </c>
      <c r="B71" s="753" t="s">
        <v>158</v>
      </c>
      <c r="C71" s="753" t="s">
        <v>948</v>
      </c>
      <c r="D71" s="753" t="s">
        <v>1668</v>
      </c>
      <c r="E71" s="799" t="s">
        <v>244</v>
      </c>
      <c r="F71" s="762" t="s">
        <v>245</v>
      </c>
      <c r="G71" s="796"/>
      <c r="H71" s="908">
        <f>1*6*300</f>
        <v>1800</v>
      </c>
      <c r="I71" s="908">
        <f>H71-J71</f>
        <v>1800</v>
      </c>
      <c r="J71" s="908"/>
      <c r="L71" s="753"/>
      <c r="M71" s="753"/>
    </row>
    <row r="72" spans="1:13" ht="13.5" outlineLevel="2" thickBot="1">
      <c r="A72" s="753" t="str">
        <f>B72&amp;C72&amp;D72</f>
        <v>O&amp;M Mobilization BudgetOperating ExpensesCommunications</v>
      </c>
      <c r="B72" s="753" t="s">
        <v>158</v>
      </c>
      <c r="C72" s="753" t="s">
        <v>948</v>
      </c>
      <c r="D72" s="753" t="s">
        <v>1668</v>
      </c>
      <c r="E72" s="799" t="s">
        <v>246</v>
      </c>
      <c r="F72" s="762" t="s">
        <v>247</v>
      </c>
      <c r="G72" s="796"/>
      <c r="H72" s="908">
        <f>6*20*4</f>
        <v>480</v>
      </c>
      <c r="I72" s="908">
        <f>H72-J72</f>
        <v>480</v>
      </c>
      <c r="J72" s="908"/>
      <c r="L72" s="753"/>
      <c r="M72" s="753"/>
    </row>
    <row r="73" spans="1:13" ht="13.5" outlineLevel="2" thickBot="1">
      <c r="E73" s="799"/>
      <c r="F73" s="762"/>
      <c r="G73" s="796"/>
      <c r="H73" s="908"/>
      <c r="I73" s="908"/>
      <c r="J73" s="908"/>
      <c r="L73" s="753"/>
      <c r="M73" s="753"/>
    </row>
    <row r="74" spans="1:13" s="907" customFormat="1" ht="13.5" outlineLevel="1" thickBot="1">
      <c r="A74" s="907" t="s">
        <v>248</v>
      </c>
      <c r="B74" s="907" t="s">
        <v>158</v>
      </c>
      <c r="C74" s="907" t="s">
        <v>948</v>
      </c>
      <c r="D74" s="907" t="s">
        <v>1668</v>
      </c>
      <c r="E74" s="799"/>
      <c r="F74" s="762"/>
      <c r="G74" s="909" t="s">
        <v>169</v>
      </c>
      <c r="H74" s="910">
        <f>SUBTOTAL(9,H70:H72)</f>
        <v>4780</v>
      </c>
      <c r="I74" s="910">
        <f>SUBTOTAL(9,I70:I72)</f>
        <v>4780</v>
      </c>
      <c r="J74" s="910">
        <f>SUBTOTAL(9,J70:J72)</f>
        <v>0</v>
      </c>
    </row>
    <row r="75" spans="1:13" s="907" customFormat="1" ht="13.5" outlineLevel="1" thickBot="1">
      <c r="A75" s="753" t="s">
        <v>249</v>
      </c>
      <c r="B75" s="753" t="s">
        <v>158</v>
      </c>
      <c r="C75" s="753" t="s">
        <v>948</v>
      </c>
      <c r="D75" s="753" t="s">
        <v>250</v>
      </c>
      <c r="E75" s="911" t="s">
        <v>1669</v>
      </c>
      <c r="F75" s="912"/>
      <c r="G75" s="913"/>
      <c r="H75" s="905"/>
      <c r="I75" s="905"/>
      <c r="J75" s="905"/>
    </row>
    <row r="76" spans="1:13" ht="13.5" outlineLevel="2" thickBot="1">
      <c r="A76" s="753" t="str">
        <f>B76&amp;C76&amp;D76</f>
        <v>O&amp;M Mobilization BudgetOperating ExpensesMiscellaneous Office Expenses</v>
      </c>
      <c r="B76" s="753" t="s">
        <v>158</v>
      </c>
      <c r="C76" s="753" t="s">
        <v>948</v>
      </c>
      <c r="D76" s="753" t="s">
        <v>250</v>
      </c>
      <c r="E76" s="799" t="s">
        <v>251</v>
      </c>
      <c r="F76" s="762" t="s">
        <v>252</v>
      </c>
      <c r="G76" s="796"/>
      <c r="H76" s="908"/>
      <c r="I76" s="908">
        <f>H76-J76</f>
        <v>0</v>
      </c>
      <c r="J76" s="908"/>
      <c r="L76" s="753"/>
      <c r="M76" s="753"/>
    </row>
    <row r="77" spans="1:13" ht="13.5" outlineLevel="2" thickBot="1">
      <c r="A77" s="753" t="str">
        <f>B77&amp;C77&amp;D77</f>
        <v>O&amp;M Mobilization BudgetOperating ExpensesMiscellaneous Office Expenses</v>
      </c>
      <c r="B77" s="753" t="s">
        <v>158</v>
      </c>
      <c r="C77" s="753" t="s">
        <v>948</v>
      </c>
      <c r="D77" s="753" t="s">
        <v>250</v>
      </c>
      <c r="E77" s="799" t="s">
        <v>253</v>
      </c>
      <c r="F77" s="762" t="s">
        <v>254</v>
      </c>
      <c r="G77" s="796"/>
      <c r="H77" s="908">
        <v>4000</v>
      </c>
      <c r="I77" s="908">
        <f>H77-J77</f>
        <v>4000</v>
      </c>
      <c r="J77" s="908"/>
      <c r="L77" s="753"/>
      <c r="M77" s="753"/>
    </row>
    <row r="78" spans="1:13" ht="13.5" outlineLevel="2" thickBot="1">
      <c r="A78" s="753" t="str">
        <f>B78&amp;C78&amp;D78</f>
        <v>O&amp;M Mobilization BudgetOperating ExpensesMiscellaneous Office Expenses</v>
      </c>
      <c r="B78" s="753" t="s">
        <v>158</v>
      </c>
      <c r="C78" s="753" t="s">
        <v>948</v>
      </c>
      <c r="D78" s="753" t="s">
        <v>250</v>
      </c>
      <c r="E78" s="799" t="s">
        <v>255</v>
      </c>
      <c r="F78" s="762"/>
      <c r="G78" s="796"/>
      <c r="H78" s="908">
        <v>800</v>
      </c>
      <c r="I78" s="908">
        <f>H78-J78</f>
        <v>800</v>
      </c>
      <c r="J78" s="908"/>
      <c r="L78" s="753"/>
      <c r="M78" s="753"/>
    </row>
    <row r="79" spans="1:13" ht="13.5" outlineLevel="2" thickBot="1">
      <c r="A79" s="753" t="str">
        <f>B79&amp;C79&amp;D79</f>
        <v>O&amp;M Mobilization BudgetOperating ExpensesMiscellaneous Office Expenses</v>
      </c>
      <c r="B79" s="753" t="s">
        <v>158</v>
      </c>
      <c r="C79" s="753" t="s">
        <v>948</v>
      </c>
      <c r="D79" s="753" t="s">
        <v>250</v>
      </c>
      <c r="E79" s="799" t="s">
        <v>256</v>
      </c>
      <c r="G79" s="796"/>
      <c r="H79" s="908"/>
      <c r="I79" s="908">
        <f>H79-J79</f>
        <v>0</v>
      </c>
      <c r="J79" s="908"/>
      <c r="L79" s="753"/>
      <c r="M79" s="753"/>
    </row>
    <row r="80" spans="1:13" ht="13.5" outlineLevel="2" thickBot="1">
      <c r="E80" s="799" t="s">
        <v>257</v>
      </c>
      <c r="G80" s="796"/>
      <c r="H80" s="908"/>
      <c r="I80" s="908">
        <f>H80-J80</f>
        <v>0</v>
      </c>
      <c r="J80" s="908"/>
      <c r="L80" s="753"/>
      <c r="M80" s="753"/>
    </row>
    <row r="81" spans="1:13" ht="13.5" outlineLevel="2" thickBot="1">
      <c r="E81" s="799"/>
      <c r="F81" s="762" t="s">
        <v>258</v>
      </c>
      <c r="G81" s="796"/>
      <c r="H81" s="908"/>
      <c r="I81" s="908"/>
      <c r="J81" s="908"/>
      <c r="L81" s="753"/>
      <c r="M81" s="753"/>
    </row>
    <row r="82" spans="1:13" s="907" customFormat="1" ht="13.5" outlineLevel="1" thickBot="1">
      <c r="A82" s="907" t="s">
        <v>259</v>
      </c>
      <c r="B82" s="907" t="s">
        <v>158</v>
      </c>
      <c r="C82" s="907" t="s">
        <v>948</v>
      </c>
      <c r="D82" s="907" t="s">
        <v>250</v>
      </c>
      <c r="E82" s="799"/>
      <c r="F82" s="762"/>
      <c r="G82" s="909" t="s">
        <v>169</v>
      </c>
      <c r="H82" s="910">
        <f>SUBTOTAL(9,H76:H80)</f>
        <v>4800</v>
      </c>
      <c r="I82" s="910">
        <f>SUBTOTAL(9,I76:I80)</f>
        <v>4800</v>
      </c>
      <c r="J82" s="910">
        <f>SUBTOTAL(9,J76:J80)</f>
        <v>0</v>
      </c>
    </row>
    <row r="83" spans="1:13" s="907" customFormat="1" ht="13.5" outlineLevel="1" thickBot="1">
      <c r="A83" s="753" t="s">
        <v>260</v>
      </c>
      <c r="B83" s="753" t="s">
        <v>158</v>
      </c>
      <c r="C83" s="753" t="s">
        <v>948</v>
      </c>
      <c r="D83" s="753" t="s">
        <v>1670</v>
      </c>
      <c r="E83" s="911" t="s">
        <v>1670</v>
      </c>
      <c r="F83" s="912"/>
      <c r="G83" s="913"/>
      <c r="H83" s="905"/>
      <c r="I83" s="905"/>
      <c r="J83" s="905"/>
    </row>
    <row r="84" spans="1:13" ht="13.5" outlineLevel="2" thickBot="1">
      <c r="A84" s="753" t="str">
        <f t="shared" ref="A84:A97" si="4">B84&amp;C84&amp;D84</f>
        <v>O&amp;M Mobilization BudgetOperating ExpensesTraining</v>
      </c>
      <c r="B84" s="753" t="s">
        <v>158</v>
      </c>
      <c r="C84" s="753" t="s">
        <v>948</v>
      </c>
      <c r="D84" s="753" t="s">
        <v>1670</v>
      </c>
      <c r="E84" s="799" t="s">
        <v>261</v>
      </c>
      <c r="F84" s="762" t="s">
        <v>262</v>
      </c>
      <c r="G84" s="796"/>
      <c r="H84" s="908">
        <f>Training!I53*1000</f>
        <v>75402</v>
      </c>
      <c r="I84" s="908">
        <f t="shared" ref="I84:I98" si="5">H84</f>
        <v>75402</v>
      </c>
      <c r="J84" s="908">
        <f t="shared" ref="J84:J98" si="6">H84-I84</f>
        <v>0</v>
      </c>
      <c r="L84" s="753"/>
      <c r="M84" s="753"/>
    </row>
    <row r="85" spans="1:13" ht="13.5" outlineLevel="2" thickBot="1">
      <c r="A85" s="753" t="str">
        <f t="shared" si="4"/>
        <v>O&amp;M Mobilization BudgetOperating ExpensesTraining</v>
      </c>
      <c r="B85" s="753" t="s">
        <v>158</v>
      </c>
      <c r="C85" s="753" t="s">
        <v>948</v>
      </c>
      <c r="D85" s="753" t="s">
        <v>1670</v>
      </c>
      <c r="E85" s="799" t="s">
        <v>263</v>
      </c>
      <c r="F85" s="762"/>
      <c r="G85" s="796"/>
      <c r="H85" s="908"/>
      <c r="I85" s="908">
        <f t="shared" si="5"/>
        <v>0</v>
      </c>
      <c r="J85" s="908">
        <f t="shared" si="6"/>
        <v>0</v>
      </c>
      <c r="L85" s="753"/>
      <c r="M85" s="753"/>
    </row>
    <row r="86" spans="1:13" ht="13.5" outlineLevel="2" thickBot="1">
      <c r="A86" s="753" t="str">
        <f t="shared" si="4"/>
        <v>O&amp;M Mobilization BudgetOperating ExpensesTraining</v>
      </c>
      <c r="B86" s="753" t="s">
        <v>158</v>
      </c>
      <c r="C86" s="753" t="s">
        <v>948</v>
      </c>
      <c r="D86" s="753" t="s">
        <v>1670</v>
      </c>
      <c r="E86" s="799" t="s">
        <v>264</v>
      </c>
      <c r="F86" s="762"/>
      <c r="G86" s="796"/>
      <c r="H86" s="908"/>
      <c r="I86" s="908">
        <f t="shared" si="5"/>
        <v>0</v>
      </c>
      <c r="J86" s="908">
        <f t="shared" si="6"/>
        <v>0</v>
      </c>
      <c r="L86" s="753"/>
      <c r="M86" s="753"/>
    </row>
    <row r="87" spans="1:13" ht="13.5" outlineLevel="2" thickBot="1">
      <c r="A87" s="753" t="str">
        <f t="shared" si="4"/>
        <v>O&amp;M Mobilization BudgetOperating ExpensesTraining</v>
      </c>
      <c r="B87" s="753" t="s">
        <v>158</v>
      </c>
      <c r="C87" s="753" t="s">
        <v>948</v>
      </c>
      <c r="D87" s="753" t="s">
        <v>1670</v>
      </c>
      <c r="E87" s="799" t="s">
        <v>265</v>
      </c>
      <c r="F87" s="762"/>
      <c r="G87" s="796"/>
      <c r="H87" s="908"/>
      <c r="I87" s="908">
        <f t="shared" si="5"/>
        <v>0</v>
      </c>
      <c r="J87" s="908">
        <f t="shared" si="6"/>
        <v>0</v>
      </c>
      <c r="L87" s="753"/>
      <c r="M87" s="753"/>
    </row>
    <row r="88" spans="1:13" ht="13.5" outlineLevel="2" thickBot="1">
      <c r="A88" s="753" t="str">
        <f t="shared" si="4"/>
        <v>O&amp;M Mobilization BudgetOperating ExpensesTraining</v>
      </c>
      <c r="B88" s="753" t="s">
        <v>158</v>
      </c>
      <c r="C88" s="753" t="s">
        <v>948</v>
      </c>
      <c r="D88" s="753" t="s">
        <v>1670</v>
      </c>
      <c r="E88" s="799" t="s">
        <v>266</v>
      </c>
      <c r="F88" s="762"/>
      <c r="G88" s="796"/>
      <c r="H88" s="908"/>
      <c r="I88" s="908">
        <f t="shared" si="5"/>
        <v>0</v>
      </c>
      <c r="J88" s="908">
        <f t="shared" si="6"/>
        <v>0</v>
      </c>
      <c r="L88" s="753"/>
      <c r="M88" s="753"/>
    </row>
    <row r="89" spans="1:13" ht="13.5" outlineLevel="2" thickBot="1">
      <c r="A89" s="753" t="str">
        <f t="shared" si="4"/>
        <v>O&amp;M Mobilization BudgetOperating ExpensesTraining</v>
      </c>
      <c r="B89" s="753" t="s">
        <v>158</v>
      </c>
      <c r="C89" s="753" t="s">
        <v>948</v>
      </c>
      <c r="D89" s="753" t="s">
        <v>1670</v>
      </c>
      <c r="E89" s="799" t="s">
        <v>267</v>
      </c>
      <c r="F89" s="762"/>
      <c r="G89" s="796"/>
      <c r="H89" s="908"/>
      <c r="I89" s="908">
        <f t="shared" si="5"/>
        <v>0</v>
      </c>
      <c r="J89" s="908">
        <f t="shared" si="6"/>
        <v>0</v>
      </c>
      <c r="L89" s="753"/>
      <c r="M89" s="753"/>
    </row>
    <row r="90" spans="1:13" ht="13.5" outlineLevel="2" thickBot="1">
      <c r="A90" s="753" t="str">
        <f t="shared" si="4"/>
        <v>O&amp;M Mobilization BudgetOperating ExpensesTraining</v>
      </c>
      <c r="B90" s="753" t="s">
        <v>158</v>
      </c>
      <c r="C90" s="753" t="s">
        <v>948</v>
      </c>
      <c r="D90" s="753" t="s">
        <v>1670</v>
      </c>
      <c r="E90" s="799" t="s">
        <v>268</v>
      </c>
      <c r="F90" s="762"/>
      <c r="G90" s="796"/>
      <c r="H90" s="908"/>
      <c r="I90" s="908">
        <f t="shared" si="5"/>
        <v>0</v>
      </c>
      <c r="J90" s="908">
        <f t="shared" si="6"/>
        <v>0</v>
      </c>
      <c r="L90" s="753"/>
      <c r="M90" s="753"/>
    </row>
    <row r="91" spans="1:13" ht="13.5" outlineLevel="2" thickBot="1">
      <c r="A91" s="753" t="str">
        <f t="shared" si="4"/>
        <v>O&amp;M Mobilization BudgetOperating ExpensesTraining</v>
      </c>
      <c r="B91" s="753" t="s">
        <v>158</v>
      </c>
      <c r="C91" s="753" t="s">
        <v>948</v>
      </c>
      <c r="D91" s="753" t="s">
        <v>1670</v>
      </c>
      <c r="E91" s="799" t="s">
        <v>269</v>
      </c>
      <c r="F91" s="762"/>
      <c r="G91" s="796"/>
      <c r="H91" s="908"/>
      <c r="I91" s="908">
        <f t="shared" si="5"/>
        <v>0</v>
      </c>
      <c r="J91" s="908">
        <f t="shared" si="6"/>
        <v>0</v>
      </c>
      <c r="L91" s="753"/>
      <c r="M91" s="753"/>
    </row>
    <row r="92" spans="1:13" ht="13.5" outlineLevel="2" thickBot="1">
      <c r="A92" s="753" t="str">
        <f t="shared" si="4"/>
        <v>O&amp;M Mobilization BudgetOperating ExpensesTraining</v>
      </c>
      <c r="B92" s="753" t="s">
        <v>158</v>
      </c>
      <c r="C92" s="753" t="s">
        <v>948</v>
      </c>
      <c r="D92" s="753" t="s">
        <v>1670</v>
      </c>
      <c r="E92" s="799" t="s">
        <v>270</v>
      </c>
      <c r="F92" s="762"/>
      <c r="G92" s="796"/>
      <c r="H92" s="908"/>
      <c r="I92" s="908">
        <f t="shared" si="5"/>
        <v>0</v>
      </c>
      <c r="J92" s="908">
        <f t="shared" si="6"/>
        <v>0</v>
      </c>
      <c r="L92" s="753"/>
      <c r="M92" s="753"/>
    </row>
    <row r="93" spans="1:13" ht="13.5" outlineLevel="2" thickBot="1">
      <c r="A93" s="753" t="str">
        <f t="shared" si="4"/>
        <v>O&amp;M Mobilization BudgetOperating ExpensesTraining</v>
      </c>
      <c r="B93" s="753" t="s">
        <v>158</v>
      </c>
      <c r="C93" s="753" t="s">
        <v>948</v>
      </c>
      <c r="D93" s="753" t="s">
        <v>1670</v>
      </c>
      <c r="E93" s="799" t="s">
        <v>271</v>
      </c>
      <c r="F93" s="762"/>
      <c r="G93" s="796"/>
      <c r="H93" s="908"/>
      <c r="I93" s="908">
        <f t="shared" si="5"/>
        <v>0</v>
      </c>
      <c r="J93" s="908">
        <f t="shared" si="6"/>
        <v>0</v>
      </c>
      <c r="L93" s="753"/>
      <c r="M93" s="753"/>
    </row>
    <row r="94" spans="1:13" ht="13.5" outlineLevel="2" thickBot="1">
      <c r="A94" s="753" t="str">
        <f t="shared" si="4"/>
        <v>O&amp;M Mobilization BudgetOperating ExpensesTraining</v>
      </c>
      <c r="B94" s="753" t="s">
        <v>158</v>
      </c>
      <c r="C94" s="753" t="s">
        <v>948</v>
      </c>
      <c r="D94" s="753" t="s">
        <v>1670</v>
      </c>
      <c r="E94" s="799" t="s">
        <v>272</v>
      </c>
      <c r="F94" s="762"/>
      <c r="G94" s="796"/>
      <c r="H94" s="908"/>
      <c r="I94" s="908">
        <f t="shared" si="5"/>
        <v>0</v>
      </c>
      <c r="J94" s="908">
        <f t="shared" si="6"/>
        <v>0</v>
      </c>
      <c r="L94" s="753"/>
      <c r="M94" s="753"/>
    </row>
    <row r="95" spans="1:13" ht="13.5" outlineLevel="2" thickBot="1">
      <c r="A95" s="753" t="str">
        <f t="shared" si="4"/>
        <v>O&amp;M Mobilization BudgetOperating ExpensesTraining</v>
      </c>
      <c r="B95" s="753" t="s">
        <v>158</v>
      </c>
      <c r="C95" s="753" t="s">
        <v>948</v>
      </c>
      <c r="D95" s="753" t="s">
        <v>1670</v>
      </c>
      <c r="E95" s="799" t="s">
        <v>273</v>
      </c>
      <c r="F95" s="762"/>
      <c r="G95" s="796"/>
      <c r="H95" s="908"/>
      <c r="I95" s="908">
        <f t="shared" si="5"/>
        <v>0</v>
      </c>
      <c r="J95" s="908">
        <f t="shared" si="6"/>
        <v>0</v>
      </c>
      <c r="L95" s="753"/>
      <c r="M95" s="753"/>
    </row>
    <row r="96" spans="1:13" ht="13.5" customHeight="1" outlineLevel="2" thickBot="1">
      <c r="A96" s="753" t="str">
        <f t="shared" si="4"/>
        <v>O&amp;M Mobilization BudgetOperating ExpensesTraining</v>
      </c>
      <c r="B96" s="753" t="s">
        <v>158</v>
      </c>
      <c r="C96" s="753" t="s">
        <v>948</v>
      </c>
      <c r="D96" s="753" t="s">
        <v>1670</v>
      </c>
      <c r="E96" s="799" t="s">
        <v>1449</v>
      </c>
      <c r="F96" s="762"/>
      <c r="G96" s="796"/>
      <c r="H96" s="908"/>
      <c r="I96" s="908">
        <f t="shared" si="5"/>
        <v>0</v>
      </c>
      <c r="J96" s="908">
        <f t="shared" si="6"/>
        <v>0</v>
      </c>
      <c r="L96" s="753"/>
      <c r="M96" s="753"/>
    </row>
    <row r="97" spans="1:13" ht="13.5" outlineLevel="2" thickBot="1">
      <c r="A97" s="753" t="str">
        <f t="shared" si="4"/>
        <v>O&amp;M Mobilization BudgetOperating ExpensesTraining</v>
      </c>
      <c r="B97" s="753" t="s">
        <v>158</v>
      </c>
      <c r="C97" s="753" t="s">
        <v>948</v>
      </c>
      <c r="D97" s="753" t="s">
        <v>1670</v>
      </c>
      <c r="E97" s="799" t="s">
        <v>274</v>
      </c>
      <c r="F97" s="762"/>
      <c r="G97" s="796"/>
      <c r="H97" s="908"/>
      <c r="I97" s="908">
        <f t="shared" si="5"/>
        <v>0</v>
      </c>
      <c r="J97" s="908">
        <f t="shared" si="6"/>
        <v>0</v>
      </c>
      <c r="L97" s="753"/>
      <c r="M97" s="753"/>
    </row>
    <row r="98" spans="1:13" ht="13.5" outlineLevel="2" thickBot="1">
      <c r="E98" s="799"/>
      <c r="F98" s="762"/>
      <c r="G98" s="796"/>
      <c r="H98" s="908"/>
      <c r="I98" s="908">
        <f t="shared" si="5"/>
        <v>0</v>
      </c>
      <c r="J98" s="908">
        <f t="shared" si="6"/>
        <v>0</v>
      </c>
      <c r="L98" s="753"/>
      <c r="M98" s="753"/>
    </row>
    <row r="99" spans="1:13" s="907" customFormat="1" ht="13.5" outlineLevel="1" thickBot="1">
      <c r="A99" s="907" t="s">
        <v>275</v>
      </c>
      <c r="B99" s="907" t="s">
        <v>158</v>
      </c>
      <c r="C99" s="907" t="s">
        <v>948</v>
      </c>
      <c r="D99" s="907" t="s">
        <v>1670</v>
      </c>
      <c r="E99" s="799"/>
      <c r="F99" s="762"/>
      <c r="G99" s="909" t="s">
        <v>169</v>
      </c>
      <c r="H99" s="910">
        <f>SUBTOTAL(9,H84:H97)</f>
        <v>75402</v>
      </c>
      <c r="I99" s="910">
        <f>SUBTOTAL(9,I84:I97)</f>
        <v>75402</v>
      </c>
      <c r="J99" s="910">
        <f>SUBTOTAL(9,J84:J97)</f>
        <v>0</v>
      </c>
    </row>
    <row r="100" spans="1:13" s="907" customFormat="1" ht="13.5" outlineLevel="1" thickBot="1">
      <c r="A100" s="753" t="s">
        <v>276</v>
      </c>
      <c r="B100" s="753" t="s">
        <v>158</v>
      </c>
      <c r="C100" s="753" t="s">
        <v>948</v>
      </c>
      <c r="D100" s="753" t="s">
        <v>277</v>
      </c>
      <c r="E100" s="920" t="s">
        <v>277</v>
      </c>
      <c r="F100" s="921"/>
      <c r="G100" s="922"/>
      <c r="H100" s="905"/>
      <c r="I100" s="905"/>
      <c r="J100" s="905"/>
    </row>
    <row r="101" spans="1:13" ht="13.5" outlineLevel="2" thickBot="1">
      <c r="A101" s="753" t="str">
        <f>B101&amp;C101&amp;D101</f>
        <v>O&amp;M Mobilization BudgetOperating ExpensesManuals/Operating Procedures</v>
      </c>
      <c r="B101" s="753" t="s">
        <v>158</v>
      </c>
      <c r="C101" s="753" t="s">
        <v>948</v>
      </c>
      <c r="D101" s="753" t="s">
        <v>277</v>
      </c>
      <c r="E101" s="799" t="s">
        <v>278</v>
      </c>
      <c r="F101" s="762" t="s">
        <v>279</v>
      </c>
      <c r="G101" s="796"/>
      <c r="H101" s="908">
        <v>0</v>
      </c>
      <c r="I101" s="908">
        <f t="shared" ref="I101:I116" si="7">H101</f>
        <v>0</v>
      </c>
      <c r="J101" s="908">
        <f t="shared" ref="J101:J116" si="8">H101-I101</f>
        <v>0</v>
      </c>
      <c r="L101" s="753"/>
      <c r="M101" s="753"/>
    </row>
    <row r="102" spans="1:13" ht="13.5" outlineLevel="2" thickBot="1">
      <c r="A102" s="753" t="str">
        <f>B102&amp;C102&amp;D102</f>
        <v>O&amp;M Mobilization BudgetOperating ExpensesManuals/Operating Procedures</v>
      </c>
      <c r="B102" s="753" t="s">
        <v>158</v>
      </c>
      <c r="C102" s="753" t="s">
        <v>948</v>
      </c>
      <c r="D102" s="753" t="s">
        <v>277</v>
      </c>
      <c r="E102" s="799" t="s">
        <v>280</v>
      </c>
      <c r="F102" s="762" t="s">
        <v>281</v>
      </c>
      <c r="G102" s="796"/>
      <c r="H102" s="908">
        <v>0</v>
      </c>
      <c r="I102" s="908">
        <f t="shared" si="7"/>
        <v>0</v>
      </c>
      <c r="J102" s="908">
        <f t="shared" si="8"/>
        <v>0</v>
      </c>
      <c r="L102" s="753"/>
      <c r="M102" s="753"/>
    </row>
    <row r="103" spans="1:13" ht="13.5" outlineLevel="2" thickBot="1">
      <c r="E103" s="799" t="s">
        <v>282</v>
      </c>
      <c r="F103" s="762" t="s">
        <v>281</v>
      </c>
      <c r="G103" s="796"/>
      <c r="H103" s="908">
        <v>0</v>
      </c>
      <c r="I103" s="908">
        <f t="shared" si="7"/>
        <v>0</v>
      </c>
      <c r="J103" s="908">
        <f t="shared" si="8"/>
        <v>0</v>
      </c>
      <c r="L103" s="753"/>
      <c r="M103" s="753"/>
    </row>
    <row r="104" spans="1:13" ht="13.5" outlineLevel="2" thickBot="1">
      <c r="A104" s="753" t="str">
        <f t="shared" ref="A104:A111" si="9">B104&amp;C104&amp;D104</f>
        <v>O&amp;M Mobilization BudgetOperating ExpensesManuals/Operating Procedures</v>
      </c>
      <c r="B104" s="753" t="s">
        <v>158</v>
      </c>
      <c r="C104" s="753" t="s">
        <v>948</v>
      </c>
      <c r="D104" s="753" t="s">
        <v>277</v>
      </c>
      <c r="E104" s="799" t="s">
        <v>283</v>
      </c>
      <c r="F104" s="762" t="s">
        <v>281</v>
      </c>
      <c r="G104" s="796"/>
      <c r="H104" s="908">
        <v>0</v>
      </c>
      <c r="I104" s="908">
        <f t="shared" si="7"/>
        <v>0</v>
      </c>
      <c r="J104" s="908">
        <f t="shared" si="8"/>
        <v>0</v>
      </c>
      <c r="L104" s="753"/>
      <c r="M104" s="753"/>
    </row>
    <row r="105" spans="1:13" ht="13.5" outlineLevel="2" thickBot="1">
      <c r="A105" s="753" t="str">
        <f t="shared" si="9"/>
        <v>O&amp;M Mobilization BudgetOperating ExpensesManuals/Operating Procedures</v>
      </c>
      <c r="B105" s="753" t="s">
        <v>158</v>
      </c>
      <c r="C105" s="753" t="s">
        <v>948</v>
      </c>
      <c r="D105" s="753" t="s">
        <v>277</v>
      </c>
      <c r="E105" s="799" t="s">
        <v>284</v>
      </c>
      <c r="F105" s="762" t="s">
        <v>281</v>
      </c>
      <c r="G105" s="796"/>
      <c r="H105" s="908">
        <v>0</v>
      </c>
      <c r="I105" s="908">
        <f t="shared" si="7"/>
        <v>0</v>
      </c>
      <c r="J105" s="908">
        <f t="shared" si="8"/>
        <v>0</v>
      </c>
      <c r="L105" s="753"/>
      <c r="M105" s="753"/>
    </row>
    <row r="106" spans="1:13" ht="13.5" outlineLevel="2" thickBot="1">
      <c r="A106" s="753" t="str">
        <f t="shared" si="9"/>
        <v>O&amp;M Mobilization BudgetOperating ExpensesManuals/Operating Procedures</v>
      </c>
      <c r="B106" s="753" t="s">
        <v>158</v>
      </c>
      <c r="C106" s="753" t="s">
        <v>948</v>
      </c>
      <c r="D106" s="753" t="s">
        <v>277</v>
      </c>
      <c r="E106" s="799" t="s">
        <v>285</v>
      </c>
      <c r="F106" s="762" t="s">
        <v>286</v>
      </c>
      <c r="G106" s="796"/>
      <c r="H106" s="908">
        <f>40*400</f>
        <v>16000</v>
      </c>
      <c r="I106" s="908">
        <f t="shared" si="7"/>
        <v>16000</v>
      </c>
      <c r="J106" s="908">
        <f t="shared" si="8"/>
        <v>0</v>
      </c>
      <c r="L106" s="753"/>
      <c r="M106" s="753"/>
    </row>
    <row r="107" spans="1:13" ht="13.5" outlineLevel="2" thickBot="1">
      <c r="A107" s="753" t="str">
        <f t="shared" si="9"/>
        <v>O&amp;M Mobilization BudgetOperating ExpensesManuals/Operating Procedures</v>
      </c>
      <c r="B107" s="753" t="s">
        <v>158</v>
      </c>
      <c r="C107" s="753" t="s">
        <v>948</v>
      </c>
      <c r="D107" s="753" t="s">
        <v>277</v>
      </c>
      <c r="E107" s="799" t="s">
        <v>287</v>
      </c>
      <c r="F107" s="762" t="s">
        <v>288</v>
      </c>
      <c r="G107" s="796"/>
      <c r="H107" s="908">
        <v>2000</v>
      </c>
      <c r="I107" s="908">
        <f t="shared" si="7"/>
        <v>2000</v>
      </c>
      <c r="J107" s="908">
        <f t="shared" si="8"/>
        <v>0</v>
      </c>
      <c r="L107" s="753"/>
      <c r="M107" s="753"/>
    </row>
    <row r="108" spans="1:13" ht="13.5" outlineLevel="2" thickBot="1">
      <c r="A108" s="753" t="str">
        <f t="shared" si="9"/>
        <v>O&amp;M Mobilization BudgetOperating ExpensesManuals/Operating Procedures</v>
      </c>
      <c r="B108" s="753" t="s">
        <v>158</v>
      </c>
      <c r="C108" s="753" t="s">
        <v>948</v>
      </c>
      <c r="D108" s="753" t="s">
        <v>277</v>
      </c>
      <c r="E108" s="799" t="s">
        <v>289</v>
      </c>
      <c r="F108" s="762" t="s">
        <v>290</v>
      </c>
      <c r="G108" s="796"/>
      <c r="H108" s="908">
        <f>20*400</f>
        <v>8000</v>
      </c>
      <c r="I108" s="908">
        <f t="shared" si="7"/>
        <v>8000</v>
      </c>
      <c r="J108" s="908">
        <f t="shared" si="8"/>
        <v>0</v>
      </c>
      <c r="L108" s="753"/>
      <c r="M108" s="753"/>
    </row>
    <row r="109" spans="1:13" ht="13.5" outlineLevel="2" thickBot="1">
      <c r="A109" s="753" t="str">
        <f t="shared" si="9"/>
        <v>O&amp;M Mobilization BudgetOperating ExpensesManuals/Operating Procedures</v>
      </c>
      <c r="B109" s="753" t="s">
        <v>158</v>
      </c>
      <c r="C109" s="753" t="s">
        <v>948</v>
      </c>
      <c r="D109" s="753" t="s">
        <v>277</v>
      </c>
      <c r="E109" s="799" t="s">
        <v>291</v>
      </c>
      <c r="F109" s="762" t="s">
        <v>292</v>
      </c>
      <c r="G109" s="796"/>
      <c r="H109" s="908">
        <v>4000</v>
      </c>
      <c r="I109" s="908">
        <f t="shared" si="7"/>
        <v>4000</v>
      </c>
      <c r="J109" s="908">
        <f t="shared" si="8"/>
        <v>0</v>
      </c>
      <c r="L109" s="753"/>
      <c r="M109" s="753"/>
    </row>
    <row r="110" spans="1:13" ht="13.5" outlineLevel="2" thickBot="1">
      <c r="A110" s="753" t="str">
        <f t="shared" si="9"/>
        <v>O&amp;M Mobilization BudgetOperating ExpensesManuals/Operating Procedures</v>
      </c>
      <c r="B110" s="753" t="s">
        <v>158</v>
      </c>
      <c r="C110" s="753" t="s">
        <v>948</v>
      </c>
      <c r="D110" s="753" t="s">
        <v>277</v>
      </c>
      <c r="E110" s="799" t="s">
        <v>293</v>
      </c>
      <c r="F110" s="762" t="s">
        <v>292</v>
      </c>
      <c r="G110" s="796"/>
      <c r="H110" s="908">
        <v>4000</v>
      </c>
      <c r="I110" s="908">
        <f t="shared" si="7"/>
        <v>4000</v>
      </c>
      <c r="J110" s="908">
        <f t="shared" si="8"/>
        <v>0</v>
      </c>
      <c r="L110" s="753"/>
      <c r="M110" s="753"/>
    </row>
    <row r="111" spans="1:13" ht="13.5" outlineLevel="2" thickBot="1">
      <c r="A111" s="753" t="str">
        <f t="shared" si="9"/>
        <v>O&amp;M Mobilization BudgetOperating ExpensesManuals/Operating Procedures</v>
      </c>
      <c r="B111" s="753" t="s">
        <v>158</v>
      </c>
      <c r="C111" s="753" t="s">
        <v>948</v>
      </c>
      <c r="D111" s="753" t="s">
        <v>277</v>
      </c>
      <c r="E111" s="799" t="s">
        <v>294</v>
      </c>
      <c r="F111" s="762" t="s">
        <v>288</v>
      </c>
      <c r="G111" s="796"/>
      <c r="H111" s="908">
        <v>2000</v>
      </c>
      <c r="I111" s="908">
        <f t="shared" si="7"/>
        <v>2000</v>
      </c>
      <c r="J111" s="908">
        <f t="shared" si="8"/>
        <v>0</v>
      </c>
      <c r="L111" s="753"/>
      <c r="M111" s="753"/>
    </row>
    <row r="112" spans="1:13" ht="13.5" outlineLevel="2" thickBot="1">
      <c r="E112" s="799" t="s">
        <v>212</v>
      </c>
      <c r="F112" s="762" t="s">
        <v>295</v>
      </c>
      <c r="G112" s="796"/>
      <c r="H112" s="908">
        <v>400</v>
      </c>
      <c r="I112" s="908">
        <f t="shared" si="7"/>
        <v>400</v>
      </c>
      <c r="J112" s="908">
        <f t="shared" si="8"/>
        <v>0</v>
      </c>
      <c r="L112" s="753"/>
      <c r="M112" s="753"/>
    </row>
    <row r="113" spans="1:13" ht="13.5" outlineLevel="2" thickBot="1">
      <c r="E113" s="799" t="s">
        <v>1710</v>
      </c>
      <c r="F113" s="762" t="s">
        <v>292</v>
      </c>
      <c r="G113" s="796"/>
      <c r="H113" s="908">
        <v>4000</v>
      </c>
      <c r="I113" s="908">
        <f t="shared" si="7"/>
        <v>4000</v>
      </c>
      <c r="J113" s="908">
        <f t="shared" si="8"/>
        <v>0</v>
      </c>
      <c r="L113" s="753"/>
      <c r="M113" s="753"/>
    </row>
    <row r="114" spans="1:13" ht="13.5" outlineLevel="2" thickBot="1">
      <c r="A114" s="753" t="str">
        <f>B114&amp;C114&amp;D114</f>
        <v>O&amp;M Mobilization BudgetOperating ExpensesManuals/Operating Procedures</v>
      </c>
      <c r="B114" s="753" t="s">
        <v>158</v>
      </c>
      <c r="C114" s="753" t="s">
        <v>948</v>
      </c>
      <c r="D114" s="753" t="s">
        <v>277</v>
      </c>
      <c r="E114" s="799"/>
      <c r="F114" s="762"/>
      <c r="G114" s="796"/>
      <c r="H114" s="908"/>
      <c r="I114" s="908">
        <f t="shared" si="7"/>
        <v>0</v>
      </c>
      <c r="J114" s="908">
        <f t="shared" si="8"/>
        <v>0</v>
      </c>
      <c r="L114" s="753"/>
      <c r="M114" s="753"/>
    </row>
    <row r="115" spans="1:13" ht="13.5" outlineLevel="2" thickBot="1">
      <c r="A115" s="753" t="str">
        <f>B115&amp;C115&amp;D115</f>
        <v>O&amp;M Mobilization BudgetOperating ExpensesManuals/Operating Procedures</v>
      </c>
      <c r="B115" s="753" t="s">
        <v>158</v>
      </c>
      <c r="C115" s="753" t="s">
        <v>948</v>
      </c>
      <c r="D115" s="753" t="s">
        <v>277</v>
      </c>
      <c r="E115" s="799" t="s">
        <v>296</v>
      </c>
      <c r="F115" s="762"/>
      <c r="G115" s="796"/>
      <c r="H115" s="908">
        <v>3000</v>
      </c>
      <c r="I115" s="908">
        <f t="shared" si="7"/>
        <v>3000</v>
      </c>
      <c r="J115" s="908">
        <f t="shared" si="8"/>
        <v>0</v>
      </c>
      <c r="L115" s="753"/>
      <c r="M115" s="753"/>
    </row>
    <row r="116" spans="1:13" ht="13.5" outlineLevel="2" thickBot="1">
      <c r="E116" s="799" t="s">
        <v>297</v>
      </c>
      <c r="F116" s="762" t="s">
        <v>298</v>
      </c>
      <c r="G116" s="796"/>
      <c r="H116" s="908">
        <f>0.05*H115</f>
        <v>150</v>
      </c>
      <c r="I116" s="908">
        <f t="shared" si="7"/>
        <v>150</v>
      </c>
      <c r="J116" s="908">
        <f t="shared" si="8"/>
        <v>0</v>
      </c>
      <c r="L116" s="753"/>
      <c r="M116" s="753"/>
    </row>
    <row r="117" spans="1:13" ht="13.5" outlineLevel="2" thickBot="1">
      <c r="A117" s="753" t="str">
        <f>B117&amp;C117&amp;D117</f>
        <v>O&amp;M Mobilization BudgetOperating ExpensesManuals/Operating Procedures</v>
      </c>
      <c r="B117" s="753" t="s">
        <v>158</v>
      </c>
      <c r="C117" s="753" t="s">
        <v>948</v>
      </c>
      <c r="D117" s="753" t="s">
        <v>277</v>
      </c>
      <c r="E117" s="799"/>
      <c r="F117" s="762"/>
      <c r="G117" s="796"/>
      <c r="H117" s="908"/>
      <c r="I117" s="908"/>
      <c r="J117" s="908"/>
      <c r="L117" s="753"/>
      <c r="M117" s="753"/>
    </row>
    <row r="118" spans="1:13" s="907" customFormat="1" ht="13.5" outlineLevel="1" thickBot="1">
      <c r="A118" s="907" t="s">
        <v>299</v>
      </c>
      <c r="B118" s="907" t="s">
        <v>158</v>
      </c>
      <c r="C118" s="907" t="s">
        <v>948</v>
      </c>
      <c r="D118" s="907" t="s">
        <v>277</v>
      </c>
      <c r="E118" s="799"/>
      <c r="F118" s="762"/>
      <c r="G118" s="909" t="s">
        <v>169</v>
      </c>
      <c r="H118" s="910">
        <f>SUBTOTAL(9,H101:H117)</f>
        <v>43550</v>
      </c>
      <c r="I118" s="910">
        <f>SUBTOTAL(9,I101:I117)</f>
        <v>43550</v>
      </c>
      <c r="J118" s="910">
        <f>SUBTOTAL(9,J101:J117)</f>
        <v>0</v>
      </c>
    </row>
    <row r="119" spans="1:13" s="907" customFormat="1" ht="13.5" outlineLevel="1" thickBot="1">
      <c r="A119" s="753" t="s">
        <v>300</v>
      </c>
      <c r="B119" s="753" t="s">
        <v>158</v>
      </c>
      <c r="C119" s="753" t="s">
        <v>948</v>
      </c>
      <c r="D119" s="753" t="s">
        <v>1672</v>
      </c>
      <c r="E119" s="920" t="s">
        <v>1672</v>
      </c>
      <c r="F119" s="921"/>
      <c r="G119" s="922"/>
      <c r="H119" s="905"/>
      <c r="I119" s="905"/>
      <c r="J119" s="905"/>
    </row>
    <row r="120" spans="1:13" ht="13.5" outlineLevel="2" thickBot="1">
      <c r="A120" s="753" t="str">
        <f>B120&amp;C120&amp;D120</f>
        <v>O&amp;M Mobilization BudgetOperating ExpensesPermits</v>
      </c>
      <c r="B120" s="753" t="s">
        <v>158</v>
      </c>
      <c r="C120" s="753" t="s">
        <v>948</v>
      </c>
      <c r="D120" s="753" t="s">
        <v>1672</v>
      </c>
      <c r="E120" s="799" t="s">
        <v>301</v>
      </c>
      <c r="F120" s="762"/>
      <c r="G120" s="796"/>
      <c r="H120" s="908">
        <v>0</v>
      </c>
      <c r="I120" s="908">
        <f>H120-J120</f>
        <v>0</v>
      </c>
      <c r="J120" s="908"/>
      <c r="L120" s="753"/>
      <c r="M120" s="753"/>
    </row>
    <row r="121" spans="1:13" s="907" customFormat="1" ht="13.5" outlineLevel="1" thickBot="1">
      <c r="A121" s="907" t="s">
        <v>302</v>
      </c>
      <c r="B121" s="907" t="s">
        <v>158</v>
      </c>
      <c r="C121" s="907" t="s">
        <v>948</v>
      </c>
      <c r="D121" s="907" t="s">
        <v>1672</v>
      </c>
      <c r="E121" s="799"/>
      <c r="F121" s="762"/>
      <c r="G121" s="909" t="s">
        <v>169</v>
      </c>
      <c r="H121" s="910">
        <f>SUBTOTAL(9,H120:H120)</f>
        <v>0</v>
      </c>
      <c r="I121" s="910">
        <f>SUBTOTAL(9,I120:I120)</f>
        <v>0</v>
      </c>
      <c r="J121" s="910">
        <f>SUBTOTAL(9,J120:J120)</f>
        <v>0</v>
      </c>
    </row>
    <row r="122" spans="1:13" s="907" customFormat="1" ht="13.5" outlineLevel="1" thickBot="1">
      <c r="A122" s="753" t="s">
        <v>303</v>
      </c>
      <c r="B122" s="753" t="s">
        <v>158</v>
      </c>
      <c r="C122" s="753" t="s">
        <v>948</v>
      </c>
      <c r="D122" s="753" t="s">
        <v>1008</v>
      </c>
      <c r="E122" s="920" t="s">
        <v>1673</v>
      </c>
      <c r="F122" s="921"/>
      <c r="G122" s="922"/>
      <c r="H122" s="905"/>
      <c r="I122" s="905"/>
      <c r="J122" s="905"/>
    </row>
    <row r="123" spans="1:13" ht="13.5" outlineLevel="2" thickBot="1">
      <c r="A123" s="753" t="str">
        <f>B123&amp;C123&amp;D123</f>
        <v>O&amp;M Mobilization BudgetOperating ExpensesInsurance</v>
      </c>
      <c r="B123" s="753" t="s">
        <v>158</v>
      </c>
      <c r="C123" s="753" t="s">
        <v>948</v>
      </c>
      <c r="D123" s="753" t="s">
        <v>1008</v>
      </c>
      <c r="E123" s="799" t="s">
        <v>304</v>
      </c>
      <c r="F123" s="762" t="s">
        <v>305</v>
      </c>
      <c r="G123" s="796"/>
      <c r="H123" s="908">
        <f>200*Plt_Staff!B22/2</f>
        <v>700</v>
      </c>
      <c r="I123" s="908">
        <f>H123-J123</f>
        <v>700</v>
      </c>
      <c r="J123" s="908"/>
      <c r="L123" s="753"/>
      <c r="M123" s="753" t="s">
        <v>306</v>
      </c>
    </row>
    <row r="124" spans="1:13" ht="13.5" outlineLevel="2" thickBot="1">
      <c r="E124" s="799" t="s">
        <v>307</v>
      </c>
      <c r="F124" s="762" t="s">
        <v>308</v>
      </c>
      <c r="G124" s="796"/>
      <c r="H124" s="908">
        <f>0.5*400</f>
        <v>200</v>
      </c>
      <c r="I124" s="908"/>
      <c r="J124" s="908"/>
      <c r="L124" s="753"/>
      <c r="M124" s="753"/>
    </row>
    <row r="125" spans="1:13" ht="13.5" outlineLevel="2" thickBot="1">
      <c r="A125" s="753" t="str">
        <f>B125&amp;C125&amp;D125</f>
        <v>O&amp;M Mobilization BudgetOperating ExpensesInsurance</v>
      </c>
      <c r="B125" s="753" t="s">
        <v>158</v>
      </c>
      <c r="C125" s="753" t="s">
        <v>948</v>
      </c>
      <c r="D125" s="753" t="s">
        <v>1008</v>
      </c>
      <c r="E125" s="799" t="s">
        <v>309</v>
      </c>
      <c r="F125" s="762" t="s">
        <v>310</v>
      </c>
      <c r="G125" s="796"/>
      <c r="H125" s="908">
        <f ca="1">L125*'O&amp;M_Estimate'!G47</f>
        <v>2737.1914240118986</v>
      </c>
      <c r="I125" s="908"/>
      <c r="J125" s="908"/>
      <c r="L125" s="753">
        <f>1500/1000000</f>
        <v>1.5E-3</v>
      </c>
      <c r="M125" s="753"/>
    </row>
    <row r="126" spans="1:13" s="907" customFormat="1" ht="13.5" outlineLevel="1" thickBot="1">
      <c r="A126" s="907" t="s">
        <v>311</v>
      </c>
      <c r="B126" s="907" t="s">
        <v>158</v>
      </c>
      <c r="C126" s="907" t="s">
        <v>948</v>
      </c>
      <c r="D126" s="907" t="s">
        <v>1008</v>
      </c>
      <c r="E126" s="799"/>
      <c r="F126" s="762"/>
      <c r="G126" s="909" t="s">
        <v>169</v>
      </c>
      <c r="H126" s="910">
        <f ca="1">SUBTOTAL(9,H123:H125)</f>
        <v>3637.1914240118986</v>
      </c>
      <c r="I126" s="910">
        <f>SUBTOTAL(9,I123:I125)</f>
        <v>700</v>
      </c>
      <c r="J126" s="910">
        <f>SUBTOTAL(9,J123:J125)</f>
        <v>0</v>
      </c>
    </row>
    <row r="127" spans="1:13" s="907" customFormat="1" ht="13.5" outlineLevel="1" thickBot="1">
      <c r="E127" s="920" t="s">
        <v>1674</v>
      </c>
      <c r="F127" s="921"/>
      <c r="G127" s="922"/>
      <c r="H127" s="905"/>
      <c r="I127" s="905"/>
      <c r="J127" s="905"/>
    </row>
    <row r="128" spans="1:13" s="907" customFormat="1" ht="13.5" outlineLevel="1" thickBot="1">
      <c r="E128" s="923" t="s">
        <v>1674</v>
      </c>
      <c r="F128" s="740" t="s">
        <v>312</v>
      </c>
      <c r="G128" s="924"/>
      <c r="H128" s="925">
        <f>1*350*30</f>
        <v>10500</v>
      </c>
      <c r="I128" s="908">
        <f>H128</f>
        <v>10500</v>
      </c>
      <c r="J128" s="908">
        <f>H128-I128</f>
        <v>0</v>
      </c>
    </row>
    <row r="129" spans="1:13" s="907" customFormat="1" ht="13.5" outlineLevel="1" thickBot="1">
      <c r="E129" s="923" t="s">
        <v>313</v>
      </c>
      <c r="F129" s="740" t="s">
        <v>314</v>
      </c>
      <c r="G129" s="924"/>
      <c r="H129" s="925">
        <f>1*125*30</f>
        <v>3750</v>
      </c>
      <c r="I129" s="908">
        <f>H129</f>
        <v>3750</v>
      </c>
      <c r="J129" s="908">
        <f>H129-I129</f>
        <v>0</v>
      </c>
    </row>
    <row r="130" spans="1:13" s="907" customFormat="1" ht="13.5" outlineLevel="1" thickBot="1">
      <c r="E130" s="923" t="s">
        <v>315</v>
      </c>
      <c r="F130" s="740" t="s">
        <v>316</v>
      </c>
      <c r="G130" s="924"/>
      <c r="H130" s="925">
        <v>1000</v>
      </c>
      <c r="I130" s="908">
        <f>H130</f>
        <v>1000</v>
      </c>
      <c r="J130" s="908">
        <f>H130-I130</f>
        <v>0</v>
      </c>
    </row>
    <row r="131" spans="1:13" s="907" customFormat="1" ht="13.5" outlineLevel="1" thickBot="1">
      <c r="E131" s="923"/>
      <c r="F131" s="740"/>
      <c r="G131" s="924"/>
      <c r="H131" s="925"/>
      <c r="I131" s="908">
        <f>H131</f>
        <v>0</v>
      </c>
      <c r="J131" s="908">
        <f>H131-I131</f>
        <v>0</v>
      </c>
    </row>
    <row r="132" spans="1:13" s="907" customFormat="1" ht="13.5" outlineLevel="1" thickBot="1">
      <c r="E132" s="923"/>
      <c r="F132" s="740"/>
      <c r="G132" s="924"/>
      <c r="H132" s="925"/>
      <c r="I132" s="926"/>
      <c r="J132" s="926"/>
    </row>
    <row r="133" spans="1:13" s="907" customFormat="1" ht="13.5" outlineLevel="1" thickBot="1">
      <c r="E133" s="923" t="s">
        <v>317</v>
      </c>
      <c r="F133" s="740"/>
      <c r="G133" s="927" t="s">
        <v>169</v>
      </c>
      <c r="H133" s="928">
        <f>SUBTOTAL(9,H128:H131)</f>
        <v>15250</v>
      </c>
      <c r="I133" s="928">
        <f>SUBTOTAL(9,I128:I131)</f>
        <v>15250</v>
      </c>
      <c r="J133" s="928">
        <f>SUBTOTAL(9,J128:J131)</f>
        <v>0</v>
      </c>
    </row>
    <row r="134" spans="1:13" s="907" customFormat="1" ht="13.5" outlineLevel="1" thickBot="1">
      <c r="A134" s="753" t="s">
        <v>318</v>
      </c>
      <c r="B134" s="753" t="s">
        <v>158</v>
      </c>
      <c r="C134" s="753" t="s">
        <v>319</v>
      </c>
      <c r="D134" s="753" t="s">
        <v>320</v>
      </c>
      <c r="E134" s="920" t="s">
        <v>320</v>
      </c>
      <c r="F134" s="921"/>
      <c r="G134" s="922"/>
      <c r="H134" s="905"/>
      <c r="I134" s="905"/>
      <c r="J134" s="905"/>
    </row>
    <row r="135" spans="1:13" ht="13.5" outlineLevel="2" thickBot="1">
      <c r="A135" s="753" t="str">
        <f t="shared" ref="A135:A149" si="10">B135&amp;C135&amp;D135</f>
        <v>O&amp;M Mobilization BudgetProcurement ExpensesOffice Furnishings, Equipment, Supplies</v>
      </c>
      <c r="B135" s="753" t="s">
        <v>158</v>
      </c>
      <c r="C135" s="753" t="s">
        <v>319</v>
      </c>
      <c r="D135" s="753" t="s">
        <v>320</v>
      </c>
      <c r="E135" s="799" t="s">
        <v>321</v>
      </c>
      <c r="F135" s="762" t="s">
        <v>322</v>
      </c>
      <c r="G135" s="796"/>
      <c r="H135" s="908">
        <v>3200</v>
      </c>
      <c r="I135" s="908">
        <f t="shared" ref="I135:I167" si="11">H135</f>
        <v>3200</v>
      </c>
      <c r="J135" s="908">
        <f t="shared" ref="J135:J167" si="12">H135-I135</f>
        <v>0</v>
      </c>
      <c r="L135" s="753"/>
      <c r="M135" s="753"/>
    </row>
    <row r="136" spans="1:13" ht="13.5" outlineLevel="2" thickBot="1">
      <c r="A136" s="753" t="str">
        <f t="shared" si="10"/>
        <v>O&amp;M Mobilization BudgetProcurement ExpensesOffice Furnishings, Equipment, Supplies</v>
      </c>
      <c r="B136" s="753" t="s">
        <v>158</v>
      </c>
      <c r="C136" s="753" t="s">
        <v>319</v>
      </c>
      <c r="D136" s="753" t="s">
        <v>320</v>
      </c>
      <c r="E136" s="799" t="s">
        <v>323</v>
      </c>
      <c r="F136" s="762" t="s">
        <v>324</v>
      </c>
      <c r="G136" s="796"/>
      <c r="H136" s="908">
        <v>1500</v>
      </c>
      <c r="I136" s="908">
        <f t="shared" si="11"/>
        <v>1500</v>
      </c>
      <c r="J136" s="908">
        <f t="shared" si="12"/>
        <v>0</v>
      </c>
      <c r="L136" s="753"/>
      <c r="M136" s="753"/>
    </row>
    <row r="137" spans="1:13" ht="13.5" outlineLevel="2" thickBot="1">
      <c r="A137" s="753" t="str">
        <f t="shared" si="10"/>
        <v>O&amp;M Mobilization BudgetProcurement ExpensesOffice Furnishings, Equipment, Supplies</v>
      </c>
      <c r="B137" s="753" t="s">
        <v>158</v>
      </c>
      <c r="C137" s="753" t="s">
        <v>319</v>
      </c>
      <c r="D137" s="753" t="s">
        <v>320</v>
      </c>
      <c r="E137" s="799" t="s">
        <v>325</v>
      </c>
      <c r="F137" s="762" t="s">
        <v>326</v>
      </c>
      <c r="G137" s="796"/>
      <c r="H137" s="908">
        <v>750</v>
      </c>
      <c r="I137" s="908">
        <f t="shared" si="11"/>
        <v>750</v>
      </c>
      <c r="J137" s="908">
        <f t="shared" si="12"/>
        <v>0</v>
      </c>
      <c r="L137" s="753"/>
      <c r="M137" s="753"/>
    </row>
    <row r="138" spans="1:13" ht="13.5" outlineLevel="2" thickBot="1">
      <c r="A138" s="753" t="str">
        <f t="shared" si="10"/>
        <v>O&amp;M Mobilization BudgetProcurement ExpensesOffice Furnishings, Equipment, Supplies</v>
      </c>
      <c r="B138" s="753" t="s">
        <v>158</v>
      </c>
      <c r="C138" s="753" t="s">
        <v>319</v>
      </c>
      <c r="D138" s="753" t="s">
        <v>320</v>
      </c>
      <c r="E138" s="799" t="s">
        <v>327</v>
      </c>
      <c r="F138" s="762" t="s">
        <v>328</v>
      </c>
      <c r="G138" s="796"/>
      <c r="H138" s="908">
        <f>4*200</f>
        <v>800</v>
      </c>
      <c r="I138" s="908">
        <f t="shared" si="11"/>
        <v>800</v>
      </c>
      <c r="J138" s="908">
        <f t="shared" si="12"/>
        <v>0</v>
      </c>
      <c r="L138" s="753"/>
      <c r="M138" s="753"/>
    </row>
    <row r="139" spans="1:13" ht="13.5" outlineLevel="2" thickBot="1">
      <c r="A139" s="753" t="str">
        <f t="shared" si="10"/>
        <v>O&amp;M Mobilization BudgetProcurement ExpensesOffice Furnishings, Equipment, Supplies</v>
      </c>
      <c r="B139" s="753" t="s">
        <v>158</v>
      </c>
      <c r="C139" s="753" t="s">
        <v>319</v>
      </c>
      <c r="D139" s="753" t="s">
        <v>320</v>
      </c>
      <c r="E139" s="799" t="s">
        <v>329</v>
      </c>
      <c r="F139" s="762" t="s">
        <v>330</v>
      </c>
      <c r="G139" s="796"/>
      <c r="H139" s="908">
        <v>500</v>
      </c>
      <c r="I139" s="908">
        <f t="shared" si="11"/>
        <v>500</v>
      </c>
      <c r="J139" s="908">
        <f t="shared" si="12"/>
        <v>0</v>
      </c>
      <c r="L139" s="753"/>
      <c r="M139" s="753"/>
    </row>
    <row r="140" spans="1:13" ht="13.5" outlineLevel="2" thickBot="1">
      <c r="A140" s="753" t="str">
        <f t="shared" si="10"/>
        <v>O&amp;M Mobilization BudgetProcurement ExpensesOffice Furnishings, Equipment, Supplies</v>
      </c>
      <c r="B140" s="753" t="s">
        <v>158</v>
      </c>
      <c r="C140" s="753" t="s">
        <v>319</v>
      </c>
      <c r="D140" s="753" t="s">
        <v>320</v>
      </c>
      <c r="E140" s="799" t="s">
        <v>331</v>
      </c>
      <c r="F140" s="762" t="s">
        <v>332</v>
      </c>
      <c r="G140" s="796"/>
      <c r="H140" s="908">
        <f>6*150+1000</f>
        <v>1900</v>
      </c>
      <c r="I140" s="908">
        <f t="shared" si="11"/>
        <v>1900</v>
      </c>
      <c r="J140" s="908">
        <f t="shared" si="12"/>
        <v>0</v>
      </c>
      <c r="L140" s="753"/>
      <c r="M140" s="753"/>
    </row>
    <row r="141" spans="1:13" ht="13.5" outlineLevel="2" thickBot="1">
      <c r="A141" s="753" t="str">
        <f t="shared" si="10"/>
        <v>O&amp;M Mobilization BudgetProcurement ExpensesOffice Furnishings, Equipment, Supplies</v>
      </c>
      <c r="B141" s="753" t="s">
        <v>158</v>
      </c>
      <c r="C141" s="753" t="s">
        <v>319</v>
      </c>
      <c r="D141" s="753" t="s">
        <v>320</v>
      </c>
      <c r="E141" s="799" t="s">
        <v>333</v>
      </c>
      <c r="F141" s="762" t="s">
        <v>334</v>
      </c>
      <c r="G141" s="796"/>
      <c r="H141" s="908">
        <v>0</v>
      </c>
      <c r="I141" s="908">
        <f t="shared" si="11"/>
        <v>0</v>
      </c>
      <c r="J141" s="908">
        <f t="shared" si="12"/>
        <v>0</v>
      </c>
      <c r="L141" s="753"/>
      <c r="M141" s="753"/>
    </row>
    <row r="142" spans="1:13" ht="13.5" outlineLevel="2" thickBot="1">
      <c r="A142" s="753" t="str">
        <f t="shared" si="10"/>
        <v>O&amp;M Mobilization BudgetProcurement ExpensesOffice Furnishings, Equipment, Supplies</v>
      </c>
      <c r="B142" s="753" t="s">
        <v>158</v>
      </c>
      <c r="C142" s="753" t="s">
        <v>319</v>
      </c>
      <c r="D142" s="753" t="s">
        <v>320</v>
      </c>
      <c r="E142" s="799" t="s">
        <v>335</v>
      </c>
      <c r="F142" s="762" t="s">
        <v>336</v>
      </c>
      <c r="G142" s="796"/>
      <c r="H142" s="908">
        <v>0</v>
      </c>
      <c r="I142" s="908">
        <f t="shared" si="11"/>
        <v>0</v>
      </c>
      <c r="J142" s="908">
        <f t="shared" si="12"/>
        <v>0</v>
      </c>
      <c r="L142" s="753"/>
      <c r="M142" s="753"/>
    </row>
    <row r="143" spans="1:13" ht="13.5" outlineLevel="2" thickBot="1">
      <c r="A143" s="753" t="str">
        <f t="shared" si="10"/>
        <v>O&amp;M Mobilization BudgetProcurement ExpensesOffice Furnishings, Equipment, Supplies</v>
      </c>
      <c r="B143" s="753" t="s">
        <v>158</v>
      </c>
      <c r="C143" s="753" t="s">
        <v>319</v>
      </c>
      <c r="D143" s="753" t="s">
        <v>320</v>
      </c>
      <c r="E143" s="799" t="s">
        <v>337</v>
      </c>
      <c r="F143" s="762" t="s">
        <v>338</v>
      </c>
      <c r="G143" s="796"/>
      <c r="H143" s="908">
        <v>150</v>
      </c>
      <c r="I143" s="908">
        <f t="shared" si="11"/>
        <v>150</v>
      </c>
      <c r="J143" s="908">
        <f t="shared" si="12"/>
        <v>0</v>
      </c>
      <c r="L143" s="753"/>
      <c r="M143" s="753"/>
    </row>
    <row r="144" spans="1:13" ht="13.5" outlineLevel="2" thickBot="1">
      <c r="A144" s="753" t="str">
        <f t="shared" si="10"/>
        <v>O&amp;M Mobilization BudgetProcurement ExpensesOffice Furnishings, Equipment, Supplies</v>
      </c>
      <c r="B144" s="753" t="s">
        <v>158</v>
      </c>
      <c r="C144" s="753" t="s">
        <v>319</v>
      </c>
      <c r="D144" s="753" t="s">
        <v>320</v>
      </c>
      <c r="E144" s="799" t="s">
        <v>339</v>
      </c>
      <c r="F144" s="762" t="s">
        <v>340</v>
      </c>
      <c r="G144" s="796"/>
      <c r="H144" s="908">
        <v>150</v>
      </c>
      <c r="I144" s="908">
        <f t="shared" si="11"/>
        <v>150</v>
      </c>
      <c r="J144" s="908">
        <f t="shared" si="12"/>
        <v>0</v>
      </c>
      <c r="L144" s="753"/>
      <c r="M144" s="753"/>
    </row>
    <row r="145" spans="1:13" ht="13.5" outlineLevel="2" thickBot="1">
      <c r="A145" s="753" t="str">
        <f t="shared" si="10"/>
        <v>O&amp;M Mobilization BudgetProcurement ExpensesOffice Furnishings, Equipment, Supplies</v>
      </c>
      <c r="B145" s="753" t="s">
        <v>158</v>
      </c>
      <c r="C145" s="753" t="s">
        <v>319</v>
      </c>
      <c r="D145" s="753" t="s">
        <v>320</v>
      </c>
      <c r="E145" s="799" t="s">
        <v>341</v>
      </c>
      <c r="F145" s="762" t="s">
        <v>342</v>
      </c>
      <c r="G145" s="796"/>
      <c r="H145" s="908">
        <f>1*750</f>
        <v>750</v>
      </c>
      <c r="I145" s="908">
        <f t="shared" si="11"/>
        <v>750</v>
      </c>
      <c r="J145" s="908">
        <f t="shared" si="12"/>
        <v>0</v>
      </c>
      <c r="L145" s="753"/>
      <c r="M145" s="753"/>
    </row>
    <row r="146" spans="1:13" ht="13.5" outlineLevel="2" thickBot="1">
      <c r="A146" s="753" t="str">
        <f t="shared" si="10"/>
        <v>O&amp;M Mobilization BudgetProcurement ExpensesOffice Furnishings, Equipment, Supplies</v>
      </c>
      <c r="B146" s="753" t="s">
        <v>158</v>
      </c>
      <c r="C146" s="753" t="s">
        <v>319</v>
      </c>
      <c r="D146" s="753" t="s">
        <v>320</v>
      </c>
      <c r="E146" s="799" t="s">
        <v>343</v>
      </c>
      <c r="F146" s="762"/>
      <c r="G146" s="796"/>
      <c r="H146" s="908">
        <v>500</v>
      </c>
      <c r="I146" s="908">
        <f t="shared" si="11"/>
        <v>500</v>
      </c>
      <c r="J146" s="908">
        <f t="shared" si="12"/>
        <v>0</v>
      </c>
      <c r="L146" s="753"/>
      <c r="M146" s="753"/>
    </row>
    <row r="147" spans="1:13" ht="13.5" outlineLevel="2" thickBot="1">
      <c r="A147" s="753" t="str">
        <f t="shared" si="10"/>
        <v>O&amp;M Mobilization BudgetProcurement ExpensesOffice Furnishings, Equipment, Supplies</v>
      </c>
      <c r="B147" s="753" t="s">
        <v>158</v>
      </c>
      <c r="C147" s="753" t="s">
        <v>319</v>
      </c>
      <c r="D147" s="753" t="s">
        <v>320</v>
      </c>
      <c r="E147" s="799" t="s">
        <v>344</v>
      </c>
      <c r="F147" s="762" t="s">
        <v>345</v>
      </c>
      <c r="G147" s="796"/>
      <c r="H147" s="908">
        <v>1000</v>
      </c>
      <c r="I147" s="908">
        <f t="shared" si="11"/>
        <v>1000</v>
      </c>
      <c r="J147" s="908">
        <f t="shared" si="12"/>
        <v>0</v>
      </c>
      <c r="L147" s="753"/>
      <c r="M147" s="753"/>
    </row>
    <row r="148" spans="1:13" ht="13.5" outlineLevel="2" thickBot="1">
      <c r="A148" s="753" t="str">
        <f t="shared" si="10"/>
        <v>O&amp;M Mobilization BudgetProcurement ExpensesOffice Furnishings, Equipment, Supplies</v>
      </c>
      <c r="B148" s="753" t="s">
        <v>158</v>
      </c>
      <c r="C148" s="753" t="s">
        <v>319</v>
      </c>
      <c r="D148" s="753" t="s">
        <v>320</v>
      </c>
      <c r="E148" s="799" t="s">
        <v>346</v>
      </c>
      <c r="F148" s="762" t="s">
        <v>347</v>
      </c>
      <c r="G148" s="796"/>
      <c r="H148" s="908">
        <v>15000</v>
      </c>
      <c r="I148" s="908">
        <f t="shared" si="11"/>
        <v>15000</v>
      </c>
      <c r="J148" s="908">
        <f t="shared" si="12"/>
        <v>0</v>
      </c>
      <c r="L148" s="753"/>
      <c r="M148" s="753"/>
    </row>
    <row r="149" spans="1:13" ht="13.5" outlineLevel="2" thickBot="1">
      <c r="A149" s="753" t="str">
        <f t="shared" si="10"/>
        <v>O&amp;M Mobilization BudgetProcurement ExpensesOffice Furnishings, Equipment, Supplies</v>
      </c>
      <c r="B149" s="753" t="s">
        <v>158</v>
      </c>
      <c r="C149" s="753" t="s">
        <v>319</v>
      </c>
      <c r="D149" s="753" t="s">
        <v>320</v>
      </c>
      <c r="E149" s="799" t="s">
        <v>348</v>
      </c>
      <c r="F149" s="762" t="s">
        <v>349</v>
      </c>
      <c r="G149" s="796"/>
      <c r="H149" s="908">
        <v>2500</v>
      </c>
      <c r="I149" s="908">
        <f t="shared" si="11"/>
        <v>2500</v>
      </c>
      <c r="J149" s="908">
        <f t="shared" si="12"/>
        <v>0</v>
      </c>
      <c r="L149" s="753"/>
      <c r="M149" s="753"/>
    </row>
    <row r="150" spans="1:13" ht="13.5" outlineLevel="2" thickBot="1">
      <c r="E150" s="799" t="s">
        <v>350</v>
      </c>
      <c r="F150" s="762" t="s">
        <v>351</v>
      </c>
      <c r="G150" s="796"/>
      <c r="H150" s="908">
        <v>20000</v>
      </c>
      <c r="I150" s="908">
        <f t="shared" si="11"/>
        <v>20000</v>
      </c>
      <c r="J150" s="908">
        <f t="shared" si="12"/>
        <v>0</v>
      </c>
      <c r="L150" s="753"/>
      <c r="M150" s="753"/>
    </row>
    <row r="151" spans="1:13" ht="13.5" outlineLevel="2" thickBot="1">
      <c r="E151" s="799" t="s">
        <v>352</v>
      </c>
      <c r="F151" s="762" t="s">
        <v>353</v>
      </c>
      <c r="G151" s="796"/>
      <c r="H151" s="908">
        <v>0</v>
      </c>
      <c r="I151" s="908">
        <f t="shared" si="11"/>
        <v>0</v>
      </c>
      <c r="J151" s="908">
        <f t="shared" si="12"/>
        <v>0</v>
      </c>
      <c r="L151" s="753"/>
      <c r="M151" s="753"/>
    </row>
    <row r="152" spans="1:13" ht="13.5" outlineLevel="2" thickBot="1">
      <c r="E152" s="799" t="s">
        <v>354</v>
      </c>
      <c r="F152" s="762" t="s">
        <v>355</v>
      </c>
      <c r="G152" s="796"/>
      <c r="H152" s="908">
        <v>0</v>
      </c>
      <c r="I152" s="908">
        <f t="shared" si="11"/>
        <v>0</v>
      </c>
      <c r="J152" s="908">
        <f t="shared" si="12"/>
        <v>0</v>
      </c>
      <c r="L152" s="753"/>
      <c r="M152" s="753"/>
    </row>
    <row r="153" spans="1:13" ht="13.5" outlineLevel="2" thickBot="1">
      <c r="E153" s="799" t="s">
        <v>354</v>
      </c>
      <c r="F153" s="762" t="s">
        <v>356</v>
      </c>
      <c r="G153" s="796"/>
      <c r="H153" s="908">
        <v>10000</v>
      </c>
      <c r="I153" s="908">
        <f t="shared" si="11"/>
        <v>10000</v>
      </c>
      <c r="J153" s="908">
        <f t="shared" si="12"/>
        <v>0</v>
      </c>
      <c r="L153" s="753"/>
      <c r="M153" s="753"/>
    </row>
    <row r="154" spans="1:13" ht="13.5" outlineLevel="2" thickBot="1">
      <c r="A154" s="753" t="str">
        <f t="shared" ref="A154:A162" si="13">B154&amp;C154&amp;D154</f>
        <v>O&amp;M Mobilization BudgetProcurement ExpensesOffice Furnishings, Equipment, Supplies</v>
      </c>
      <c r="B154" s="753" t="s">
        <v>158</v>
      </c>
      <c r="C154" s="753" t="s">
        <v>319</v>
      </c>
      <c r="D154" s="753" t="s">
        <v>320</v>
      </c>
      <c r="E154" s="799" t="s">
        <v>357</v>
      </c>
      <c r="F154" s="762" t="s">
        <v>358</v>
      </c>
      <c r="G154" s="796"/>
      <c r="H154" s="908">
        <v>8000</v>
      </c>
      <c r="I154" s="908">
        <f t="shared" si="11"/>
        <v>8000</v>
      </c>
      <c r="J154" s="908">
        <f t="shared" si="12"/>
        <v>0</v>
      </c>
      <c r="L154" s="753"/>
      <c r="M154" s="753"/>
    </row>
    <row r="155" spans="1:13" ht="13.5" outlineLevel="2" thickBot="1">
      <c r="A155" s="753" t="str">
        <f t="shared" si="13"/>
        <v>O&amp;M Mobilization BudgetProcurement ExpensesOffice Furnishings, Equipment, Supplies</v>
      </c>
      <c r="B155" s="753" t="s">
        <v>158</v>
      </c>
      <c r="C155" s="753" t="s">
        <v>319</v>
      </c>
      <c r="D155" s="753" t="s">
        <v>320</v>
      </c>
      <c r="E155" s="799" t="s">
        <v>359</v>
      </c>
      <c r="F155" s="762" t="s">
        <v>360</v>
      </c>
      <c r="G155" s="796"/>
      <c r="H155" s="908">
        <v>250</v>
      </c>
      <c r="I155" s="908">
        <f t="shared" si="11"/>
        <v>250</v>
      </c>
      <c r="J155" s="908">
        <f t="shared" si="12"/>
        <v>0</v>
      </c>
      <c r="L155" s="753"/>
      <c r="M155" s="753"/>
    </row>
    <row r="156" spans="1:13" ht="13.5" outlineLevel="2" thickBot="1">
      <c r="A156" s="753" t="str">
        <f t="shared" si="13"/>
        <v>O&amp;M Mobilization BudgetProcurement ExpensesOffice Furnishings, Equipment, Supplies</v>
      </c>
      <c r="B156" s="753" t="s">
        <v>158</v>
      </c>
      <c r="C156" s="753" t="s">
        <v>319</v>
      </c>
      <c r="D156" s="753" t="s">
        <v>320</v>
      </c>
      <c r="E156" s="799" t="s">
        <v>361</v>
      </c>
      <c r="F156" s="762" t="s">
        <v>362</v>
      </c>
      <c r="G156" s="796"/>
      <c r="H156" s="908">
        <v>3000</v>
      </c>
      <c r="I156" s="908">
        <f t="shared" si="11"/>
        <v>3000</v>
      </c>
      <c r="J156" s="908">
        <f t="shared" si="12"/>
        <v>0</v>
      </c>
      <c r="L156" s="753"/>
      <c r="M156" s="753"/>
    </row>
    <row r="157" spans="1:13" ht="13.5" outlineLevel="2" thickBot="1">
      <c r="A157" s="753" t="str">
        <f t="shared" si="13"/>
        <v>O&amp;M Mobilization BudgetProcurement ExpensesOffice Furnishings, Equipment, Supplies</v>
      </c>
      <c r="B157" s="753" t="s">
        <v>158</v>
      </c>
      <c r="C157" s="753" t="s">
        <v>319</v>
      </c>
      <c r="D157" s="753" t="s">
        <v>320</v>
      </c>
      <c r="E157" s="799" t="s">
        <v>363</v>
      </c>
      <c r="F157" s="762" t="s">
        <v>364</v>
      </c>
      <c r="G157" s="796"/>
      <c r="H157" s="908">
        <v>100</v>
      </c>
      <c r="I157" s="908">
        <f t="shared" si="11"/>
        <v>100</v>
      </c>
      <c r="J157" s="908">
        <f t="shared" si="12"/>
        <v>0</v>
      </c>
      <c r="L157" s="753"/>
      <c r="M157" s="753"/>
    </row>
    <row r="158" spans="1:13" ht="13.5" outlineLevel="2" thickBot="1">
      <c r="A158" s="753" t="str">
        <f t="shared" si="13"/>
        <v>O&amp;M Mobilization BudgetProcurement ExpensesOffice Furnishings, Equipment, Supplies</v>
      </c>
      <c r="B158" s="753" t="s">
        <v>158</v>
      </c>
      <c r="C158" s="753" t="s">
        <v>319</v>
      </c>
      <c r="D158" s="753" t="s">
        <v>320</v>
      </c>
      <c r="E158" s="799" t="s">
        <v>365</v>
      </c>
      <c r="F158" s="762" t="s">
        <v>366</v>
      </c>
      <c r="G158" s="796"/>
      <c r="H158" s="908">
        <v>400</v>
      </c>
      <c r="I158" s="908">
        <f t="shared" si="11"/>
        <v>400</v>
      </c>
      <c r="J158" s="908">
        <f t="shared" si="12"/>
        <v>0</v>
      </c>
      <c r="L158" s="753"/>
      <c r="M158" s="753"/>
    </row>
    <row r="159" spans="1:13" ht="13.5" outlineLevel="2" thickBot="1">
      <c r="A159" s="753" t="str">
        <f t="shared" si="13"/>
        <v>O&amp;M Mobilization BudgetProcurement ExpensesOffice Furnishings, Equipment, Supplies</v>
      </c>
      <c r="B159" s="753" t="s">
        <v>158</v>
      </c>
      <c r="C159" s="753" t="s">
        <v>319</v>
      </c>
      <c r="D159" s="753" t="s">
        <v>320</v>
      </c>
      <c r="E159" s="799" t="s">
        <v>367</v>
      </c>
      <c r="F159" s="762" t="s">
        <v>368</v>
      </c>
      <c r="G159" s="796"/>
      <c r="H159" s="908">
        <v>2000</v>
      </c>
      <c r="I159" s="908">
        <f t="shared" si="11"/>
        <v>2000</v>
      </c>
      <c r="J159" s="908">
        <f t="shared" si="12"/>
        <v>0</v>
      </c>
      <c r="L159" s="753"/>
      <c r="M159" s="753"/>
    </row>
    <row r="160" spans="1:13" ht="13.5" outlineLevel="2" thickBot="1">
      <c r="A160" s="753" t="str">
        <f t="shared" si="13"/>
        <v>O&amp;M Mobilization BudgetProcurement ExpensesOffice Furnishings, Equipment, Supplies</v>
      </c>
      <c r="B160" s="753" t="s">
        <v>158</v>
      </c>
      <c r="C160" s="753" t="s">
        <v>319</v>
      </c>
      <c r="D160" s="753" t="s">
        <v>320</v>
      </c>
      <c r="E160" s="799"/>
      <c r="F160" s="762"/>
      <c r="G160" s="796"/>
      <c r="H160" s="908"/>
      <c r="I160" s="908">
        <f t="shared" si="11"/>
        <v>0</v>
      </c>
      <c r="J160" s="908">
        <f t="shared" si="12"/>
        <v>0</v>
      </c>
      <c r="L160" s="753"/>
      <c r="M160" s="753"/>
    </row>
    <row r="161" spans="1:13" ht="13.5" outlineLevel="2" thickBot="1">
      <c r="A161" s="753" t="str">
        <f t="shared" si="13"/>
        <v>O&amp;M Mobilization BudgetProcurement ExpensesOffice Furnishings, Equipment, Supplies</v>
      </c>
      <c r="B161" s="753" t="s">
        <v>158</v>
      </c>
      <c r="C161" s="753" t="s">
        <v>319</v>
      </c>
      <c r="D161" s="753" t="s">
        <v>320</v>
      </c>
      <c r="E161" s="799" t="s">
        <v>369</v>
      </c>
      <c r="F161" s="762" t="s">
        <v>370</v>
      </c>
      <c r="G161" s="796"/>
      <c r="H161" s="908">
        <v>400</v>
      </c>
      <c r="I161" s="908">
        <f t="shared" si="11"/>
        <v>400</v>
      </c>
      <c r="J161" s="908">
        <f t="shared" si="12"/>
        <v>0</v>
      </c>
      <c r="L161" s="753"/>
      <c r="M161" s="753"/>
    </row>
    <row r="162" spans="1:13" ht="13.5" outlineLevel="2" thickBot="1">
      <c r="A162" s="753" t="str">
        <f t="shared" si="13"/>
        <v>O&amp;M Mobilization BudgetProcurement ExpensesOffice Furnishings, Equipment, Supplies</v>
      </c>
      <c r="B162" s="753" t="s">
        <v>158</v>
      </c>
      <c r="C162" s="753" t="s">
        <v>319</v>
      </c>
      <c r="D162" s="753" t="s">
        <v>320</v>
      </c>
      <c r="E162" s="799" t="s">
        <v>371</v>
      </c>
      <c r="F162" s="762" t="s">
        <v>366</v>
      </c>
      <c r="G162" s="796"/>
      <c r="H162" s="908">
        <v>400</v>
      </c>
      <c r="I162" s="908">
        <f t="shared" si="11"/>
        <v>400</v>
      </c>
      <c r="J162" s="908">
        <f t="shared" si="12"/>
        <v>0</v>
      </c>
      <c r="L162" s="753"/>
      <c r="M162" s="753"/>
    </row>
    <row r="163" spans="1:13" ht="13.5" outlineLevel="2" thickBot="1">
      <c r="E163" s="799" t="s">
        <v>372</v>
      </c>
      <c r="F163" s="762" t="s">
        <v>373</v>
      </c>
      <c r="G163" s="796"/>
      <c r="H163" s="908">
        <v>1000</v>
      </c>
      <c r="I163" s="908">
        <f t="shared" si="11"/>
        <v>1000</v>
      </c>
      <c r="J163" s="908">
        <f t="shared" si="12"/>
        <v>0</v>
      </c>
      <c r="L163" s="753"/>
      <c r="M163" s="753"/>
    </row>
    <row r="164" spans="1:13" ht="13.5" outlineLevel="2" thickBot="1">
      <c r="A164" s="753" t="str">
        <f>B164&amp;C164&amp;D164</f>
        <v>O&amp;M Mobilization BudgetProcurement ExpensesOffice Furnishings, Equipment, Supplies</v>
      </c>
      <c r="B164" s="753" t="s">
        <v>158</v>
      </c>
      <c r="C164" s="753" t="s">
        <v>319</v>
      </c>
      <c r="D164" s="753" t="s">
        <v>320</v>
      </c>
      <c r="E164" s="799" t="s">
        <v>374</v>
      </c>
      <c r="F164" s="762" t="s">
        <v>375</v>
      </c>
      <c r="G164" s="796"/>
      <c r="H164" s="908">
        <v>1200</v>
      </c>
      <c r="I164" s="908">
        <f t="shared" si="11"/>
        <v>1200</v>
      </c>
      <c r="J164" s="908">
        <f t="shared" si="12"/>
        <v>0</v>
      </c>
      <c r="L164" s="753"/>
      <c r="M164" s="753"/>
    </row>
    <row r="165" spans="1:13" ht="13.5" outlineLevel="2" thickBot="1">
      <c r="E165" s="799" t="s">
        <v>376</v>
      </c>
      <c r="F165" s="762"/>
      <c r="G165" s="796"/>
      <c r="H165" s="908">
        <v>5000</v>
      </c>
      <c r="I165" s="908">
        <f t="shared" si="11"/>
        <v>5000</v>
      </c>
      <c r="J165" s="908">
        <f t="shared" si="12"/>
        <v>0</v>
      </c>
      <c r="L165" s="753"/>
      <c r="M165" s="753"/>
    </row>
    <row r="166" spans="1:13" ht="13.5" outlineLevel="2" thickBot="1">
      <c r="E166" s="799" t="s">
        <v>377</v>
      </c>
      <c r="F166" s="762"/>
      <c r="G166" s="796"/>
      <c r="H166" s="908">
        <v>1000</v>
      </c>
      <c r="I166" s="908">
        <f t="shared" si="11"/>
        <v>1000</v>
      </c>
      <c r="J166" s="908">
        <f t="shared" si="12"/>
        <v>0</v>
      </c>
      <c r="L166" s="753"/>
      <c r="M166" s="753"/>
    </row>
    <row r="167" spans="1:13" ht="13.5" outlineLevel="2" thickBot="1">
      <c r="E167" s="799" t="s">
        <v>297</v>
      </c>
      <c r="F167" s="762" t="s">
        <v>378</v>
      </c>
      <c r="G167" s="796"/>
      <c r="H167" s="908">
        <f>SUM(H135:H166)*0.05</f>
        <v>4072.5</v>
      </c>
      <c r="I167" s="908">
        <f t="shared" si="11"/>
        <v>4072.5</v>
      </c>
      <c r="J167" s="908">
        <f t="shared" si="12"/>
        <v>0</v>
      </c>
      <c r="L167" s="753"/>
      <c r="M167" s="753"/>
    </row>
    <row r="168" spans="1:13" ht="13.5" outlineLevel="2" thickBot="1">
      <c r="E168" s="799"/>
      <c r="F168" s="762"/>
      <c r="G168" s="796"/>
      <c r="H168" s="908"/>
      <c r="I168" s="908"/>
      <c r="J168" s="908"/>
      <c r="L168" s="753"/>
      <c r="M168" s="753"/>
    </row>
    <row r="169" spans="1:13" s="907" customFormat="1" ht="13.5" outlineLevel="1" thickBot="1">
      <c r="A169" s="907" t="s">
        <v>379</v>
      </c>
      <c r="B169" s="907" t="s">
        <v>158</v>
      </c>
      <c r="C169" s="907" t="s">
        <v>319</v>
      </c>
      <c r="D169" s="907" t="s">
        <v>320</v>
      </c>
      <c r="E169" s="799"/>
      <c r="F169" s="762"/>
      <c r="G169" s="909" t="s">
        <v>169</v>
      </c>
      <c r="H169" s="910">
        <f>SUBTOTAL(9,H135:H168)</f>
        <v>85522.5</v>
      </c>
      <c r="I169" s="910">
        <f>SUBTOTAL(9,I135:I168)</f>
        <v>85522.5</v>
      </c>
      <c r="J169" s="910">
        <f>SUBTOTAL(9,J135:J168)</f>
        <v>0</v>
      </c>
    </row>
    <row r="170" spans="1:13" s="907" customFormat="1" ht="13.5" outlineLevel="1" thickBot="1">
      <c r="A170" s="753" t="s">
        <v>380</v>
      </c>
      <c r="B170" s="753" t="s">
        <v>158</v>
      </c>
      <c r="C170" s="753" t="s">
        <v>319</v>
      </c>
      <c r="D170" s="753" t="s">
        <v>381</v>
      </c>
      <c r="E170" s="920" t="s">
        <v>382</v>
      </c>
      <c r="F170" s="921"/>
      <c r="G170" s="922"/>
      <c r="H170" s="905"/>
      <c r="I170" s="905"/>
      <c r="J170" s="905"/>
    </row>
    <row r="171" spans="1:13" ht="13.5" outlineLevel="2" thickBot="1">
      <c r="A171" s="753" t="str">
        <f>B171&amp;C171&amp;D171</f>
        <v>O&amp;M Mobilization BudgetProcurement ExpensesSafety Equipment &amp; Supplies</v>
      </c>
      <c r="B171" s="753" t="s">
        <v>158</v>
      </c>
      <c r="C171" s="753" t="s">
        <v>319</v>
      </c>
      <c r="D171" s="753" t="s">
        <v>381</v>
      </c>
      <c r="E171" s="799" t="s">
        <v>383</v>
      </c>
      <c r="F171" s="762" t="s">
        <v>384</v>
      </c>
      <c r="G171" s="796"/>
      <c r="H171" s="908"/>
      <c r="I171" s="908">
        <f t="shared" ref="I171:I181" si="14">H171</f>
        <v>0</v>
      </c>
      <c r="J171" s="908">
        <f t="shared" ref="J171:J181" si="15">H171-I171</f>
        <v>0</v>
      </c>
      <c r="L171" s="753"/>
      <c r="M171" s="753"/>
    </row>
    <row r="172" spans="1:13" ht="13.5" outlineLevel="2" thickBot="1">
      <c r="E172" s="799"/>
      <c r="F172" s="762" t="s">
        <v>385</v>
      </c>
      <c r="G172" s="796"/>
      <c r="H172" s="908">
        <v>3000</v>
      </c>
      <c r="I172" s="908">
        <f t="shared" si="14"/>
        <v>3000</v>
      </c>
      <c r="J172" s="908">
        <f t="shared" si="15"/>
        <v>0</v>
      </c>
      <c r="L172" s="753"/>
      <c r="M172" s="753"/>
    </row>
    <row r="173" spans="1:13" ht="13.5" outlineLevel="2" thickBot="1">
      <c r="E173" s="799" t="s">
        <v>386</v>
      </c>
      <c r="F173" s="762" t="s">
        <v>387</v>
      </c>
      <c r="G173" s="796"/>
      <c r="H173" s="908">
        <f>10*120</f>
        <v>1200</v>
      </c>
      <c r="I173" s="908">
        <f t="shared" si="14"/>
        <v>1200</v>
      </c>
      <c r="J173" s="908">
        <f t="shared" si="15"/>
        <v>0</v>
      </c>
      <c r="L173" s="753"/>
      <c r="M173" s="753"/>
    </row>
    <row r="174" spans="1:13" ht="13.5" outlineLevel="2" thickBot="1">
      <c r="E174" s="799" t="s">
        <v>388</v>
      </c>
      <c r="F174" s="762"/>
      <c r="G174" s="796"/>
      <c r="H174" s="908">
        <v>7700</v>
      </c>
      <c r="I174" s="908">
        <f t="shared" si="14"/>
        <v>7700</v>
      </c>
      <c r="J174" s="908">
        <f t="shared" si="15"/>
        <v>0</v>
      </c>
      <c r="L174" s="753"/>
      <c r="M174" s="753"/>
    </row>
    <row r="175" spans="1:13" ht="13.5" outlineLevel="2" thickBot="1">
      <c r="E175" s="799" t="s">
        <v>389</v>
      </c>
      <c r="F175" s="762" t="s">
        <v>390</v>
      </c>
      <c r="G175" s="796"/>
      <c r="H175" s="908">
        <v>6000</v>
      </c>
      <c r="I175" s="908">
        <f t="shared" si="14"/>
        <v>6000</v>
      </c>
      <c r="J175" s="908">
        <f t="shared" si="15"/>
        <v>0</v>
      </c>
      <c r="L175" s="753"/>
      <c r="M175" s="753"/>
    </row>
    <row r="176" spans="1:13" ht="13.5" outlineLevel="2" thickBot="1">
      <c r="E176" s="799" t="s">
        <v>391</v>
      </c>
      <c r="F176" s="762" t="s">
        <v>392</v>
      </c>
      <c r="G176" s="796"/>
      <c r="H176" s="908">
        <v>2500</v>
      </c>
      <c r="I176" s="908">
        <f t="shared" si="14"/>
        <v>2500</v>
      </c>
      <c r="J176" s="908">
        <f t="shared" si="15"/>
        <v>0</v>
      </c>
      <c r="L176" s="753"/>
      <c r="M176" s="753"/>
    </row>
    <row r="177" spans="1:13" ht="13.5" outlineLevel="2" thickBot="1">
      <c r="E177" s="799" t="s">
        <v>393</v>
      </c>
      <c r="F177" s="762" t="s">
        <v>394</v>
      </c>
      <c r="G177" s="796"/>
      <c r="H177" s="908"/>
      <c r="I177" s="908">
        <f t="shared" si="14"/>
        <v>0</v>
      </c>
      <c r="J177" s="908">
        <f t="shared" si="15"/>
        <v>0</v>
      </c>
      <c r="L177" s="753"/>
      <c r="M177" s="753"/>
    </row>
    <row r="178" spans="1:13" ht="13.5" outlineLevel="2" thickBot="1">
      <c r="E178" s="799" t="s">
        <v>395</v>
      </c>
      <c r="F178" s="762"/>
      <c r="G178" s="796">
        <v>44700</v>
      </c>
      <c r="H178" s="908"/>
      <c r="I178" s="908">
        <f t="shared" si="14"/>
        <v>0</v>
      </c>
      <c r="J178" s="908">
        <f t="shared" si="15"/>
        <v>0</v>
      </c>
      <c r="L178" s="753"/>
      <c r="M178" s="753"/>
    </row>
    <row r="179" spans="1:13" ht="13.5" outlineLevel="2" thickBot="1">
      <c r="E179" s="799" t="s">
        <v>396</v>
      </c>
      <c r="F179" s="762"/>
      <c r="G179" s="796">
        <v>21000</v>
      </c>
      <c r="H179" s="908"/>
      <c r="I179" s="908">
        <f t="shared" si="14"/>
        <v>0</v>
      </c>
      <c r="J179" s="908">
        <f t="shared" si="15"/>
        <v>0</v>
      </c>
      <c r="L179" s="753"/>
      <c r="M179" s="753"/>
    </row>
    <row r="180" spans="1:13" ht="13.5" outlineLevel="2" thickBot="1">
      <c r="E180" s="799" t="s">
        <v>397</v>
      </c>
      <c r="F180" s="762"/>
      <c r="G180" s="796">
        <v>17600</v>
      </c>
      <c r="H180" s="908"/>
      <c r="I180" s="908">
        <f t="shared" si="14"/>
        <v>0</v>
      </c>
      <c r="J180" s="908">
        <f t="shared" si="15"/>
        <v>0</v>
      </c>
      <c r="L180" s="753"/>
      <c r="M180" s="753"/>
    </row>
    <row r="181" spans="1:13" ht="13.5" outlineLevel="2" thickBot="1">
      <c r="E181" s="799" t="s">
        <v>297</v>
      </c>
      <c r="F181" s="762" t="s">
        <v>378</v>
      </c>
      <c r="G181" s="796"/>
      <c r="H181" s="908">
        <f>0.05*SUM(H171:H177)</f>
        <v>1020</v>
      </c>
      <c r="I181" s="908">
        <f t="shared" si="14"/>
        <v>1020</v>
      </c>
      <c r="J181" s="908">
        <f t="shared" si="15"/>
        <v>0</v>
      </c>
      <c r="L181" s="753"/>
      <c r="M181" s="753"/>
    </row>
    <row r="182" spans="1:13" ht="13.5" outlineLevel="2" thickBot="1">
      <c r="E182" s="799"/>
      <c r="F182" s="762"/>
      <c r="G182" s="796"/>
      <c r="H182" s="908"/>
      <c r="I182" s="908"/>
      <c r="J182" s="908"/>
      <c r="L182" s="753"/>
      <c r="M182" s="753"/>
    </row>
    <row r="183" spans="1:13" s="907" customFormat="1" ht="13.5" outlineLevel="1" thickBot="1">
      <c r="A183" s="907" t="s">
        <v>398</v>
      </c>
      <c r="B183" s="907" t="s">
        <v>158</v>
      </c>
      <c r="C183" s="907" t="s">
        <v>319</v>
      </c>
      <c r="D183" s="907" t="s">
        <v>381</v>
      </c>
      <c r="E183" s="799"/>
      <c r="F183" s="762"/>
      <c r="G183" s="909" t="s">
        <v>169</v>
      </c>
      <c r="H183" s="910">
        <f>SUBTOTAL(9,H171:H182)</f>
        <v>21420</v>
      </c>
      <c r="I183" s="910">
        <f>SUBTOTAL(9,I171:I182)</f>
        <v>21420</v>
      </c>
      <c r="J183" s="910">
        <f>SUBTOTAL(9,J171:J182)</f>
        <v>0</v>
      </c>
    </row>
    <row r="184" spans="1:13" s="907" customFormat="1" ht="13.5" outlineLevel="1" thickBot="1">
      <c r="A184" s="753" t="s">
        <v>399</v>
      </c>
      <c r="B184" s="753" t="s">
        <v>158</v>
      </c>
      <c r="C184" s="753" t="s">
        <v>319</v>
      </c>
      <c r="D184" s="753" t="s">
        <v>114</v>
      </c>
      <c r="E184" s="920" t="s">
        <v>114</v>
      </c>
      <c r="F184" s="921"/>
      <c r="G184" s="922"/>
      <c r="H184" s="905"/>
      <c r="I184" s="905"/>
      <c r="J184" s="905"/>
    </row>
    <row r="185" spans="1:13" ht="13.5" outlineLevel="2" thickBot="1">
      <c r="A185" s="753" t="str">
        <f>B185&amp;C185&amp;D185</f>
        <v>O&amp;M Mobilization BudgetProcurement ExpensesVehicles &amp; Mobile Equipment</v>
      </c>
      <c r="B185" s="753" t="s">
        <v>158</v>
      </c>
      <c r="C185" s="753" t="s">
        <v>319</v>
      </c>
      <c r="D185" s="753" t="s">
        <v>114</v>
      </c>
      <c r="E185" s="799" t="s">
        <v>400</v>
      </c>
      <c r="F185" s="762"/>
      <c r="G185" s="796" t="s">
        <v>401</v>
      </c>
      <c r="H185" s="908"/>
      <c r="I185" s="908">
        <f t="shared" ref="I185:I199" si="16">H185</f>
        <v>0</v>
      </c>
      <c r="J185" s="908">
        <f t="shared" ref="J185:J199" si="17">H185-I185</f>
        <v>0</v>
      </c>
      <c r="L185" s="753"/>
      <c r="M185" s="753"/>
    </row>
    <row r="186" spans="1:13" ht="13.5" outlineLevel="2" thickBot="1">
      <c r="A186" s="753" t="str">
        <f>B186&amp;C186&amp;D186</f>
        <v>O&amp;M Mobilization BudgetProcurement ExpensesVehicles &amp; Mobile Equipment</v>
      </c>
      <c r="B186" s="753" t="s">
        <v>158</v>
      </c>
      <c r="C186" s="753" t="s">
        <v>319</v>
      </c>
      <c r="D186" s="753" t="s">
        <v>114</v>
      </c>
      <c r="E186" s="799" t="s">
        <v>402</v>
      </c>
      <c r="F186" s="762" t="s">
        <v>403</v>
      </c>
      <c r="G186" s="796" t="s">
        <v>404</v>
      </c>
      <c r="H186" s="908">
        <f>2000+700*6</f>
        <v>6200</v>
      </c>
      <c r="I186" s="908">
        <f t="shared" si="16"/>
        <v>6200</v>
      </c>
      <c r="J186" s="908">
        <f t="shared" si="17"/>
        <v>0</v>
      </c>
      <c r="L186" s="753"/>
      <c r="M186" s="753"/>
    </row>
    <row r="187" spans="1:13" ht="13.5" outlineLevel="2" thickBot="1">
      <c r="E187" s="799" t="s">
        <v>405</v>
      </c>
      <c r="F187" s="762"/>
      <c r="G187" s="796" t="s">
        <v>406</v>
      </c>
      <c r="H187" s="908"/>
      <c r="I187" s="908">
        <f t="shared" si="16"/>
        <v>0</v>
      </c>
      <c r="J187" s="908">
        <f t="shared" si="17"/>
        <v>0</v>
      </c>
      <c r="L187" s="753"/>
      <c r="M187" s="753"/>
    </row>
    <row r="188" spans="1:13" ht="13.5" outlineLevel="2" thickBot="1">
      <c r="A188" s="753" t="str">
        <f>B188&amp;C188&amp;D188</f>
        <v>O&amp;M Mobilization BudgetProcurement ExpensesVehicles &amp; Mobile Equipment</v>
      </c>
      <c r="B188" s="753" t="s">
        <v>158</v>
      </c>
      <c r="C188" s="753" t="s">
        <v>319</v>
      </c>
      <c r="D188" s="753" t="s">
        <v>114</v>
      </c>
      <c r="E188" s="799" t="s">
        <v>407</v>
      </c>
      <c r="F188" s="762"/>
      <c r="G188" s="796" t="s">
        <v>408</v>
      </c>
      <c r="H188" s="908"/>
      <c r="I188" s="908">
        <f t="shared" si="16"/>
        <v>0</v>
      </c>
      <c r="J188" s="908">
        <f t="shared" si="17"/>
        <v>0</v>
      </c>
      <c r="L188" s="753"/>
      <c r="M188" s="753"/>
    </row>
    <row r="189" spans="1:13" ht="13.5" outlineLevel="2" thickBot="1">
      <c r="E189" s="799" t="s">
        <v>409</v>
      </c>
      <c r="F189" s="762" t="s">
        <v>410</v>
      </c>
      <c r="G189" s="796" t="s">
        <v>411</v>
      </c>
      <c r="H189" s="908">
        <f>1000+2*500</f>
        <v>2000</v>
      </c>
      <c r="I189" s="908">
        <f t="shared" si="16"/>
        <v>2000</v>
      </c>
      <c r="J189" s="908">
        <f t="shared" si="17"/>
        <v>0</v>
      </c>
      <c r="L189" s="753"/>
      <c r="M189" s="753"/>
    </row>
    <row r="190" spans="1:13" ht="13.5" outlineLevel="2" thickBot="1">
      <c r="E190" s="799" t="s">
        <v>412</v>
      </c>
      <c r="F190" s="762"/>
      <c r="G190" s="796" t="s">
        <v>413</v>
      </c>
      <c r="H190" s="908"/>
      <c r="I190" s="908">
        <f t="shared" si="16"/>
        <v>0</v>
      </c>
      <c r="J190" s="908">
        <f t="shared" si="17"/>
        <v>0</v>
      </c>
      <c r="L190" s="753"/>
      <c r="M190" s="753"/>
    </row>
    <row r="191" spans="1:13" ht="13.5" outlineLevel="2" thickBot="1">
      <c r="A191" s="753" t="str">
        <f>B191&amp;C191&amp;D191</f>
        <v>O&amp;M Mobilization BudgetProcurement ExpensesVehicles &amp; Mobile Equipment</v>
      </c>
      <c r="B191" s="753" t="s">
        <v>158</v>
      </c>
      <c r="C191" s="753" t="s">
        <v>319</v>
      </c>
      <c r="D191" s="753" t="s">
        <v>114</v>
      </c>
      <c r="E191" s="799" t="s">
        <v>414</v>
      </c>
      <c r="F191" s="762"/>
      <c r="G191" s="796" t="s">
        <v>415</v>
      </c>
      <c r="H191" s="908">
        <v>0</v>
      </c>
      <c r="I191" s="908">
        <f t="shared" si="16"/>
        <v>0</v>
      </c>
      <c r="J191" s="908">
        <f t="shared" si="17"/>
        <v>0</v>
      </c>
      <c r="L191" s="753"/>
      <c r="M191" s="753"/>
    </row>
    <row r="192" spans="1:13" ht="13.5" outlineLevel="2" thickBot="1">
      <c r="E192" s="799" t="s">
        <v>416</v>
      </c>
      <c r="F192" s="762" t="s">
        <v>417</v>
      </c>
      <c r="G192" s="796" t="s">
        <v>418</v>
      </c>
      <c r="H192" s="908">
        <v>1000</v>
      </c>
      <c r="I192" s="908">
        <f t="shared" si="16"/>
        <v>1000</v>
      </c>
      <c r="J192" s="908">
        <f t="shared" si="17"/>
        <v>0</v>
      </c>
      <c r="L192" s="753"/>
      <c r="M192" s="753"/>
    </row>
    <row r="193" spans="1:13" ht="13.5" outlineLevel="2" thickBot="1">
      <c r="E193" s="799" t="s">
        <v>419</v>
      </c>
      <c r="F193" s="762"/>
      <c r="G193" s="796"/>
      <c r="H193" s="908">
        <v>0</v>
      </c>
      <c r="I193" s="908">
        <f t="shared" si="16"/>
        <v>0</v>
      </c>
      <c r="J193" s="908">
        <f t="shared" si="17"/>
        <v>0</v>
      </c>
      <c r="L193" s="753"/>
      <c r="M193" s="753"/>
    </row>
    <row r="194" spans="1:13" ht="13.5" outlineLevel="2" thickBot="1">
      <c r="E194" s="799" t="s">
        <v>420</v>
      </c>
      <c r="F194" s="762"/>
      <c r="G194" s="796" t="s">
        <v>421</v>
      </c>
      <c r="H194" s="908"/>
      <c r="I194" s="908">
        <f t="shared" si="16"/>
        <v>0</v>
      </c>
      <c r="J194" s="908">
        <f t="shared" si="17"/>
        <v>0</v>
      </c>
      <c r="L194" s="753"/>
      <c r="M194" s="753"/>
    </row>
    <row r="195" spans="1:13" ht="13.5" outlineLevel="2" thickBot="1">
      <c r="E195" s="799" t="s">
        <v>422</v>
      </c>
      <c r="F195" s="762"/>
      <c r="G195" s="796" t="s">
        <v>423</v>
      </c>
      <c r="H195" s="908"/>
      <c r="I195" s="908">
        <f t="shared" si="16"/>
        <v>0</v>
      </c>
      <c r="J195" s="908">
        <f t="shared" si="17"/>
        <v>0</v>
      </c>
      <c r="L195" s="753"/>
      <c r="M195" s="753"/>
    </row>
    <row r="196" spans="1:13" ht="13.5" outlineLevel="2" thickBot="1">
      <c r="E196" s="799" t="s">
        <v>424</v>
      </c>
      <c r="F196" s="762"/>
      <c r="G196" s="796" t="s">
        <v>425</v>
      </c>
      <c r="H196" s="908"/>
      <c r="I196" s="908">
        <f t="shared" si="16"/>
        <v>0</v>
      </c>
      <c r="J196" s="908">
        <f t="shared" si="17"/>
        <v>0</v>
      </c>
      <c r="L196" s="753"/>
      <c r="M196" s="753"/>
    </row>
    <row r="197" spans="1:13" ht="13.5" outlineLevel="2" thickBot="1">
      <c r="A197" s="753" t="str">
        <f>B197&amp;C197&amp;D197</f>
        <v>O&amp;M Mobilization BudgetProcurement ExpensesVehicles &amp; Mobile Equipment</v>
      </c>
      <c r="B197" s="753" t="s">
        <v>158</v>
      </c>
      <c r="C197" s="753" t="s">
        <v>319</v>
      </c>
      <c r="D197" s="753" t="s">
        <v>114</v>
      </c>
      <c r="E197" s="799" t="s">
        <v>426</v>
      </c>
      <c r="F197" s="762"/>
      <c r="G197" s="796" t="s">
        <v>427</v>
      </c>
      <c r="H197" s="908"/>
      <c r="I197" s="908">
        <f t="shared" si="16"/>
        <v>0</v>
      </c>
      <c r="J197" s="908">
        <f t="shared" si="17"/>
        <v>0</v>
      </c>
      <c r="L197" s="753"/>
      <c r="M197" s="753"/>
    </row>
    <row r="198" spans="1:13" ht="13.5" outlineLevel="2" thickBot="1">
      <c r="E198" s="799" t="s">
        <v>428</v>
      </c>
      <c r="F198" s="762"/>
      <c r="G198" s="796" t="s">
        <v>429</v>
      </c>
      <c r="H198" s="908">
        <v>0</v>
      </c>
      <c r="I198" s="908">
        <f t="shared" si="16"/>
        <v>0</v>
      </c>
      <c r="J198" s="908">
        <f t="shared" si="17"/>
        <v>0</v>
      </c>
      <c r="L198" s="753"/>
      <c r="M198" s="753"/>
    </row>
    <row r="199" spans="1:13" ht="13.5" outlineLevel="2" thickBot="1">
      <c r="E199" s="799" t="s">
        <v>430</v>
      </c>
      <c r="F199" s="762"/>
      <c r="G199" s="796" t="s">
        <v>431</v>
      </c>
      <c r="H199" s="908">
        <v>0</v>
      </c>
      <c r="I199" s="908">
        <f t="shared" si="16"/>
        <v>0</v>
      </c>
      <c r="J199" s="908">
        <f t="shared" si="17"/>
        <v>0</v>
      </c>
      <c r="L199" s="753"/>
      <c r="M199" s="753"/>
    </row>
    <row r="200" spans="1:13" ht="13.5" outlineLevel="2" thickBot="1">
      <c r="E200" s="799" t="s">
        <v>432</v>
      </c>
      <c r="F200" s="762"/>
      <c r="G200" s="796"/>
      <c r="H200" s="908">
        <v>2500</v>
      </c>
      <c r="I200" s="908"/>
      <c r="J200" s="908"/>
      <c r="L200" s="753"/>
      <c r="M200" s="753"/>
    </row>
    <row r="201" spans="1:13" ht="13.5" outlineLevel="2" thickBot="1">
      <c r="E201" s="799" t="s">
        <v>297</v>
      </c>
      <c r="F201" s="762" t="s">
        <v>378</v>
      </c>
      <c r="G201" s="796"/>
      <c r="H201" s="908">
        <f>0.05*SUM(H185:H198)</f>
        <v>460</v>
      </c>
      <c r="I201" s="908">
        <f>H201</f>
        <v>460</v>
      </c>
      <c r="J201" s="908">
        <f>H201-I201</f>
        <v>0</v>
      </c>
      <c r="L201" s="753"/>
      <c r="M201" s="753"/>
    </row>
    <row r="202" spans="1:13" ht="13.5" outlineLevel="2" thickBot="1">
      <c r="E202" s="799"/>
      <c r="F202" s="762"/>
      <c r="G202" s="796"/>
      <c r="H202" s="908"/>
      <c r="I202" s="908"/>
      <c r="J202" s="908"/>
      <c r="L202" s="753"/>
      <c r="M202" s="753"/>
    </row>
    <row r="203" spans="1:13" s="907" customFormat="1" ht="13.5" outlineLevel="1" thickBot="1">
      <c r="A203" s="907" t="s">
        <v>433</v>
      </c>
      <c r="B203" s="907" t="s">
        <v>158</v>
      </c>
      <c r="C203" s="907" t="s">
        <v>319</v>
      </c>
      <c r="D203" s="907" t="s">
        <v>114</v>
      </c>
      <c r="E203" s="799" t="s">
        <v>434</v>
      </c>
      <c r="F203" s="762"/>
      <c r="G203" s="909" t="s">
        <v>169</v>
      </c>
      <c r="H203" s="910">
        <f>SUBTOTAL(9,H185:H202)</f>
        <v>12160</v>
      </c>
      <c r="I203" s="910">
        <f>SUBTOTAL(9,I185:I202)</f>
        <v>9660</v>
      </c>
      <c r="J203" s="910">
        <f>SUBTOTAL(9,J185:J202)</f>
        <v>0</v>
      </c>
    </row>
    <row r="204" spans="1:13" s="907" customFormat="1" ht="13.5" outlineLevel="1" thickBot="1">
      <c r="A204" s="753" t="s">
        <v>435</v>
      </c>
      <c r="B204" s="753" t="s">
        <v>158</v>
      </c>
      <c r="C204" s="753" t="s">
        <v>319</v>
      </c>
      <c r="D204" s="753" t="s">
        <v>1679</v>
      </c>
      <c r="E204" s="920" t="s">
        <v>1679</v>
      </c>
      <c r="F204" s="921"/>
      <c r="G204" s="922"/>
      <c r="H204" s="905"/>
      <c r="I204" s="905"/>
      <c r="J204" s="905"/>
    </row>
    <row r="205" spans="1:13" ht="13.5" outlineLevel="2" thickBot="1">
      <c r="A205" s="753" t="str">
        <f>B205&amp;C205&amp;D205</f>
        <v>O&amp;M Mobilization BudgetProcurement ExpensesWarehouse Furnishings &amp; Equipment</v>
      </c>
      <c r="B205" s="753" t="s">
        <v>158</v>
      </c>
      <c r="C205" s="753" t="s">
        <v>319</v>
      </c>
      <c r="D205" s="753" t="s">
        <v>1679</v>
      </c>
      <c r="E205" s="799" t="s">
        <v>436</v>
      </c>
      <c r="F205" s="762" t="s">
        <v>437</v>
      </c>
      <c r="G205" s="796"/>
      <c r="H205" s="908">
        <v>9000</v>
      </c>
      <c r="I205" s="908">
        <f>H205</f>
        <v>9000</v>
      </c>
      <c r="J205" s="908">
        <f>H205-I205</f>
        <v>0</v>
      </c>
      <c r="L205" s="753"/>
      <c r="M205" s="753"/>
    </row>
    <row r="206" spans="1:13" ht="13.5" outlineLevel="2" thickBot="1">
      <c r="A206" s="753" t="str">
        <f>B206&amp;C206&amp;D206</f>
        <v>O&amp;M Mobilization BudgetProcurement ExpensesWarehouse Furnishings &amp; Equipment</v>
      </c>
      <c r="B206" s="753" t="s">
        <v>158</v>
      </c>
      <c r="C206" s="753" t="s">
        <v>319</v>
      </c>
      <c r="D206" s="753" t="s">
        <v>1679</v>
      </c>
      <c r="E206" s="799" t="s">
        <v>438</v>
      </c>
      <c r="F206" s="762" t="s">
        <v>439</v>
      </c>
      <c r="G206" s="796"/>
      <c r="H206" s="908">
        <v>1500</v>
      </c>
      <c r="I206" s="908">
        <f>H206</f>
        <v>1500</v>
      </c>
      <c r="J206" s="908">
        <f>H206-I206</f>
        <v>0</v>
      </c>
      <c r="L206" s="753"/>
      <c r="M206" s="753"/>
    </row>
    <row r="207" spans="1:13" ht="14.25" customHeight="1" outlineLevel="2" thickBot="1">
      <c r="A207" s="753" t="str">
        <f>B207&amp;C207&amp;D207</f>
        <v>O&amp;M Mobilization BudgetProcurement ExpensesWarehouse Furnishings &amp; Equipment</v>
      </c>
      <c r="B207" s="753" t="s">
        <v>158</v>
      </c>
      <c r="C207" s="753" t="s">
        <v>319</v>
      </c>
      <c r="D207" s="753" t="s">
        <v>1679</v>
      </c>
      <c r="E207" s="799" t="s">
        <v>440</v>
      </c>
      <c r="F207" s="762" t="s">
        <v>441</v>
      </c>
      <c r="G207" s="796"/>
      <c r="H207" s="908"/>
      <c r="I207" s="908">
        <f>H207</f>
        <v>0</v>
      </c>
      <c r="J207" s="908">
        <f>H207-I207</f>
        <v>0</v>
      </c>
      <c r="L207" s="753"/>
      <c r="M207" s="753"/>
    </row>
    <row r="208" spans="1:13" ht="13.5" outlineLevel="2" thickBot="1">
      <c r="A208" s="753" t="str">
        <f>B208&amp;C208&amp;D208</f>
        <v>O&amp;M Mobilization BudgetProcurement ExpensesWarehouse Furnishings &amp; Equipment</v>
      </c>
      <c r="B208" s="753" t="s">
        <v>158</v>
      </c>
      <c r="C208" s="753" t="s">
        <v>319</v>
      </c>
      <c r="D208" s="753" t="s">
        <v>1679</v>
      </c>
      <c r="E208" s="799" t="s">
        <v>442</v>
      </c>
      <c r="F208" s="762"/>
      <c r="G208" s="796"/>
      <c r="H208" s="908">
        <v>1000</v>
      </c>
      <c r="I208" s="908">
        <f>H208</f>
        <v>1000</v>
      </c>
      <c r="J208" s="908">
        <f>H208-I208</f>
        <v>0</v>
      </c>
      <c r="L208" s="753"/>
      <c r="M208" s="753"/>
    </row>
    <row r="209" spans="1:13" ht="13.5" outlineLevel="2" thickBot="1">
      <c r="E209" s="799" t="s">
        <v>297</v>
      </c>
      <c r="F209" s="762" t="s">
        <v>378</v>
      </c>
      <c r="G209" s="796"/>
      <c r="H209" s="908">
        <f>0.05*SUM(H205:H208)</f>
        <v>575</v>
      </c>
      <c r="I209" s="908">
        <f>H209</f>
        <v>575</v>
      </c>
      <c r="J209" s="908">
        <f>H209-I209</f>
        <v>0</v>
      </c>
      <c r="L209" s="753"/>
      <c r="M209" s="753"/>
    </row>
    <row r="210" spans="1:13" ht="13.5" outlineLevel="2" thickBot="1">
      <c r="E210" s="799"/>
      <c r="F210" s="762"/>
      <c r="G210" s="796"/>
      <c r="H210" s="908"/>
      <c r="I210" s="908"/>
      <c r="J210" s="908"/>
      <c r="L210" s="753"/>
      <c r="M210" s="753"/>
    </row>
    <row r="211" spans="1:13" s="907" customFormat="1" ht="13.5" outlineLevel="1" thickBot="1">
      <c r="A211" s="907" t="s">
        <v>443</v>
      </c>
      <c r="B211" s="907" t="s">
        <v>158</v>
      </c>
      <c r="C211" s="907" t="s">
        <v>319</v>
      </c>
      <c r="D211" s="907" t="s">
        <v>1679</v>
      </c>
      <c r="E211" s="799"/>
      <c r="F211" s="762"/>
      <c r="G211" s="909" t="s">
        <v>169</v>
      </c>
      <c r="H211" s="910">
        <f>SUBTOTAL(9,H205:H210)</f>
        <v>12075</v>
      </c>
      <c r="I211" s="910">
        <f>SUBTOTAL(9,I205:I210)</f>
        <v>12075</v>
      </c>
      <c r="J211" s="910">
        <f>SUBTOTAL(9,J205:J210)</f>
        <v>0</v>
      </c>
    </row>
    <row r="212" spans="1:13" s="907" customFormat="1" ht="13.5" outlineLevel="1" thickBot="1">
      <c r="A212" s="753" t="s">
        <v>444</v>
      </c>
      <c r="B212" s="753" t="s">
        <v>158</v>
      </c>
      <c r="C212" s="753" t="s">
        <v>319</v>
      </c>
      <c r="D212" s="753" t="s">
        <v>1680</v>
      </c>
      <c r="E212" s="920" t="s">
        <v>1680</v>
      </c>
      <c r="F212" s="921"/>
      <c r="G212" s="922"/>
      <c r="H212" s="905"/>
      <c r="I212" s="905"/>
      <c r="J212" s="905"/>
    </row>
    <row r="213" spans="1:13" ht="13.5" outlineLevel="2" thickBot="1">
      <c r="A213" s="753" t="str">
        <f>B213&amp;C213&amp;D213</f>
        <v>O&amp;M Mobilization BudgetProcurement ExpensesLaboratory Equipment</v>
      </c>
      <c r="B213" s="753" t="s">
        <v>158</v>
      </c>
      <c r="C213" s="753" t="s">
        <v>319</v>
      </c>
      <c r="D213" s="753" t="s">
        <v>1680</v>
      </c>
      <c r="E213" s="799" t="s">
        <v>445</v>
      </c>
      <c r="F213" s="762"/>
      <c r="G213" s="796"/>
      <c r="H213" s="908">
        <v>3000</v>
      </c>
      <c r="I213" s="908">
        <f>H213</f>
        <v>3000</v>
      </c>
      <c r="J213" s="908">
        <f>H213-I213</f>
        <v>0</v>
      </c>
      <c r="L213" s="753"/>
      <c r="M213" s="753"/>
    </row>
    <row r="214" spans="1:13" ht="13.5" outlineLevel="2" thickBot="1">
      <c r="E214" s="799" t="s">
        <v>446</v>
      </c>
      <c r="F214" s="762"/>
      <c r="G214" s="796"/>
      <c r="H214" s="908">
        <v>2000</v>
      </c>
      <c r="I214" s="908">
        <f>H214</f>
        <v>2000</v>
      </c>
      <c r="J214" s="908">
        <f>H214-I214</f>
        <v>0</v>
      </c>
      <c r="L214" s="753"/>
      <c r="M214" s="753"/>
    </row>
    <row r="215" spans="1:13" ht="13.5" outlineLevel="2" thickBot="1">
      <c r="E215" s="799" t="s">
        <v>447</v>
      </c>
      <c r="F215" s="762"/>
      <c r="G215" s="796"/>
      <c r="H215" s="908">
        <v>1000</v>
      </c>
      <c r="I215" s="908">
        <f>H215</f>
        <v>1000</v>
      </c>
      <c r="J215" s="908">
        <f>H215-I215</f>
        <v>0</v>
      </c>
      <c r="L215" s="753"/>
      <c r="M215" s="753"/>
    </row>
    <row r="216" spans="1:13" ht="13.5" outlineLevel="2" thickBot="1">
      <c r="E216" s="799" t="s">
        <v>448</v>
      </c>
      <c r="F216" s="762" t="s">
        <v>449</v>
      </c>
      <c r="G216" s="796"/>
      <c r="H216" s="908"/>
      <c r="I216" s="908">
        <f>H216</f>
        <v>0</v>
      </c>
      <c r="J216" s="908">
        <f>H216-I216</f>
        <v>0</v>
      </c>
      <c r="L216" s="753"/>
      <c r="M216" s="753"/>
    </row>
    <row r="217" spans="1:13" ht="13.5" outlineLevel="2" thickBot="1">
      <c r="E217" s="799" t="s">
        <v>297</v>
      </c>
      <c r="F217" s="762" t="s">
        <v>378</v>
      </c>
      <c r="G217" s="796"/>
      <c r="H217" s="908">
        <f>0.05*SUM(H213:H216)</f>
        <v>300</v>
      </c>
      <c r="I217" s="908">
        <f>H217</f>
        <v>300</v>
      </c>
      <c r="J217" s="908">
        <f>H217-I217</f>
        <v>0</v>
      </c>
      <c r="L217" s="753"/>
      <c r="M217" s="753"/>
    </row>
    <row r="218" spans="1:13" ht="13.5" outlineLevel="2" thickBot="1">
      <c r="E218" s="799"/>
      <c r="F218" s="762"/>
      <c r="G218" s="796"/>
      <c r="H218" s="908"/>
      <c r="I218" s="908"/>
      <c r="J218" s="908"/>
      <c r="L218" s="753"/>
      <c r="M218" s="753"/>
    </row>
    <row r="219" spans="1:13" s="907" customFormat="1" ht="13.5" outlineLevel="1" thickBot="1">
      <c r="A219" s="907" t="s">
        <v>450</v>
      </c>
      <c r="B219" s="907" t="s">
        <v>158</v>
      </c>
      <c r="C219" s="907" t="s">
        <v>319</v>
      </c>
      <c r="D219" s="907" t="s">
        <v>1680</v>
      </c>
      <c r="E219" s="799" t="s">
        <v>451</v>
      </c>
      <c r="F219" s="762"/>
      <c r="G219" s="909" t="s">
        <v>169</v>
      </c>
      <c r="H219" s="910">
        <f>SUBTOTAL(9,H213:H218)</f>
        <v>6300</v>
      </c>
      <c r="I219" s="910">
        <f>SUBTOTAL(9,I213:I218)</f>
        <v>6300</v>
      </c>
      <c r="J219" s="910">
        <f>SUBTOTAL(9,J213:J218)</f>
        <v>0</v>
      </c>
    </row>
    <row r="220" spans="1:13" s="907" customFormat="1" ht="13.5" outlineLevel="1" thickBot="1">
      <c r="A220" s="753" t="s">
        <v>452</v>
      </c>
      <c r="B220" s="753" t="s">
        <v>158</v>
      </c>
      <c r="C220" s="753" t="s">
        <v>319</v>
      </c>
      <c r="D220" s="753" t="s">
        <v>1681</v>
      </c>
      <c r="E220" s="920" t="s">
        <v>1681</v>
      </c>
      <c r="F220" s="921"/>
      <c r="G220" s="922"/>
      <c r="H220" s="905"/>
      <c r="I220" s="905"/>
      <c r="J220" s="905"/>
    </row>
    <row r="221" spans="1:13" ht="13.5" outlineLevel="2" thickBot="1">
      <c r="A221" s="753" t="str">
        <f>B221&amp;C221&amp;D221</f>
        <v>O&amp;M Mobilization BudgetProcurement ExpensesShop Tools &amp; Equipment</v>
      </c>
      <c r="B221" s="753" t="s">
        <v>158</v>
      </c>
      <c r="C221" s="753" t="s">
        <v>319</v>
      </c>
      <c r="D221" s="753" t="s">
        <v>1681</v>
      </c>
      <c r="E221" s="929" t="s">
        <v>453</v>
      </c>
      <c r="F221" s="930" t="s">
        <v>454</v>
      </c>
      <c r="G221" s="931" t="s">
        <v>455</v>
      </c>
      <c r="H221" s="932">
        <v>1200</v>
      </c>
      <c r="I221" s="908">
        <f t="shared" ref="I221:I267" si="18">H221</f>
        <v>1200</v>
      </c>
      <c r="J221" s="908">
        <f t="shared" ref="J221:J267" si="19">H221-I221</f>
        <v>0</v>
      </c>
      <c r="K221"/>
      <c r="L221"/>
      <c r="M221" s="753"/>
    </row>
    <row r="222" spans="1:13" ht="13.5" outlineLevel="2" thickBot="1">
      <c r="A222" s="753" t="str">
        <f>B222&amp;C222&amp;D222</f>
        <v>O&amp;M Mobilization BudgetProcurement ExpensesShop Tools &amp; Equipment</v>
      </c>
      <c r="B222" s="753" t="s">
        <v>158</v>
      </c>
      <c r="C222" s="753" t="s">
        <v>319</v>
      </c>
      <c r="D222" s="753" t="s">
        <v>1681</v>
      </c>
      <c r="E222" s="929" t="s">
        <v>456</v>
      </c>
      <c r="F222" s="930" t="s">
        <v>454</v>
      </c>
      <c r="G222" s="933" t="s">
        <v>457</v>
      </c>
      <c r="H222" s="932">
        <v>1500</v>
      </c>
      <c r="I222" s="908">
        <f t="shared" si="18"/>
        <v>1500</v>
      </c>
      <c r="J222" s="908">
        <f t="shared" si="19"/>
        <v>0</v>
      </c>
      <c r="K222"/>
      <c r="L222"/>
      <c r="M222" s="753"/>
    </row>
    <row r="223" spans="1:13" ht="13.5" outlineLevel="2" thickBot="1">
      <c r="A223" s="753" t="str">
        <f>B223&amp;C223&amp;D223</f>
        <v>O&amp;M Mobilization BudgetProcurement ExpensesShop Tools &amp; Equipment</v>
      </c>
      <c r="B223" s="753" t="s">
        <v>158</v>
      </c>
      <c r="C223" s="753" t="s">
        <v>319</v>
      </c>
      <c r="D223" s="753" t="s">
        <v>1681</v>
      </c>
      <c r="E223" s="929" t="s">
        <v>458</v>
      </c>
      <c r="F223" s="930"/>
      <c r="G223" s="934">
        <v>8000</v>
      </c>
      <c r="H223" s="932">
        <v>8000</v>
      </c>
      <c r="I223" s="908">
        <f t="shared" si="18"/>
        <v>8000</v>
      </c>
      <c r="J223" s="908">
        <f t="shared" si="19"/>
        <v>0</v>
      </c>
      <c r="K223"/>
      <c r="L223"/>
      <c r="M223" s="753"/>
    </row>
    <row r="224" spans="1:13" ht="13.5" outlineLevel="2" thickBot="1">
      <c r="A224" s="753" t="str">
        <f>B224&amp;C224&amp;D224</f>
        <v>O&amp;M Mobilization BudgetProcurement ExpensesShop Tools &amp; Equipment</v>
      </c>
      <c r="B224" s="753" t="s">
        <v>158</v>
      </c>
      <c r="C224" s="753" t="s">
        <v>319</v>
      </c>
      <c r="D224" s="753" t="s">
        <v>1681</v>
      </c>
      <c r="E224" s="929" t="s">
        <v>459</v>
      </c>
      <c r="F224" s="930"/>
      <c r="G224" s="931" t="s">
        <v>460</v>
      </c>
      <c r="H224" s="932">
        <v>4000</v>
      </c>
      <c r="I224" s="908">
        <f t="shared" si="18"/>
        <v>4000</v>
      </c>
      <c r="J224" s="908">
        <f t="shared" si="19"/>
        <v>0</v>
      </c>
      <c r="K224"/>
      <c r="L224"/>
      <c r="M224" s="753"/>
    </row>
    <row r="225" spans="1:13" ht="13.5" outlineLevel="2" thickBot="1">
      <c r="E225" s="929" t="s">
        <v>461</v>
      </c>
      <c r="F225" s="930"/>
      <c r="G225" s="931" t="s">
        <v>460</v>
      </c>
      <c r="H225" s="932">
        <v>1000</v>
      </c>
      <c r="I225" s="908">
        <f t="shared" si="18"/>
        <v>1000</v>
      </c>
      <c r="J225" s="908">
        <f t="shared" si="19"/>
        <v>0</v>
      </c>
      <c r="K225"/>
      <c r="L225"/>
      <c r="M225" s="753"/>
    </row>
    <row r="226" spans="1:13" ht="13.5" outlineLevel="2" thickBot="1">
      <c r="A226" s="753" t="str">
        <f>B226&amp;C226&amp;D226</f>
        <v>O&amp;M Mobilization BudgetProcurement ExpensesShop Tools &amp; Equipment</v>
      </c>
      <c r="B226" s="753" t="s">
        <v>158</v>
      </c>
      <c r="C226" s="753" t="s">
        <v>319</v>
      </c>
      <c r="D226" s="753" t="s">
        <v>1681</v>
      </c>
      <c r="E226" s="929" t="s">
        <v>462</v>
      </c>
      <c r="F226" s="935" t="s">
        <v>463</v>
      </c>
      <c r="G226" s="936" t="s">
        <v>455</v>
      </c>
      <c r="H226" s="932"/>
      <c r="I226" s="908">
        <f t="shared" si="18"/>
        <v>0</v>
      </c>
      <c r="J226" s="908">
        <f t="shared" si="19"/>
        <v>0</v>
      </c>
      <c r="K226"/>
      <c r="L226"/>
      <c r="M226" s="753"/>
    </row>
    <row r="227" spans="1:13" ht="13.5" outlineLevel="2" thickBot="1">
      <c r="A227" s="753" t="str">
        <f>B227&amp;C227&amp;D227</f>
        <v>O&amp;M Mobilization BudgetProcurement ExpensesShop Tools &amp; Equipment</v>
      </c>
      <c r="B227" s="753" t="s">
        <v>158</v>
      </c>
      <c r="C227" s="753" t="s">
        <v>319</v>
      </c>
      <c r="D227" s="753" t="s">
        <v>1681</v>
      </c>
      <c r="E227" s="929"/>
      <c r="F227" s="935" t="s">
        <v>464</v>
      </c>
      <c r="G227" s="936" t="s">
        <v>465</v>
      </c>
      <c r="H227" s="932"/>
      <c r="I227" s="908">
        <f t="shared" si="18"/>
        <v>0</v>
      </c>
      <c r="J227" s="908">
        <f t="shared" si="19"/>
        <v>0</v>
      </c>
      <c r="K227"/>
      <c r="L227"/>
      <c r="M227" s="753"/>
    </row>
    <row r="228" spans="1:13" ht="13.5" outlineLevel="2" thickBot="1">
      <c r="A228" s="753" t="str">
        <f>B228&amp;C228&amp;D228</f>
        <v>O&amp;M Mobilization BudgetProcurement ExpensesShop Tools &amp; Equipment</v>
      </c>
      <c r="B228" s="753" t="s">
        <v>158</v>
      </c>
      <c r="C228" s="753" t="s">
        <v>319</v>
      </c>
      <c r="D228" s="753" t="s">
        <v>1681</v>
      </c>
      <c r="E228" s="929"/>
      <c r="F228" s="935" t="s">
        <v>466</v>
      </c>
      <c r="G228" s="936" t="s">
        <v>467</v>
      </c>
      <c r="H228" s="932">
        <v>960</v>
      </c>
      <c r="I228" s="908">
        <f t="shared" si="18"/>
        <v>960</v>
      </c>
      <c r="J228" s="908">
        <f t="shared" si="19"/>
        <v>0</v>
      </c>
      <c r="K228"/>
      <c r="L228"/>
      <c r="M228" s="753"/>
    </row>
    <row r="229" spans="1:13" ht="13.5" outlineLevel="2" thickBot="1">
      <c r="E229" s="937"/>
      <c r="F229" s="938" t="s">
        <v>468</v>
      </c>
      <c r="G229" s="939" t="s">
        <v>469</v>
      </c>
      <c r="H229" s="932"/>
      <c r="I229" s="908">
        <f t="shared" si="18"/>
        <v>0</v>
      </c>
      <c r="J229" s="908">
        <f t="shared" si="19"/>
        <v>0</v>
      </c>
      <c r="K229"/>
      <c r="L229"/>
      <c r="M229" s="753"/>
    </row>
    <row r="230" spans="1:13" ht="13.5" outlineLevel="2" thickBot="1">
      <c r="E230" s="940"/>
      <c r="F230" s="938" t="s">
        <v>470</v>
      </c>
      <c r="G230" s="939" t="s">
        <v>471</v>
      </c>
      <c r="H230" s="932">
        <v>2500</v>
      </c>
      <c r="I230" s="908">
        <f t="shared" si="18"/>
        <v>2500</v>
      </c>
      <c r="J230" s="908">
        <f t="shared" si="19"/>
        <v>0</v>
      </c>
      <c r="K230"/>
      <c r="L230"/>
      <c r="M230" s="753"/>
    </row>
    <row r="231" spans="1:13" ht="13.5" outlineLevel="2" thickBot="1">
      <c r="E231" s="940"/>
      <c r="F231" s="938" t="s">
        <v>472</v>
      </c>
      <c r="G231" s="939" t="s">
        <v>460</v>
      </c>
      <c r="H231" s="932">
        <v>1000</v>
      </c>
      <c r="I231" s="908">
        <f t="shared" si="18"/>
        <v>1000</v>
      </c>
      <c r="J231" s="908">
        <f t="shared" si="19"/>
        <v>0</v>
      </c>
      <c r="K231"/>
      <c r="L231"/>
      <c r="M231" s="753"/>
    </row>
    <row r="232" spans="1:13" ht="13.5" outlineLevel="2" thickBot="1">
      <c r="E232" s="929"/>
      <c r="F232" s="938" t="s">
        <v>473</v>
      </c>
      <c r="G232" s="939" t="s">
        <v>474</v>
      </c>
      <c r="H232" s="932"/>
      <c r="I232" s="908">
        <f t="shared" si="18"/>
        <v>0</v>
      </c>
      <c r="J232" s="908">
        <f t="shared" si="19"/>
        <v>0</v>
      </c>
      <c r="K232"/>
      <c r="L232"/>
      <c r="M232" s="753"/>
    </row>
    <row r="233" spans="1:13" ht="13.5" outlineLevel="2" thickBot="1">
      <c r="A233" s="753" t="str">
        <f>B233&amp;C233&amp;D233</f>
        <v>O&amp;M Mobilization BudgetProcurement ExpensesShop Tools &amp; Equipment</v>
      </c>
      <c r="B233" s="753" t="s">
        <v>158</v>
      </c>
      <c r="C233" s="753" t="s">
        <v>319</v>
      </c>
      <c r="D233" s="753" t="s">
        <v>1681</v>
      </c>
      <c r="E233" s="929"/>
      <c r="F233" s="938" t="s">
        <v>475</v>
      </c>
      <c r="G233" s="939" t="s">
        <v>476</v>
      </c>
      <c r="H233" s="932">
        <v>900</v>
      </c>
      <c r="I233" s="908">
        <f t="shared" si="18"/>
        <v>900</v>
      </c>
      <c r="J233" s="908">
        <f t="shared" si="19"/>
        <v>0</v>
      </c>
      <c r="K233"/>
      <c r="L233"/>
      <c r="M233" s="753"/>
    </row>
    <row r="234" spans="1:13" ht="13.5" outlineLevel="2" thickBot="1">
      <c r="E234" s="929"/>
      <c r="F234" s="938" t="s">
        <v>477</v>
      </c>
      <c r="G234" s="939" t="s">
        <v>478</v>
      </c>
      <c r="H234" s="932">
        <v>600</v>
      </c>
      <c r="I234" s="908">
        <f t="shared" si="18"/>
        <v>600</v>
      </c>
      <c r="J234" s="908">
        <f t="shared" si="19"/>
        <v>0</v>
      </c>
      <c r="K234"/>
      <c r="L234"/>
      <c r="M234" s="753"/>
    </row>
    <row r="235" spans="1:13" ht="13.5" outlineLevel="2" thickBot="1">
      <c r="E235" s="940"/>
      <c r="F235" s="938" t="s">
        <v>479</v>
      </c>
      <c r="G235" s="939" t="s">
        <v>480</v>
      </c>
      <c r="H235" s="932">
        <v>1400</v>
      </c>
      <c r="I235" s="908">
        <f t="shared" si="18"/>
        <v>1400</v>
      </c>
      <c r="J235" s="908">
        <f t="shared" si="19"/>
        <v>0</v>
      </c>
      <c r="K235"/>
      <c r="L235"/>
      <c r="M235" s="753"/>
    </row>
    <row r="236" spans="1:13" s="907" customFormat="1" ht="13.5" outlineLevel="1" thickBot="1">
      <c r="A236" s="907" t="s">
        <v>481</v>
      </c>
      <c r="B236" s="907" t="s">
        <v>158</v>
      </c>
      <c r="C236" s="907" t="s">
        <v>319</v>
      </c>
      <c r="D236" s="907" t="s">
        <v>1681</v>
      </c>
      <c r="E236" s="940"/>
      <c r="F236" s="938" t="s">
        <v>482</v>
      </c>
      <c r="G236" s="939" t="s">
        <v>455</v>
      </c>
      <c r="H236" s="932"/>
      <c r="I236" s="908">
        <f t="shared" si="18"/>
        <v>0</v>
      </c>
      <c r="J236" s="908">
        <f t="shared" si="19"/>
        <v>0</v>
      </c>
      <c r="K236"/>
      <c r="L236"/>
    </row>
    <row r="237" spans="1:13" s="907" customFormat="1" ht="13.5" outlineLevel="1" thickBot="1">
      <c r="A237" s="753" t="s">
        <v>483</v>
      </c>
      <c r="B237" s="753" t="s">
        <v>158</v>
      </c>
      <c r="C237" s="753" t="s">
        <v>319</v>
      </c>
      <c r="D237" s="753" t="s">
        <v>1682</v>
      </c>
      <c r="E237" s="940"/>
      <c r="F237" s="938" t="s">
        <v>484</v>
      </c>
      <c r="G237" s="939" t="s">
        <v>485</v>
      </c>
      <c r="H237" s="932">
        <v>160</v>
      </c>
      <c r="I237" s="908">
        <f t="shared" si="18"/>
        <v>160</v>
      </c>
      <c r="J237" s="908">
        <f t="shared" si="19"/>
        <v>0</v>
      </c>
      <c r="K237"/>
      <c r="L237"/>
    </row>
    <row r="238" spans="1:13" ht="13.5" outlineLevel="2" thickBot="1">
      <c r="A238" s="753" t="str">
        <f>B238&amp;C238&amp;D238</f>
        <v>O&amp;M Mobilization BudgetProcurement ExpensesChemicals, Lubricants, Hydraulic Fluids</v>
      </c>
      <c r="B238" s="753" t="s">
        <v>158</v>
      </c>
      <c r="C238" s="753" t="s">
        <v>319</v>
      </c>
      <c r="D238" s="753" t="s">
        <v>1682</v>
      </c>
      <c r="E238" s="940"/>
      <c r="F238" s="938" t="s">
        <v>486</v>
      </c>
      <c r="G238" s="939" t="s">
        <v>487</v>
      </c>
      <c r="H238" s="932">
        <f>250*8</f>
        <v>2000</v>
      </c>
      <c r="I238" s="908">
        <f t="shared" si="18"/>
        <v>2000</v>
      </c>
      <c r="J238" s="908">
        <f t="shared" si="19"/>
        <v>0</v>
      </c>
      <c r="K238"/>
      <c r="L238"/>
      <c r="M238" s="753"/>
    </row>
    <row r="239" spans="1:13" ht="13.5" outlineLevel="2" thickBot="1">
      <c r="A239" s="753" t="str">
        <f>B239&amp;C239&amp;D239</f>
        <v>O&amp;M Mobilization BudgetProcurement ExpensesChemicals, Lubricants, Hydraulic Fluids</v>
      </c>
      <c r="B239" s="753" t="s">
        <v>158</v>
      </c>
      <c r="C239" s="753" t="s">
        <v>319</v>
      </c>
      <c r="D239" s="753" t="s">
        <v>1682</v>
      </c>
      <c r="E239" s="929"/>
      <c r="F239" s="938" t="s">
        <v>488</v>
      </c>
      <c r="G239" s="939" t="s">
        <v>489</v>
      </c>
      <c r="H239" s="932">
        <v>600</v>
      </c>
      <c r="I239" s="908">
        <f t="shared" si="18"/>
        <v>600</v>
      </c>
      <c r="J239" s="908">
        <f t="shared" si="19"/>
        <v>0</v>
      </c>
      <c r="K239"/>
      <c r="L239"/>
      <c r="M239" s="753"/>
    </row>
    <row r="240" spans="1:13" ht="13.5" outlineLevel="2" thickBot="1">
      <c r="E240" s="929"/>
      <c r="F240" s="938" t="s">
        <v>490</v>
      </c>
      <c r="G240" s="939" t="s">
        <v>460</v>
      </c>
      <c r="H240" s="932">
        <v>1000</v>
      </c>
      <c r="I240" s="908">
        <f t="shared" si="18"/>
        <v>1000</v>
      </c>
      <c r="J240" s="908">
        <f t="shared" si="19"/>
        <v>0</v>
      </c>
      <c r="K240"/>
      <c r="L240"/>
      <c r="M240" s="753"/>
    </row>
    <row r="241" spans="1:13" ht="13.5" outlineLevel="2" thickBot="1">
      <c r="E241" s="929"/>
      <c r="F241" s="938" t="s">
        <v>491</v>
      </c>
      <c r="G241" s="939" t="s">
        <v>492</v>
      </c>
      <c r="H241" s="932">
        <v>400</v>
      </c>
      <c r="I241" s="908">
        <f t="shared" si="18"/>
        <v>400</v>
      </c>
      <c r="J241" s="908">
        <f t="shared" si="19"/>
        <v>0</v>
      </c>
      <c r="K241"/>
      <c r="L241"/>
      <c r="M241" s="753"/>
    </row>
    <row r="242" spans="1:13" s="907" customFormat="1" ht="13.5" outlineLevel="1" thickBot="1">
      <c r="A242" s="907" t="s">
        <v>493</v>
      </c>
      <c r="B242" s="907" t="s">
        <v>158</v>
      </c>
      <c r="C242" s="907" t="s">
        <v>319</v>
      </c>
      <c r="D242" s="907" t="s">
        <v>1682</v>
      </c>
      <c r="E242" s="929"/>
      <c r="F242" s="938" t="s">
        <v>494</v>
      </c>
      <c r="G242" s="939" t="s">
        <v>495</v>
      </c>
      <c r="H242" s="932">
        <v>2375</v>
      </c>
      <c r="I242" s="908">
        <f t="shared" si="18"/>
        <v>2375</v>
      </c>
      <c r="J242" s="908">
        <f t="shared" si="19"/>
        <v>0</v>
      </c>
      <c r="K242"/>
      <c r="L242"/>
    </row>
    <row r="243" spans="1:13" s="907" customFormat="1" ht="13.5" outlineLevel="1" thickBot="1">
      <c r="A243" s="753" t="s">
        <v>496</v>
      </c>
      <c r="B243" s="753" t="s">
        <v>158</v>
      </c>
      <c r="C243" s="753" t="s">
        <v>497</v>
      </c>
      <c r="D243" s="753"/>
      <c r="E243" s="929"/>
      <c r="F243" s="938" t="s">
        <v>498</v>
      </c>
      <c r="G243" s="939" t="s">
        <v>499</v>
      </c>
      <c r="H243" s="932">
        <v>3100</v>
      </c>
      <c r="I243" s="908">
        <f t="shared" si="18"/>
        <v>3100</v>
      </c>
      <c r="J243" s="908">
        <f t="shared" si="19"/>
        <v>0</v>
      </c>
      <c r="K243"/>
      <c r="L243"/>
    </row>
    <row r="244" spans="1:13" ht="13.5" outlineLevel="2" thickBot="1">
      <c r="A244" s="753" t="str">
        <f>B244&amp;C244&amp;D244</f>
        <v>O&amp;M Mobilization BudgetO&amp;M Mobilization Fee</v>
      </c>
      <c r="B244" s="753" t="s">
        <v>158</v>
      </c>
      <c r="C244" s="753" t="s">
        <v>497</v>
      </c>
      <c r="E244" s="929"/>
      <c r="F244" s="938" t="s">
        <v>500</v>
      </c>
      <c r="G244" s="939" t="s">
        <v>501</v>
      </c>
      <c r="H244" s="932"/>
      <c r="I244" s="908">
        <f t="shared" si="18"/>
        <v>0</v>
      </c>
      <c r="J244" s="908">
        <f t="shared" si="19"/>
        <v>0</v>
      </c>
      <c r="K244"/>
      <c r="L244"/>
      <c r="M244" s="753"/>
    </row>
    <row r="245" spans="1:13" ht="13.5" outlineLevel="2" thickBot="1">
      <c r="E245" s="929"/>
      <c r="F245" s="938" t="s">
        <v>502</v>
      </c>
      <c r="G245" s="939" t="s">
        <v>487</v>
      </c>
      <c r="H245" s="932">
        <v>250</v>
      </c>
      <c r="I245" s="908">
        <f t="shared" si="18"/>
        <v>250</v>
      </c>
      <c r="J245" s="908">
        <f t="shared" si="19"/>
        <v>0</v>
      </c>
      <c r="K245"/>
      <c r="L245"/>
      <c r="M245" s="753"/>
    </row>
    <row r="246" spans="1:13" ht="13.5" outlineLevel="2" thickBot="1">
      <c r="E246" s="929"/>
      <c r="F246" s="938" t="s">
        <v>503</v>
      </c>
      <c r="G246" s="939" t="s">
        <v>460</v>
      </c>
      <c r="H246" s="932">
        <v>1000</v>
      </c>
      <c r="I246" s="908">
        <f t="shared" si="18"/>
        <v>1000</v>
      </c>
      <c r="J246" s="908">
        <f t="shared" si="19"/>
        <v>0</v>
      </c>
      <c r="K246"/>
      <c r="L246"/>
      <c r="M246" s="753"/>
    </row>
    <row r="247" spans="1:13" ht="13.5" outlineLevel="2" thickBot="1">
      <c r="E247" s="929"/>
      <c r="F247" s="938" t="s">
        <v>504</v>
      </c>
      <c r="G247" s="939" t="s">
        <v>505</v>
      </c>
      <c r="H247" s="932">
        <v>5000</v>
      </c>
      <c r="I247" s="908">
        <f t="shared" si="18"/>
        <v>5000</v>
      </c>
      <c r="J247" s="908">
        <f t="shared" si="19"/>
        <v>0</v>
      </c>
      <c r="K247"/>
      <c r="L247"/>
      <c r="M247" s="753"/>
    </row>
    <row r="248" spans="1:13" s="907" customFormat="1" ht="13.5" outlineLevel="1" thickBot="1">
      <c r="A248" s="907" t="s">
        <v>506</v>
      </c>
      <c r="B248" s="907" t="s">
        <v>158</v>
      </c>
      <c r="C248" s="907" t="s">
        <v>497</v>
      </c>
      <c r="E248" s="929" t="s">
        <v>507</v>
      </c>
      <c r="F248" s="938" t="s">
        <v>508</v>
      </c>
      <c r="G248" s="939" t="s">
        <v>509</v>
      </c>
      <c r="H248" s="932">
        <v>500</v>
      </c>
      <c r="I248" s="908">
        <f t="shared" si="18"/>
        <v>500</v>
      </c>
      <c r="J248" s="908">
        <f t="shared" si="19"/>
        <v>0</v>
      </c>
      <c r="K248"/>
      <c r="L248"/>
    </row>
    <row r="249" spans="1:13" s="907" customFormat="1" ht="13.5" outlineLevel="1" thickBot="1">
      <c r="A249" s="753" t="s">
        <v>510</v>
      </c>
      <c r="B249" s="753" t="s">
        <v>158</v>
      </c>
      <c r="C249" s="753" t="s">
        <v>511</v>
      </c>
      <c r="D249" s="753"/>
      <c r="E249" s="929"/>
      <c r="F249" s="938" t="s">
        <v>512</v>
      </c>
      <c r="G249" s="939" t="s">
        <v>505</v>
      </c>
      <c r="H249" s="932">
        <v>5000</v>
      </c>
      <c r="I249" s="908">
        <f t="shared" si="18"/>
        <v>5000</v>
      </c>
      <c r="J249" s="908">
        <f t="shared" si="19"/>
        <v>0</v>
      </c>
      <c r="K249"/>
      <c r="L249"/>
    </row>
    <row r="250" spans="1:13" ht="13.5" outlineLevel="2" thickBot="1">
      <c r="A250" s="753" t="str">
        <f>B250&amp;C250&amp;D250</f>
        <v>O&amp;M Mobilization BudgetOwner Optional Items</v>
      </c>
      <c r="B250" s="753" t="s">
        <v>158</v>
      </c>
      <c r="C250" s="753" t="s">
        <v>511</v>
      </c>
      <c r="E250" s="929"/>
      <c r="F250" s="938" t="s">
        <v>513</v>
      </c>
      <c r="G250" s="939" t="s">
        <v>474</v>
      </c>
      <c r="H250" s="932">
        <v>1800</v>
      </c>
      <c r="I250" s="908">
        <f t="shared" si="18"/>
        <v>1800</v>
      </c>
      <c r="J250" s="908">
        <f t="shared" si="19"/>
        <v>0</v>
      </c>
      <c r="K250"/>
      <c r="L250"/>
      <c r="M250" s="753"/>
    </row>
    <row r="251" spans="1:13" ht="13.5" outlineLevel="2" thickBot="1">
      <c r="E251" s="929"/>
      <c r="F251" s="938" t="s">
        <v>514</v>
      </c>
      <c r="G251" s="939" t="s">
        <v>469</v>
      </c>
      <c r="H251" s="932">
        <v>4000</v>
      </c>
      <c r="I251" s="908">
        <f t="shared" si="18"/>
        <v>4000</v>
      </c>
      <c r="J251" s="908">
        <f t="shared" si="19"/>
        <v>0</v>
      </c>
      <c r="K251"/>
      <c r="L251"/>
      <c r="M251" s="753"/>
    </row>
    <row r="252" spans="1:13" ht="13.5" outlineLevel="2" thickBot="1">
      <c r="E252" s="929"/>
      <c r="F252" s="938" t="s">
        <v>515</v>
      </c>
      <c r="G252" s="939" t="s">
        <v>516</v>
      </c>
      <c r="H252" s="932">
        <v>8000</v>
      </c>
      <c r="I252" s="908">
        <f t="shared" si="18"/>
        <v>8000</v>
      </c>
      <c r="J252" s="908">
        <f t="shared" si="19"/>
        <v>0</v>
      </c>
      <c r="K252"/>
      <c r="L252"/>
      <c r="M252" s="753"/>
    </row>
    <row r="253" spans="1:13" ht="13.5" outlineLevel="2" thickBot="1">
      <c r="E253" s="929"/>
      <c r="F253" s="938" t="s">
        <v>517</v>
      </c>
      <c r="G253" s="939" t="s">
        <v>518</v>
      </c>
      <c r="H253" s="932">
        <v>700</v>
      </c>
      <c r="I253" s="908">
        <f t="shared" si="18"/>
        <v>700</v>
      </c>
      <c r="J253" s="908">
        <f t="shared" si="19"/>
        <v>0</v>
      </c>
      <c r="K253"/>
      <c r="L253"/>
      <c r="M253" s="753"/>
    </row>
    <row r="254" spans="1:13" s="907" customFormat="1" ht="13.5" outlineLevel="1" thickBot="1">
      <c r="A254" s="907" t="s">
        <v>519</v>
      </c>
      <c r="B254" s="907" t="s">
        <v>158</v>
      </c>
      <c r="C254" s="907" t="s">
        <v>511</v>
      </c>
      <c r="E254" s="929"/>
      <c r="F254" s="938" t="s">
        <v>520</v>
      </c>
      <c r="G254" s="939" t="s">
        <v>521</v>
      </c>
      <c r="H254" s="932">
        <v>950</v>
      </c>
      <c r="I254" s="908">
        <f t="shared" si="18"/>
        <v>950</v>
      </c>
      <c r="J254" s="908">
        <f t="shared" si="19"/>
        <v>0</v>
      </c>
      <c r="K254"/>
      <c r="L254"/>
    </row>
    <row r="255" spans="1:13" s="907" customFormat="1" ht="13.5" outlineLevel="1" thickBot="1">
      <c r="E255" s="929"/>
      <c r="F255" s="938" t="s">
        <v>522</v>
      </c>
      <c r="G255" s="939" t="s">
        <v>523</v>
      </c>
      <c r="H255" s="932">
        <v>5700</v>
      </c>
      <c r="I255" s="908">
        <f t="shared" si="18"/>
        <v>5700</v>
      </c>
      <c r="J255" s="908">
        <f t="shared" si="19"/>
        <v>0</v>
      </c>
      <c r="K255"/>
      <c r="L255"/>
    </row>
    <row r="256" spans="1:13" s="907" customFormat="1" ht="13.5" outlineLevel="1" thickBot="1">
      <c r="E256" s="929"/>
      <c r="F256" s="938" t="s">
        <v>524</v>
      </c>
      <c r="G256" s="939" t="s">
        <v>489</v>
      </c>
      <c r="H256" s="932"/>
      <c r="I256" s="908">
        <f t="shared" si="18"/>
        <v>0</v>
      </c>
      <c r="J256" s="908">
        <f t="shared" si="19"/>
        <v>0</v>
      </c>
      <c r="K256"/>
      <c r="L256"/>
    </row>
    <row r="257" spans="1:13" s="907" customFormat="1" ht="13.5" outlineLevel="1" thickBot="1">
      <c r="E257" s="929"/>
      <c r="F257" s="938" t="s">
        <v>525</v>
      </c>
      <c r="G257" s="939" t="s">
        <v>526</v>
      </c>
      <c r="H257" s="932">
        <v>700</v>
      </c>
      <c r="I257" s="908">
        <f t="shared" si="18"/>
        <v>700</v>
      </c>
      <c r="J257" s="908">
        <f t="shared" si="19"/>
        <v>0</v>
      </c>
      <c r="K257"/>
      <c r="L257"/>
    </row>
    <row r="258" spans="1:13" s="907" customFormat="1" ht="13.5" outlineLevel="1" thickBot="1">
      <c r="E258" s="929"/>
      <c r="F258" s="938" t="s">
        <v>527</v>
      </c>
      <c r="G258" s="939" t="s">
        <v>528</v>
      </c>
      <c r="H258" s="932">
        <v>1000</v>
      </c>
      <c r="I258" s="908">
        <f t="shared" si="18"/>
        <v>1000</v>
      </c>
      <c r="J258" s="908">
        <f t="shared" si="19"/>
        <v>0</v>
      </c>
      <c r="K258"/>
      <c r="L258"/>
    </row>
    <row r="259" spans="1:13" s="907" customFormat="1" ht="13.5" outlineLevel="1" thickBot="1">
      <c r="E259" s="929"/>
      <c r="F259" s="938" t="s">
        <v>529</v>
      </c>
      <c r="G259" s="939" t="s">
        <v>530</v>
      </c>
      <c r="H259" s="932"/>
      <c r="I259" s="908">
        <f t="shared" si="18"/>
        <v>0</v>
      </c>
      <c r="J259" s="908">
        <f t="shared" si="19"/>
        <v>0</v>
      </c>
      <c r="K259"/>
      <c r="L259"/>
    </row>
    <row r="260" spans="1:13" s="907" customFormat="1" ht="13.5" outlineLevel="1" thickBot="1">
      <c r="E260" s="940"/>
      <c r="F260" s="938" t="s">
        <v>531</v>
      </c>
      <c r="G260" s="939" t="s">
        <v>532</v>
      </c>
      <c r="H260" s="932">
        <v>4065</v>
      </c>
      <c r="I260" s="908">
        <f t="shared" si="18"/>
        <v>4065</v>
      </c>
      <c r="J260" s="908">
        <f t="shared" si="19"/>
        <v>0</v>
      </c>
      <c r="K260"/>
      <c r="L260"/>
    </row>
    <row r="261" spans="1:13" s="907" customFormat="1" ht="13.5" outlineLevel="1" thickBot="1">
      <c r="E261" s="940"/>
      <c r="F261" s="938" t="s">
        <v>533</v>
      </c>
      <c r="G261" s="939" t="s">
        <v>534</v>
      </c>
      <c r="H261" s="932"/>
      <c r="I261" s="908">
        <f t="shared" si="18"/>
        <v>0</v>
      </c>
      <c r="J261" s="908">
        <f t="shared" si="19"/>
        <v>0</v>
      </c>
      <c r="K261"/>
      <c r="L261"/>
    </row>
    <row r="262" spans="1:13" s="907" customFormat="1" ht="13.5" outlineLevel="1" thickBot="1">
      <c r="E262" s="929" t="s">
        <v>535</v>
      </c>
      <c r="F262" s="938" t="s">
        <v>536</v>
      </c>
      <c r="G262" s="939" t="s">
        <v>537</v>
      </c>
      <c r="H262" s="932"/>
      <c r="I262" s="908">
        <f t="shared" si="18"/>
        <v>0</v>
      </c>
      <c r="J262" s="908">
        <f t="shared" si="19"/>
        <v>0</v>
      </c>
      <c r="K262"/>
      <c r="L262"/>
    </row>
    <row r="263" spans="1:13" s="907" customFormat="1" ht="13.5" outlineLevel="1" thickBot="1">
      <c r="A263" s="753" t="s">
        <v>538</v>
      </c>
      <c r="B263" s="753" t="s">
        <v>158</v>
      </c>
      <c r="C263" s="753" t="s">
        <v>539</v>
      </c>
      <c r="D263" s="753"/>
      <c r="E263" s="929"/>
      <c r="F263" s="938" t="s">
        <v>540</v>
      </c>
      <c r="G263" s="939" t="s">
        <v>541</v>
      </c>
      <c r="H263" s="932"/>
      <c r="I263" s="908">
        <f t="shared" si="18"/>
        <v>0</v>
      </c>
      <c r="J263" s="908">
        <f t="shared" si="19"/>
        <v>0</v>
      </c>
      <c r="K263"/>
      <c r="L263"/>
    </row>
    <row r="264" spans="1:13" ht="13.5" outlineLevel="2" thickBot="1">
      <c r="A264" s="753" t="str">
        <f>B264&amp;C264&amp;D264</f>
        <v>O&amp;M Mobilization BudgetCapital, Operating and BOP Spares (1998$)</v>
      </c>
      <c r="B264" s="753" t="s">
        <v>158</v>
      </c>
      <c r="C264" s="753" t="s">
        <v>542</v>
      </c>
      <c r="E264" s="929"/>
      <c r="F264" s="938" t="s">
        <v>543</v>
      </c>
      <c r="G264" s="939" t="s">
        <v>544</v>
      </c>
      <c r="H264" s="932"/>
      <c r="I264" s="908">
        <f t="shared" si="18"/>
        <v>0</v>
      </c>
      <c r="J264" s="908">
        <f t="shared" si="19"/>
        <v>0</v>
      </c>
      <c r="K264"/>
      <c r="L264"/>
      <c r="M264" s="753"/>
    </row>
    <row r="265" spans="1:13" ht="13.5" outlineLevel="2" thickBot="1">
      <c r="E265" s="929"/>
      <c r="F265" s="938" t="s">
        <v>545</v>
      </c>
      <c r="G265" s="939" t="s">
        <v>546</v>
      </c>
      <c r="H265" s="932">
        <v>1795</v>
      </c>
      <c r="I265" s="908">
        <f t="shared" si="18"/>
        <v>1795</v>
      </c>
      <c r="J265" s="908">
        <f t="shared" si="19"/>
        <v>0</v>
      </c>
      <c r="K265"/>
      <c r="L265"/>
      <c r="M265" s="753"/>
    </row>
    <row r="266" spans="1:13" ht="13.5" outlineLevel="2" thickBot="1">
      <c r="E266" s="929"/>
      <c r="F266" s="930"/>
      <c r="G266" s="931"/>
      <c r="H266" s="932"/>
      <c r="I266" s="908">
        <f t="shared" si="18"/>
        <v>0</v>
      </c>
      <c r="J266" s="908">
        <f t="shared" si="19"/>
        <v>0</v>
      </c>
      <c r="K266"/>
      <c r="L266"/>
      <c r="M266" s="753"/>
    </row>
    <row r="267" spans="1:13" ht="13.5" outlineLevel="2" thickBot="1">
      <c r="E267" s="929" t="s">
        <v>297</v>
      </c>
      <c r="F267" s="941">
        <v>0.05</v>
      </c>
      <c r="G267" s="931"/>
      <c r="H267" s="932">
        <f>0.05*SUM(H221:H266)</f>
        <v>3657.75</v>
      </c>
      <c r="I267" s="908">
        <f t="shared" si="18"/>
        <v>3657.75</v>
      </c>
      <c r="J267" s="908">
        <f t="shared" si="19"/>
        <v>0</v>
      </c>
      <c r="K267"/>
      <c r="L267"/>
      <c r="M267" s="753"/>
    </row>
    <row r="268" spans="1:13" s="907" customFormat="1" ht="13.5" outlineLevel="1" thickBot="1">
      <c r="A268" s="907" t="s">
        <v>547</v>
      </c>
      <c r="B268" s="907" t="s">
        <v>158</v>
      </c>
      <c r="C268" s="907" t="s">
        <v>542</v>
      </c>
      <c r="E268" s="929"/>
      <c r="F268" s="930"/>
      <c r="G268" s="931"/>
      <c r="H268" s="932"/>
      <c r="I268" s="932"/>
      <c r="J268" s="932"/>
      <c r="K268"/>
      <c r="L268"/>
    </row>
    <row r="269" spans="1:13" s="907" customFormat="1" ht="13.5" thickBot="1">
      <c r="E269" s="942"/>
      <c r="F269" s="943"/>
      <c r="G269" s="944" t="s">
        <v>169</v>
      </c>
      <c r="H269" s="945">
        <f>SUBTOTAL(9,H221:H268)</f>
        <v>76812.75</v>
      </c>
      <c r="I269" s="945">
        <f>SUBTOTAL(9,I221:I268)</f>
        <v>76812.75</v>
      </c>
      <c r="J269" s="945"/>
      <c r="K269"/>
      <c r="L269"/>
    </row>
    <row r="270" spans="1:13" ht="13.5" thickBot="1">
      <c r="E270" s="920" t="s">
        <v>1682</v>
      </c>
      <c r="F270" s="921"/>
      <c r="G270" s="922"/>
      <c r="H270" s="905"/>
      <c r="I270" s="905"/>
      <c r="J270" s="905"/>
      <c r="K270" s="907"/>
    </row>
    <row r="271" spans="1:13" ht="13.5" thickBot="1">
      <c r="E271" s="799" t="s">
        <v>548</v>
      </c>
      <c r="F271" s="762" t="s">
        <v>549</v>
      </c>
      <c r="G271" s="796"/>
      <c r="H271" s="908">
        <v>10000</v>
      </c>
      <c r="I271" s="908">
        <f>H271</f>
        <v>10000</v>
      </c>
      <c r="J271" s="908">
        <f>H271-I271</f>
        <v>0</v>
      </c>
    </row>
    <row r="272" spans="1:13" ht="13.5" thickBot="1">
      <c r="E272" s="799"/>
      <c r="F272" s="762"/>
      <c r="G272" s="796"/>
      <c r="H272" s="908"/>
      <c r="I272" s="908">
        <f>H272</f>
        <v>0</v>
      </c>
      <c r="J272" s="908">
        <f>H272-I272</f>
        <v>0</v>
      </c>
    </row>
    <row r="273" spans="5:11" ht="13.5" thickBot="1">
      <c r="E273" s="799" t="s">
        <v>297</v>
      </c>
      <c r="F273" s="762" t="s">
        <v>550</v>
      </c>
      <c r="G273" s="796"/>
      <c r="H273" s="908">
        <f>0.05*H271</f>
        <v>500</v>
      </c>
      <c r="I273" s="908">
        <f>H273</f>
        <v>500</v>
      </c>
      <c r="J273" s="908">
        <f>H273-I273</f>
        <v>0</v>
      </c>
    </row>
    <row r="274" spans="5:11" ht="13.5" thickBot="1">
      <c r="E274" s="799"/>
      <c r="F274" s="762"/>
      <c r="G274" s="796"/>
      <c r="H274" s="908"/>
      <c r="I274" s="908"/>
      <c r="J274" s="908"/>
    </row>
    <row r="275" spans="5:11" ht="13.5" thickBot="1">
      <c r="E275" s="799"/>
      <c r="F275" s="762"/>
      <c r="G275" s="909" t="s">
        <v>169</v>
      </c>
      <c r="H275" s="910">
        <f>SUBTOTAL(9,H271:H274)</f>
        <v>10500</v>
      </c>
      <c r="I275" s="910">
        <f>SUBTOTAL(9,I271:I274)</f>
        <v>10500</v>
      </c>
      <c r="J275" s="910">
        <f>SUBTOTAL(9,J271:J274)</f>
        <v>0</v>
      </c>
      <c r="K275" s="907"/>
    </row>
    <row r="276" spans="5:11" ht="13.5" thickBot="1">
      <c r="E276" s="920" t="s">
        <v>497</v>
      </c>
      <c r="F276" s="921"/>
      <c r="G276" s="922"/>
      <c r="H276" s="905"/>
      <c r="I276" s="905"/>
      <c r="J276" s="905"/>
      <c r="K276" s="907"/>
    </row>
    <row r="277" spans="5:11" ht="13.5" thickBot="1">
      <c r="E277" s="799" t="s">
        <v>551</v>
      </c>
      <c r="F277" s="762"/>
      <c r="G277" s="796"/>
      <c r="H277" s="908">
        <v>250000</v>
      </c>
      <c r="I277" s="908">
        <f>H277</f>
        <v>250000</v>
      </c>
      <c r="J277" s="908">
        <f>H277-I277</f>
        <v>0</v>
      </c>
    </row>
    <row r="278" spans="5:11" ht="13.5" thickBot="1">
      <c r="E278" s="799"/>
      <c r="F278" s="762"/>
      <c r="G278" s="796"/>
      <c r="H278" s="908"/>
      <c r="I278" s="908">
        <f>H278</f>
        <v>0</v>
      </c>
      <c r="J278" s="908">
        <f>H278-I278</f>
        <v>0</v>
      </c>
    </row>
    <row r="279" spans="5:11" ht="13.5" thickBot="1">
      <c r="E279" s="799"/>
      <c r="F279" s="762"/>
      <c r="G279" s="796"/>
      <c r="H279" s="908"/>
      <c r="I279" s="908">
        <f>H279</f>
        <v>0</v>
      </c>
      <c r="J279" s="908">
        <f>H279-I279</f>
        <v>0</v>
      </c>
    </row>
    <row r="280" spans="5:11" ht="13.5" thickBot="1">
      <c r="E280" s="799"/>
      <c r="F280" s="762"/>
      <c r="G280" s="796"/>
      <c r="H280" s="908"/>
      <c r="I280" s="908"/>
      <c r="J280" s="908"/>
    </row>
    <row r="281" spans="5:11" ht="13.5" thickBot="1">
      <c r="E281" s="946"/>
      <c r="F281" s="947"/>
      <c r="G281" s="909" t="s">
        <v>169</v>
      </c>
      <c r="H281" s="910">
        <f>SUBTOTAL(9,H277:H279)</f>
        <v>250000</v>
      </c>
      <c r="I281" s="910">
        <f>SUBTOTAL(9,I277:I277)</f>
        <v>250000</v>
      </c>
      <c r="J281" s="910">
        <f>SUBTOTAL(9,J277:J277)</f>
        <v>0</v>
      </c>
      <c r="K281" s="907"/>
    </row>
    <row r="282" spans="5:11" ht="13.5" thickBot="1">
      <c r="E282" s="920" t="s">
        <v>1636</v>
      </c>
      <c r="F282" s="921"/>
      <c r="G282" s="922"/>
      <c r="H282" s="905"/>
      <c r="I282" s="905"/>
      <c r="J282" s="905"/>
      <c r="K282" s="907"/>
    </row>
    <row r="283" spans="5:11" ht="13.5" thickBot="1">
      <c r="E283" s="799" t="s">
        <v>552</v>
      </c>
      <c r="F283" s="762"/>
      <c r="G283" s="948"/>
      <c r="H283" s="949"/>
      <c r="I283" s="908">
        <f>H283</f>
        <v>0</v>
      </c>
      <c r="J283" s="908">
        <f>H283-I283</f>
        <v>0</v>
      </c>
    </row>
    <row r="284" spans="5:11" ht="13.5" thickBot="1">
      <c r="E284" s="799"/>
      <c r="F284" s="762"/>
      <c r="G284" s="948"/>
      <c r="H284" s="949"/>
      <c r="I284" s="908">
        <f>H284</f>
        <v>0</v>
      </c>
      <c r="J284" s="908">
        <f>H284-I284</f>
        <v>0</v>
      </c>
    </row>
    <row r="285" spans="5:11" ht="13.5" thickBot="1">
      <c r="E285" s="799"/>
      <c r="F285" s="762"/>
      <c r="G285" s="948"/>
      <c r="H285" s="949"/>
      <c r="I285" s="908">
        <f>H285</f>
        <v>0</v>
      </c>
      <c r="J285" s="908">
        <f>H285-I285</f>
        <v>0</v>
      </c>
    </row>
    <row r="286" spans="5:11" ht="13.5" thickBot="1">
      <c r="E286" s="799"/>
      <c r="F286" s="762"/>
      <c r="G286" s="796"/>
      <c r="H286" s="908"/>
      <c r="I286" s="908"/>
      <c r="J286" s="908"/>
    </row>
    <row r="287" spans="5:11" ht="13.5" thickBot="1">
      <c r="E287" s="799"/>
      <c r="F287" s="762"/>
      <c r="G287" s="909" t="s">
        <v>169</v>
      </c>
      <c r="H287" s="950"/>
      <c r="I287" s="910">
        <f>SUBTOTAL(9,I283:I283)</f>
        <v>0</v>
      </c>
      <c r="J287" s="910">
        <f>SUBTOTAL(9,J283:J283)</f>
        <v>0</v>
      </c>
      <c r="K287" s="907"/>
    </row>
    <row r="288" spans="5:11" ht="13.5" thickBot="1">
      <c r="E288" s="920" t="s">
        <v>553</v>
      </c>
      <c r="F288" s="921"/>
      <c r="G288" s="922"/>
      <c r="H288" s="905"/>
      <c r="I288" s="905"/>
      <c r="J288" s="905"/>
      <c r="K288" s="907"/>
    </row>
    <row r="289" spans="5:11" ht="13.5" thickBot="1">
      <c r="E289" s="799" t="s">
        <v>554</v>
      </c>
      <c r="F289" s="762"/>
      <c r="G289" s="796"/>
      <c r="H289" s="908">
        <v>0</v>
      </c>
      <c r="I289" s="908">
        <f>H289</f>
        <v>0</v>
      </c>
      <c r="J289" s="908">
        <f>H289-I289</f>
        <v>0</v>
      </c>
      <c r="K289" s="907"/>
    </row>
    <row r="290" spans="5:11" ht="13.5" thickBot="1">
      <c r="E290" s="799"/>
      <c r="F290" s="762"/>
      <c r="G290" s="796"/>
      <c r="H290" s="908"/>
      <c r="I290" s="910"/>
      <c r="J290" s="910"/>
      <c r="K290" s="907"/>
    </row>
    <row r="291" spans="5:11" ht="13.5" thickBot="1">
      <c r="E291" s="799"/>
      <c r="F291" s="762"/>
      <c r="G291" s="909" t="s">
        <v>169</v>
      </c>
      <c r="H291" s="910">
        <f>SUBTOTAL(9,H289:H290)</f>
        <v>0</v>
      </c>
      <c r="I291" s="910">
        <f>SUBTOTAL(9,I289:I290)</f>
        <v>0</v>
      </c>
      <c r="J291" s="910">
        <f>SUBTOTAL(9,J289:J290)</f>
        <v>0</v>
      </c>
      <c r="K291" s="907"/>
    </row>
    <row r="292" spans="5:11" ht="13.5" thickBot="1">
      <c r="E292" s="920" t="s">
        <v>555</v>
      </c>
      <c r="F292" s="921"/>
      <c r="G292" s="922"/>
      <c r="H292" s="905"/>
      <c r="I292" s="905"/>
      <c r="J292" s="905"/>
      <c r="K292" s="907"/>
    </row>
    <row r="293" spans="5:11" ht="13.5" thickBot="1">
      <c r="E293" s="799" t="s">
        <v>554</v>
      </c>
      <c r="F293" s="762"/>
      <c r="G293" s="796"/>
      <c r="H293" s="908" t="s">
        <v>1631</v>
      </c>
      <c r="I293" s="908" t="str">
        <f>H293</f>
        <v>NA</v>
      </c>
      <c r="J293" s="908" t="e">
        <f>H293-I293</f>
        <v>#VALUE!</v>
      </c>
      <c r="K293" s="907"/>
    </row>
    <row r="294" spans="5:11" ht="13.5" thickBot="1">
      <c r="E294" s="799"/>
      <c r="F294" s="762"/>
      <c r="G294" s="796"/>
      <c r="H294" s="908"/>
      <c r="I294" s="910"/>
      <c r="J294" s="910"/>
      <c r="K294" s="907"/>
    </row>
    <row r="295" spans="5:11" ht="13.5" thickBot="1">
      <c r="E295" s="799"/>
      <c r="F295" s="762"/>
      <c r="G295" s="909" t="s">
        <v>169</v>
      </c>
      <c r="H295" s="910" t="s">
        <v>1631</v>
      </c>
      <c r="I295" s="910">
        <f>SUBTOTAL(9,I293:I294)</f>
        <v>0</v>
      </c>
      <c r="J295" s="910" t="e">
        <f>SUBTOTAL(9,J293:J294)</f>
        <v>#VALUE!</v>
      </c>
      <c r="K295" s="907"/>
    </row>
    <row r="296" spans="5:11" ht="13.5" thickBot="1">
      <c r="E296" s="920" t="s">
        <v>556</v>
      </c>
      <c r="F296" s="921"/>
      <c r="G296" s="922"/>
      <c r="H296" s="905"/>
      <c r="I296" s="905"/>
      <c r="J296" s="905"/>
      <c r="K296" s="907"/>
    </row>
    <row r="297" spans="5:11" ht="13.5" thickBot="1">
      <c r="E297" s="799" t="s">
        <v>557</v>
      </c>
      <c r="F297" s="762"/>
      <c r="G297" s="796"/>
      <c r="H297" s="908">
        <v>1300000</v>
      </c>
      <c r="I297" s="908">
        <f>H297</f>
        <v>1300000</v>
      </c>
      <c r="J297" s="908">
        <f>H297-I297</f>
        <v>0</v>
      </c>
    </row>
    <row r="298" spans="5:11" ht="13.5" thickBot="1">
      <c r="E298" s="799" t="s">
        <v>558</v>
      </c>
      <c r="F298" s="762"/>
      <c r="G298" s="796"/>
      <c r="H298" s="908">
        <v>25000</v>
      </c>
      <c r="I298" s="908">
        <f>H298</f>
        <v>25000</v>
      </c>
      <c r="J298" s="908">
        <f>H298-I298</f>
        <v>0</v>
      </c>
    </row>
    <row r="299" spans="5:11" ht="13.5" thickBot="1">
      <c r="E299" s="799" t="s">
        <v>559</v>
      </c>
      <c r="F299" s="762"/>
      <c r="G299" s="796"/>
      <c r="H299" s="908">
        <f>SUM(H297:H298)*0.0125</f>
        <v>16562.5</v>
      </c>
      <c r="I299" s="908">
        <f>H299</f>
        <v>16562.5</v>
      </c>
      <c r="J299" s="908">
        <f>H299-I299</f>
        <v>0</v>
      </c>
    </row>
    <row r="300" spans="5:11" ht="13.5" thickBot="1">
      <c r="E300" s="799"/>
      <c r="F300" s="951"/>
      <c r="G300" s="796"/>
      <c r="H300" s="908"/>
      <c r="I300" s="908">
        <f>H300</f>
        <v>0</v>
      </c>
      <c r="J300" s="908">
        <f>H300-I300</f>
        <v>0</v>
      </c>
    </row>
    <row r="301" spans="5:11" ht="13.5" thickBot="1">
      <c r="E301" s="952"/>
      <c r="F301" s="953"/>
      <c r="G301" s="954" t="s">
        <v>169</v>
      </c>
      <c r="H301" s="910">
        <f>SUBTOTAL(9,H297:H300)</f>
        <v>1341562.5</v>
      </c>
      <c r="I301" s="910">
        <f>SUBTOTAL(9,I297:I300)</f>
        <v>1341562.5</v>
      </c>
      <c r="J301" s="910">
        <f>SUBTOTAL(9,J297:J300)</f>
        <v>0</v>
      </c>
      <c r="K301" s="907"/>
    </row>
    <row r="302" spans="5:11">
      <c r="E302" s="907"/>
      <c r="F302" s="907"/>
      <c r="G302" s="907"/>
      <c r="H302" s="907"/>
      <c r="I302" s="907"/>
      <c r="J302" s="907"/>
    </row>
    <row r="309" spans="2:7">
      <c r="B309" s="761"/>
      <c r="E309" s="955"/>
    </row>
    <row r="310" spans="2:7">
      <c r="B310" s="761"/>
      <c r="F310" s="955"/>
      <c r="G310" s="955"/>
    </row>
    <row r="854" spans="1:4">
      <c r="A854" s="955"/>
      <c r="B854" s="955"/>
      <c r="C854" s="955"/>
      <c r="D854" s="955"/>
    </row>
    <row r="902" spans="5:10">
      <c r="E902" s="955"/>
    </row>
    <row r="903" spans="5:10">
      <c r="F903" s="955"/>
      <c r="G903" s="955"/>
      <c r="H903" s="955"/>
      <c r="I903" s="955"/>
      <c r="J903" s="955"/>
    </row>
  </sheetData>
  <dataConsolidate/>
  <printOptions horizontalCentered="1"/>
  <pageMargins left="0.75" right="0.75" top="1" bottom="1" header="0.5" footer="0.5"/>
  <pageSetup scale="75" firstPageNumber="13" fitToHeight="5" orientation="portrait" horizontalDpi="4294967292" verticalDpi="4294967292" r:id="rId1"/>
  <headerFooter alignWithMargins="0">
    <oddHeader>&amp;CENRON PROPRIETARY 
AND  CONFIDENTIAL INFORMATION</oddHeader>
    <oddFooter>&amp;LScot Chambers
&amp;D&amp;CPage _____&amp;R&amp;F
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59"/>
  <sheetViews>
    <sheetView topLeftCell="A16" zoomScale="80" workbookViewId="0">
      <selection activeCell="D50" sqref="D50"/>
    </sheetView>
  </sheetViews>
  <sheetFormatPr defaultRowHeight="12.75"/>
  <cols>
    <col min="1" max="1" width="4.7109375" style="816" customWidth="1"/>
    <col min="2" max="2" width="49.85546875" style="816" customWidth="1"/>
    <col min="3" max="3" width="9.5703125" style="816" customWidth="1"/>
    <col min="4" max="5" width="11.42578125" style="816" customWidth="1"/>
    <col min="6" max="6" width="10.28515625" style="816" bestFit="1" customWidth="1"/>
    <col min="7" max="7" width="11.85546875" style="816" customWidth="1"/>
    <col min="8" max="8" width="9.140625" style="816"/>
    <col min="9" max="10" width="9.140625" style="817"/>
    <col min="11" max="11" width="10.85546875" style="817" hidden="1" customWidth="1"/>
    <col min="12" max="12" width="9.85546875" style="817" hidden="1" customWidth="1"/>
    <col min="13" max="14" width="9.140625" style="817" hidden="1" customWidth="1"/>
    <col min="15" max="16384" width="9.140625" style="817"/>
  </cols>
  <sheetData>
    <row r="1" spans="1:42" ht="15.75">
      <c r="A1" s="1174" t="str">
        <f>Scope!A1</f>
        <v>Plano, Illinois 6 x LM6000 Power Project, Rev 0</v>
      </c>
      <c r="B1" s="1174"/>
      <c r="C1" s="1174"/>
      <c r="D1" s="1174"/>
      <c r="E1" s="1174"/>
      <c r="F1" s="1174"/>
      <c r="G1" s="1174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  <c r="AL1" s="755"/>
      <c r="AM1" s="755"/>
      <c r="AN1" s="755"/>
      <c r="AO1" s="755"/>
      <c r="AP1" s="755"/>
    </row>
    <row r="2" spans="1:42" ht="15.75">
      <c r="A2" s="1174" t="s">
        <v>560</v>
      </c>
      <c r="B2" s="1174"/>
      <c r="C2" s="1174"/>
      <c r="D2" s="1174"/>
      <c r="E2" s="1174"/>
      <c r="F2" s="1174"/>
      <c r="G2" s="1174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  <c r="AL2" s="755"/>
      <c r="AM2" s="755"/>
      <c r="AN2" s="755"/>
      <c r="AO2" s="755"/>
      <c r="AP2" s="755"/>
    </row>
    <row r="3" spans="1:42" ht="13.5" thickBot="1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  <c r="AL3" s="755"/>
      <c r="AM3" s="755"/>
      <c r="AN3" s="755"/>
      <c r="AO3" s="755"/>
      <c r="AP3" s="755"/>
    </row>
    <row r="4" spans="1:42" ht="13.5" thickBot="1">
      <c r="A4" s="755"/>
      <c r="B4" s="758"/>
      <c r="C4" s="758"/>
      <c r="D4" s="1171" t="s">
        <v>561</v>
      </c>
      <c r="E4" s="1172"/>
      <c r="F4" s="1172"/>
      <c r="G4" s="1173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  <c r="AF4" s="755"/>
      <c r="AG4" s="755"/>
      <c r="AH4" s="755"/>
      <c r="AI4" s="755"/>
      <c r="AJ4" s="755"/>
      <c r="AK4" s="755"/>
      <c r="AL4" s="755"/>
      <c r="AM4" s="755"/>
      <c r="AN4" s="755"/>
      <c r="AO4" s="755"/>
      <c r="AP4" s="755"/>
    </row>
    <row r="5" spans="1:42">
      <c r="A5" s="755"/>
      <c r="B5" s="758"/>
      <c r="C5" s="758"/>
      <c r="D5" s="702"/>
      <c r="E5" s="956"/>
      <c r="F5" s="786" t="s">
        <v>1639</v>
      </c>
      <c r="G5" s="786" t="s">
        <v>1640</v>
      </c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  <c r="AF5" s="755"/>
      <c r="AG5" s="755"/>
      <c r="AH5" s="755"/>
      <c r="AI5" s="755"/>
      <c r="AJ5" s="755"/>
      <c r="AK5" s="755"/>
      <c r="AL5" s="755"/>
      <c r="AM5" s="755"/>
      <c r="AN5" s="755"/>
      <c r="AO5" s="755"/>
      <c r="AP5" s="755"/>
    </row>
    <row r="6" spans="1:42" ht="13.5" thickBot="1">
      <c r="A6" s="755"/>
      <c r="B6" s="758"/>
      <c r="C6" s="957"/>
      <c r="D6" s="958" t="s">
        <v>1641</v>
      </c>
      <c r="E6" s="789" t="s">
        <v>1642</v>
      </c>
      <c r="F6" s="789" t="s">
        <v>1643</v>
      </c>
      <c r="G6" s="789" t="s">
        <v>1643</v>
      </c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  <c r="AF6" s="755"/>
      <c r="AG6" s="755"/>
      <c r="AH6" s="755"/>
      <c r="AI6" s="755"/>
      <c r="AJ6" s="755"/>
      <c r="AK6" s="755"/>
      <c r="AL6" s="755"/>
      <c r="AM6" s="755"/>
      <c r="AN6" s="755"/>
      <c r="AO6" s="755"/>
      <c r="AP6" s="755"/>
    </row>
    <row r="7" spans="1:42">
      <c r="A7" s="761"/>
      <c r="B7" s="762"/>
      <c r="C7" s="762"/>
      <c r="D7" s="764"/>
      <c r="E7" s="793"/>
      <c r="F7" s="793"/>
      <c r="G7" s="793"/>
      <c r="H7" s="753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  <c r="AF7" s="755"/>
      <c r="AG7" s="755"/>
      <c r="AH7" s="755"/>
      <c r="AI7" s="755"/>
      <c r="AJ7" s="755"/>
      <c r="AK7" s="755"/>
      <c r="AL7" s="755"/>
      <c r="AM7" s="755"/>
      <c r="AN7" s="755"/>
      <c r="AO7" s="755"/>
      <c r="AP7" s="755"/>
    </row>
    <row r="8" spans="1:42">
      <c r="A8" s="767" t="s">
        <v>1219</v>
      </c>
      <c r="B8" s="762"/>
      <c r="C8" s="763"/>
      <c r="D8" s="824">
        <f>'O&amp;M_Backup'!D13</f>
        <v>723989.44980000006</v>
      </c>
      <c r="E8" s="959">
        <f>D8</f>
        <v>723989.44980000006</v>
      </c>
      <c r="F8" s="959">
        <f>(D8+2*E8)/3</f>
        <v>723989.44980000006</v>
      </c>
      <c r="G8" s="959">
        <f>(D8+19*E8)/20</f>
        <v>723989.44980000006</v>
      </c>
      <c r="H8" s="753" t="s">
        <v>562</v>
      </c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  <c r="AF8" s="755"/>
      <c r="AG8" s="755"/>
      <c r="AH8" s="755"/>
      <c r="AI8" s="755"/>
      <c r="AJ8" s="755"/>
      <c r="AK8" s="755"/>
      <c r="AL8" s="755"/>
      <c r="AM8" s="755"/>
      <c r="AN8" s="755"/>
      <c r="AO8" s="755"/>
      <c r="AP8" s="755"/>
    </row>
    <row r="9" spans="1:42">
      <c r="A9" s="761"/>
      <c r="B9" s="762"/>
      <c r="C9" s="887"/>
      <c r="D9" s="825"/>
      <c r="E9" s="796"/>
      <c r="F9" s="796"/>
      <c r="G9" s="796"/>
      <c r="H9" s="753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  <c r="AF9" s="755"/>
      <c r="AG9" s="755"/>
      <c r="AH9" s="755"/>
      <c r="AI9" s="755"/>
      <c r="AJ9" s="755"/>
      <c r="AK9" s="755"/>
      <c r="AL9" s="755"/>
      <c r="AM9" s="755"/>
      <c r="AN9" s="755"/>
      <c r="AO9" s="755"/>
      <c r="AP9" s="755"/>
    </row>
    <row r="10" spans="1:42">
      <c r="A10" s="761" t="s">
        <v>563</v>
      </c>
      <c r="B10"/>
      <c r="C10" s="887"/>
      <c r="D10" s="824"/>
      <c r="E10" s="959"/>
      <c r="F10" s="959"/>
      <c r="G10" s="959"/>
      <c r="H10" s="753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  <c r="AF10" s="755"/>
      <c r="AG10" s="755"/>
      <c r="AH10" s="755"/>
      <c r="AI10" s="755"/>
      <c r="AJ10" s="755"/>
      <c r="AK10" s="755"/>
      <c r="AL10" s="755"/>
      <c r="AM10" s="755"/>
      <c r="AN10" s="755"/>
      <c r="AO10" s="755"/>
      <c r="AP10" s="755"/>
    </row>
    <row r="11" spans="1:42">
      <c r="A11" s="753"/>
      <c r="B11" s="762" t="str">
        <f>'O&amp;M_Backup'!A14</f>
        <v>Employee Expenses</v>
      </c>
      <c r="C11" s="763"/>
      <c r="D11" s="824">
        <f>'O&amp;M_Backup'!D22</f>
        <v>25750</v>
      </c>
      <c r="E11" s="959">
        <f t="shared" ref="E11:E19" si="0">D11</f>
        <v>25750</v>
      </c>
      <c r="F11" s="959">
        <f t="shared" ref="F11:F20" si="1">(D11+2*E11)/3</f>
        <v>25750</v>
      </c>
      <c r="G11" s="959">
        <f t="shared" ref="G11:G20" si="2">(D11+19*E11)/20</f>
        <v>25750</v>
      </c>
      <c r="H11" s="753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  <c r="AF11" s="755"/>
      <c r="AG11" s="755"/>
      <c r="AH11" s="755"/>
      <c r="AI11" s="755"/>
      <c r="AJ11" s="755"/>
      <c r="AK11" s="755"/>
      <c r="AL11" s="755"/>
      <c r="AM11" s="755"/>
      <c r="AN11" s="755"/>
      <c r="AO11" s="755"/>
      <c r="AP11" s="755"/>
    </row>
    <row r="12" spans="1:42">
      <c r="A12" s="753"/>
      <c r="B12" s="762" t="str">
        <f>'O&amp;M_Backup'!A23</f>
        <v>Permanent Contract Labor</v>
      </c>
      <c r="C12" s="763"/>
      <c r="D12" s="824">
        <f>'O&amp;M_Backup'!D30</f>
        <v>30900</v>
      </c>
      <c r="E12" s="959">
        <f t="shared" si="0"/>
        <v>30900</v>
      </c>
      <c r="F12" s="959">
        <f t="shared" si="1"/>
        <v>30900</v>
      </c>
      <c r="G12" s="959">
        <f t="shared" si="2"/>
        <v>30900</v>
      </c>
      <c r="H12" s="753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  <c r="AF12" s="755"/>
      <c r="AG12" s="755"/>
      <c r="AH12" s="755"/>
      <c r="AI12" s="755"/>
      <c r="AJ12" s="755"/>
      <c r="AK12" s="755"/>
      <c r="AL12" s="755"/>
      <c r="AM12" s="755"/>
      <c r="AN12" s="755"/>
      <c r="AO12" s="755"/>
      <c r="AP12" s="755"/>
    </row>
    <row r="13" spans="1:42">
      <c r="A13" s="753"/>
      <c r="B13" s="762" t="str">
        <f>'O&amp;M_Backup'!A31</f>
        <v xml:space="preserve">Environmental Expense </v>
      </c>
      <c r="C13" s="763"/>
      <c r="D13" s="824">
        <f>'O&amp;M_Backup'!D41</f>
        <v>74500</v>
      </c>
      <c r="E13" s="959">
        <f t="shared" si="0"/>
        <v>74500</v>
      </c>
      <c r="F13" s="959">
        <f t="shared" si="1"/>
        <v>74500</v>
      </c>
      <c r="G13" s="959">
        <f t="shared" si="2"/>
        <v>74500</v>
      </c>
      <c r="H13" s="753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  <c r="AF13" s="755"/>
      <c r="AG13" s="755"/>
      <c r="AH13" s="755"/>
      <c r="AI13" s="755"/>
      <c r="AJ13" s="755"/>
      <c r="AK13" s="755"/>
      <c r="AL13" s="755"/>
      <c r="AM13" s="755"/>
      <c r="AN13" s="755"/>
      <c r="AO13" s="755"/>
      <c r="AP13" s="755"/>
    </row>
    <row r="14" spans="1:42">
      <c r="A14" s="753"/>
      <c r="B14" s="762" t="str">
        <f>'O&amp;M_Backup'!A42</f>
        <v>Safety Expense</v>
      </c>
      <c r="C14" s="763"/>
      <c r="D14" s="824">
        <f>'O&amp;M_Backup'!D50</f>
        <v>10000</v>
      </c>
      <c r="E14" s="959">
        <f t="shared" si="0"/>
        <v>10000</v>
      </c>
      <c r="F14" s="959">
        <f t="shared" si="1"/>
        <v>10000</v>
      </c>
      <c r="G14" s="959">
        <f t="shared" si="2"/>
        <v>10000</v>
      </c>
      <c r="H14" s="753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  <c r="AF14" s="755"/>
      <c r="AG14" s="755"/>
      <c r="AH14" s="755"/>
      <c r="AI14" s="755"/>
      <c r="AJ14" s="755"/>
      <c r="AK14" s="755"/>
      <c r="AL14" s="755"/>
      <c r="AM14" s="755"/>
      <c r="AN14" s="755"/>
      <c r="AO14" s="755"/>
      <c r="AP14" s="755"/>
    </row>
    <row r="15" spans="1:42">
      <c r="A15" s="753"/>
      <c r="B15" s="762" t="str">
        <f>'O&amp;M_Backup'!A51</f>
        <v>Buildings &amp; Grounds</v>
      </c>
      <c r="C15" s="763"/>
      <c r="D15" s="824">
        <f>'O&amp;M_Backup'!D61</f>
        <v>17719.584585820732</v>
      </c>
      <c r="E15" s="959">
        <f t="shared" si="0"/>
        <v>17719.584585820732</v>
      </c>
      <c r="F15" s="959">
        <f t="shared" si="1"/>
        <v>17719.584585820732</v>
      </c>
      <c r="G15" s="959">
        <f t="shared" si="2"/>
        <v>17719.584585820732</v>
      </c>
      <c r="H15" s="753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  <c r="AF15" s="755"/>
      <c r="AG15" s="755"/>
      <c r="AH15" s="755"/>
      <c r="AI15" s="755"/>
      <c r="AJ15" s="755"/>
      <c r="AK15" s="755"/>
      <c r="AL15" s="755"/>
      <c r="AM15" s="755"/>
      <c r="AN15" s="755"/>
      <c r="AO15" s="755"/>
      <c r="AP15" s="755"/>
    </row>
    <row r="16" spans="1:42">
      <c r="A16" s="753"/>
      <c r="B16" s="762" t="str">
        <f>'O&amp;M_Backup'!A62</f>
        <v>Other Supplies &amp; Expenses</v>
      </c>
      <c r="C16" s="763"/>
      <c r="D16" s="824">
        <f>'O&amp;M_Backup'!D92</f>
        <v>56580</v>
      </c>
      <c r="E16" s="959">
        <f t="shared" si="0"/>
        <v>56580</v>
      </c>
      <c r="F16" s="959">
        <f t="shared" si="1"/>
        <v>56580</v>
      </c>
      <c r="G16" s="959">
        <f t="shared" si="2"/>
        <v>56580</v>
      </c>
      <c r="H16" s="753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  <c r="AF16" s="755"/>
      <c r="AG16" s="755"/>
      <c r="AH16" s="755"/>
      <c r="AI16" s="755"/>
      <c r="AJ16" s="755"/>
      <c r="AK16" s="755"/>
      <c r="AL16" s="755"/>
      <c r="AM16" s="755"/>
      <c r="AN16" s="755"/>
      <c r="AO16" s="755"/>
      <c r="AP16" s="755"/>
    </row>
    <row r="17" spans="1:42">
      <c r="A17" s="753"/>
      <c r="B17" s="762" t="str">
        <f>'O&amp;M_Backup'!A93</f>
        <v>Communications</v>
      </c>
      <c r="C17" s="763"/>
      <c r="D17" s="824">
        <f>'O&amp;M_Backup'!D97</f>
        <v>9960</v>
      </c>
      <c r="E17" s="959">
        <f t="shared" si="0"/>
        <v>9960</v>
      </c>
      <c r="F17" s="959">
        <f t="shared" si="1"/>
        <v>9960</v>
      </c>
      <c r="G17" s="959">
        <f t="shared" si="2"/>
        <v>9960</v>
      </c>
      <c r="H17" s="753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  <c r="AF17" s="755"/>
      <c r="AG17" s="755"/>
      <c r="AH17" s="755"/>
      <c r="AI17" s="755"/>
      <c r="AJ17" s="755"/>
      <c r="AK17" s="755"/>
      <c r="AL17" s="755"/>
      <c r="AM17" s="755"/>
      <c r="AN17" s="755"/>
      <c r="AO17" s="755"/>
      <c r="AP17" s="755"/>
    </row>
    <row r="18" spans="1:42" ht="12.75" customHeight="1">
      <c r="A18" s="753"/>
      <c r="B18" s="740" t="str">
        <f>'O&amp;M_Backup'!A98</f>
        <v>Insurance</v>
      </c>
      <c r="C18" s="763"/>
      <c r="D18" s="824">
        <f ca="1">'O&amp;M_Backup'!D103</f>
        <v>4537.1914240118986</v>
      </c>
      <c r="E18" s="959">
        <f t="shared" ca="1" si="0"/>
        <v>4537.1914240118986</v>
      </c>
      <c r="F18" s="959">
        <f t="shared" ca="1" si="1"/>
        <v>4537.1914240118986</v>
      </c>
      <c r="G18" s="959">
        <f t="shared" ca="1" si="2"/>
        <v>4537.1914240118986</v>
      </c>
      <c r="H18" s="753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  <c r="AF18" s="755"/>
      <c r="AG18" s="755"/>
      <c r="AH18" s="755"/>
      <c r="AI18" s="755"/>
      <c r="AJ18" s="755"/>
      <c r="AK18" s="755"/>
      <c r="AL18" s="755"/>
      <c r="AM18" s="755"/>
      <c r="AN18" s="755"/>
      <c r="AO18" s="755"/>
      <c r="AP18" s="755"/>
    </row>
    <row r="19" spans="1:42" ht="12.75" customHeight="1">
      <c r="A19" s="753"/>
      <c r="B19" s="762" t="str">
        <f>'O&amp;M_Backup'!A104</f>
        <v>Control Room/Laboratory Expenses</v>
      </c>
      <c r="C19" s="763"/>
      <c r="D19" s="824">
        <f>'O&amp;M_Backup'!D113</f>
        <v>5490</v>
      </c>
      <c r="E19" s="959">
        <f t="shared" si="0"/>
        <v>5490</v>
      </c>
      <c r="F19" s="959">
        <f t="shared" si="1"/>
        <v>5490</v>
      </c>
      <c r="G19" s="959">
        <f t="shared" si="2"/>
        <v>5490</v>
      </c>
      <c r="H19" s="753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  <c r="AF19" s="755"/>
      <c r="AG19" s="755"/>
      <c r="AH19" s="755"/>
      <c r="AI19" s="755"/>
      <c r="AJ19" s="755"/>
      <c r="AK19" s="755"/>
      <c r="AL19" s="755"/>
      <c r="AM19" s="755"/>
      <c r="AN19" s="755"/>
      <c r="AO19" s="755"/>
      <c r="AP19" s="755"/>
    </row>
    <row r="20" spans="1:42">
      <c r="A20" s="753"/>
      <c r="B20" s="762" t="str">
        <f>'O&amp;M_Backup'!A114</f>
        <v>Operations Support (Year 1 Only)</v>
      </c>
      <c r="C20" s="763"/>
      <c r="D20" s="824">
        <f>'O&amp;M_Backup'!D120</f>
        <v>15250</v>
      </c>
      <c r="E20" s="959">
        <v>0</v>
      </c>
      <c r="F20" s="959">
        <f t="shared" si="1"/>
        <v>5083.333333333333</v>
      </c>
      <c r="G20" s="959">
        <f t="shared" si="2"/>
        <v>762.5</v>
      </c>
      <c r="H20" s="753"/>
      <c r="I20" s="755"/>
      <c r="J20" s="755"/>
      <c r="K20" s="755" t="s">
        <v>564</v>
      </c>
      <c r="M20" s="755"/>
      <c r="N20" s="755" t="s">
        <v>565</v>
      </c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  <c r="AF20" s="755"/>
      <c r="AG20" s="755"/>
      <c r="AH20" s="755"/>
      <c r="AI20" s="755"/>
      <c r="AJ20" s="755"/>
      <c r="AK20" s="755"/>
      <c r="AL20" s="755"/>
      <c r="AM20" s="755"/>
      <c r="AN20" s="755"/>
      <c r="AO20" s="755"/>
      <c r="AP20" s="755"/>
    </row>
    <row r="21" spans="1:42" ht="12.75" customHeight="1">
      <c r="A21" s="753"/>
      <c r="B21" s="762"/>
      <c r="C21" s="763"/>
      <c r="D21" s="825"/>
      <c r="E21" s="796"/>
      <c r="F21" s="796"/>
      <c r="G21" s="796"/>
      <c r="H21" s="753"/>
      <c r="I21" s="755"/>
      <c r="J21" s="755"/>
      <c r="K21" s="755" t="s">
        <v>566</v>
      </c>
      <c r="L21" s="755"/>
      <c r="N21" s="755" t="s">
        <v>567</v>
      </c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  <c r="AF21" s="755"/>
      <c r="AG21" s="755"/>
      <c r="AH21" s="755"/>
      <c r="AI21" s="755"/>
      <c r="AJ21" s="755"/>
      <c r="AK21" s="755"/>
      <c r="AL21" s="755"/>
      <c r="AM21" s="755"/>
      <c r="AN21" s="755"/>
      <c r="AO21" s="755"/>
      <c r="AP21" s="755"/>
    </row>
    <row r="22" spans="1:42" ht="12.75" customHeight="1">
      <c r="A22" s="753"/>
      <c r="B22" s="767" t="s">
        <v>568</v>
      </c>
      <c r="C22" s="770"/>
      <c r="D22" s="824">
        <f ca="1">SUBTOTAL(9,D11:D20)</f>
        <v>250686.77600983263</v>
      </c>
      <c r="E22" s="824">
        <f ca="1">SUBTOTAL(9,E11:E20)</f>
        <v>235436.77600983263</v>
      </c>
      <c r="F22" s="824">
        <f ca="1">SUBTOTAL(9,F11:F20)</f>
        <v>240520.10934316597</v>
      </c>
      <c r="G22" s="824">
        <f ca="1">SUBTOTAL(9,G11:G20)</f>
        <v>236199.27600983263</v>
      </c>
      <c r="H22" s="753" t="s">
        <v>562</v>
      </c>
      <c r="I22" s="755"/>
      <c r="J22" s="755"/>
      <c r="K22" s="755" t="s">
        <v>569</v>
      </c>
      <c r="L22" s="755"/>
      <c r="M22" s="755"/>
      <c r="N22" s="755" t="s">
        <v>570</v>
      </c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  <c r="AF22" s="755"/>
      <c r="AG22" s="755"/>
      <c r="AH22" s="755"/>
      <c r="AI22" s="755"/>
      <c r="AJ22" s="755"/>
      <c r="AK22" s="755"/>
      <c r="AL22" s="755"/>
      <c r="AM22" s="755"/>
      <c r="AN22" s="755"/>
      <c r="AO22" s="755"/>
      <c r="AP22" s="755"/>
    </row>
    <row r="23" spans="1:42" ht="12.75" customHeight="1">
      <c r="A23" s="753"/>
      <c r="B23" s="762"/>
      <c r="C23" s="763"/>
      <c r="D23" s="825"/>
      <c r="E23" s="796"/>
      <c r="F23" s="796"/>
      <c r="G23" s="796"/>
      <c r="H23" s="753"/>
      <c r="I23" s="755"/>
      <c r="J23" s="755"/>
      <c r="K23" s="755" t="s">
        <v>571</v>
      </c>
      <c r="L23" s="755"/>
      <c r="M23" s="755"/>
      <c r="N23" s="755" t="s">
        <v>572</v>
      </c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  <c r="AF23" s="755"/>
      <c r="AG23" s="755"/>
      <c r="AH23" s="755"/>
      <c r="AI23" s="755"/>
      <c r="AJ23" s="755"/>
      <c r="AK23" s="755"/>
      <c r="AL23" s="755"/>
      <c r="AM23" s="755"/>
      <c r="AN23" s="755"/>
      <c r="AO23" s="755"/>
      <c r="AP23" s="755"/>
    </row>
    <row r="24" spans="1:42" ht="12.75" hidden="1" customHeight="1">
      <c r="A24" s="802" t="s">
        <v>573</v>
      </c>
      <c r="B24" s="762"/>
      <c r="C24" s="763"/>
      <c r="D24" s="824"/>
      <c r="E24" s="959">
        <f>D24</f>
        <v>0</v>
      </c>
      <c r="F24" s="959">
        <f>(D24+2*E24)/3</f>
        <v>0</v>
      </c>
      <c r="G24" s="959">
        <f>(D24+19*E24)/20</f>
        <v>0</v>
      </c>
      <c r="H24" s="753" t="s">
        <v>574</v>
      </c>
      <c r="I24" s="755"/>
      <c r="J24" s="755"/>
      <c r="K24" s="755" t="s">
        <v>575</v>
      </c>
      <c r="M24" s="755"/>
      <c r="N24" s="755" t="s">
        <v>576</v>
      </c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  <c r="AF24" s="755"/>
      <c r="AG24" s="755"/>
      <c r="AH24" s="755"/>
      <c r="AI24" s="755"/>
      <c r="AJ24" s="755"/>
      <c r="AK24" s="755"/>
      <c r="AL24" s="755"/>
      <c r="AM24" s="755"/>
      <c r="AN24" s="755"/>
      <c r="AO24" s="755"/>
      <c r="AP24" s="755"/>
    </row>
    <row r="25" spans="1:42" ht="12.75" customHeight="1">
      <c r="A25" s="767" t="s">
        <v>1649</v>
      </c>
      <c r="B25" s="762"/>
      <c r="C25" s="763"/>
      <c r="D25" s="824">
        <f>'O&amp;M_Backup'!D136</f>
        <v>108279.9</v>
      </c>
      <c r="E25" s="959">
        <f>D25</f>
        <v>108279.9</v>
      </c>
      <c r="F25" s="959">
        <f>(D25+2*E25)/3</f>
        <v>108279.89999999998</v>
      </c>
      <c r="G25" s="959">
        <f>(D25+19*E25)/20</f>
        <v>108279.9</v>
      </c>
      <c r="H25" s="753" t="s">
        <v>574</v>
      </c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  <c r="AF25" s="755"/>
      <c r="AG25" s="755"/>
      <c r="AH25" s="755"/>
      <c r="AI25" s="755"/>
      <c r="AJ25" s="755"/>
      <c r="AK25" s="755"/>
      <c r="AL25" s="755"/>
      <c r="AM25" s="755"/>
      <c r="AN25" s="755"/>
      <c r="AO25" s="755"/>
      <c r="AP25" s="755"/>
    </row>
    <row r="26" spans="1:42" ht="12.75" hidden="1" customHeight="1">
      <c r="A26" s="767" t="s">
        <v>577</v>
      </c>
      <c r="B26" s="960"/>
      <c r="C26" s="763"/>
      <c r="D26" s="824"/>
      <c r="E26" s="959">
        <f>D26</f>
        <v>0</v>
      </c>
      <c r="F26" s="959">
        <f>(D26+2*E26)/3</f>
        <v>0</v>
      </c>
      <c r="G26" s="959">
        <f>(D26+19*E26)/20</f>
        <v>0</v>
      </c>
      <c r="H26" s="753" t="s">
        <v>574</v>
      </c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  <c r="AF26" s="755"/>
      <c r="AG26" s="755"/>
      <c r="AH26" s="755"/>
      <c r="AI26" s="755"/>
      <c r="AJ26" s="755"/>
      <c r="AK26" s="755"/>
      <c r="AL26" s="755"/>
      <c r="AM26" s="755"/>
      <c r="AN26" s="755"/>
      <c r="AO26" s="755"/>
      <c r="AP26" s="755"/>
    </row>
    <row r="27" spans="1:42" ht="12.75" customHeight="1">
      <c r="A27" s="761"/>
      <c r="B27" s="762"/>
      <c r="C27" s="763"/>
      <c r="D27" s="825"/>
      <c r="E27" s="796"/>
      <c r="F27" s="796"/>
      <c r="G27" s="796"/>
      <c r="H27" s="753"/>
      <c r="I27" s="755"/>
      <c r="J27" s="755"/>
      <c r="K27" s="755" t="s">
        <v>578</v>
      </c>
      <c r="L27" s="755" t="s">
        <v>579</v>
      </c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  <c r="AF27" s="755"/>
      <c r="AG27" s="755"/>
      <c r="AH27" s="755"/>
      <c r="AI27" s="755"/>
      <c r="AJ27" s="755"/>
      <c r="AK27" s="755"/>
      <c r="AL27" s="755"/>
      <c r="AM27" s="755"/>
      <c r="AN27" s="755"/>
      <c r="AO27" s="755"/>
      <c r="AP27" s="755"/>
    </row>
    <row r="28" spans="1:42" ht="12.75" customHeight="1">
      <c r="A28" s="767" t="s">
        <v>580</v>
      </c>
      <c r="B28"/>
      <c r="C28" s="887"/>
      <c r="D28" s="824"/>
      <c r="E28" s="959"/>
      <c r="F28" s="959"/>
      <c r="G28" s="959"/>
      <c r="H28" s="753"/>
      <c r="I28" s="755"/>
      <c r="J28" s="755"/>
      <c r="K28" s="755">
        <f>216+10+2+192</f>
        <v>420</v>
      </c>
      <c r="L28" s="755" t="str">
        <f>N24</f>
        <v xml:space="preserve">  41 gpm</v>
      </c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  <c r="AF28" s="755"/>
      <c r="AG28" s="755"/>
      <c r="AH28" s="755"/>
      <c r="AI28" s="755"/>
      <c r="AJ28" s="755"/>
      <c r="AK28" s="755"/>
      <c r="AL28" s="755"/>
      <c r="AM28" s="755"/>
      <c r="AN28" s="755"/>
      <c r="AO28" s="755"/>
      <c r="AP28" s="755"/>
    </row>
    <row r="29" spans="1:42">
      <c r="A29" s="753"/>
      <c r="B29" s="762" t="str">
        <f>'O&amp;M_Backup'!A137</f>
        <v>Painting</v>
      </c>
      <c r="C29" s="763"/>
      <c r="D29" s="824">
        <f>E29*0.25</f>
        <v>13541.167259906671</v>
      </c>
      <c r="E29" s="959">
        <f>'O&amp;M_Backup'!D144</f>
        <v>54164.669039626686</v>
      </c>
      <c r="F29" s="959">
        <f t="shared" ref="F29:F39" si="3">(D29+2*E29)/3</f>
        <v>40623.501779720013</v>
      </c>
      <c r="G29" s="959">
        <f t="shared" ref="G29:G39" si="4">(D29+19*E29)/20</f>
        <v>52133.493950640681</v>
      </c>
      <c r="H29" s="753"/>
      <c r="I29" s="755"/>
      <c r="J29" s="755"/>
      <c r="K29" s="755">
        <f>+K28*60*1300*6/4</f>
        <v>49140000</v>
      </c>
      <c r="L29" s="755">
        <f>41*60*1300*6/4</f>
        <v>4797000</v>
      </c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  <c r="AF29" s="755"/>
      <c r="AG29" s="755"/>
      <c r="AH29" s="755"/>
      <c r="AI29" s="755"/>
      <c r="AJ29" s="755"/>
      <c r="AK29" s="755"/>
      <c r="AL29" s="755"/>
      <c r="AM29" s="755"/>
      <c r="AN29" s="755"/>
      <c r="AO29" s="755"/>
      <c r="AP29" s="755"/>
    </row>
    <row r="30" spans="1:42">
      <c r="A30" s="753"/>
      <c r="B30" s="762" t="str">
        <f>'O&amp;M_Backup'!A145</f>
        <v>Instruments &amp; Controls</v>
      </c>
      <c r="C30" s="763"/>
      <c r="D30" s="824">
        <f>'O&amp;M_Backup'!D154/2</f>
        <v>10504.6875</v>
      </c>
      <c r="E30" s="959">
        <f>'O&amp;M_Backup'!D154</f>
        <v>21009.375</v>
      </c>
      <c r="F30" s="959">
        <f t="shared" si="3"/>
        <v>17507.8125</v>
      </c>
      <c r="G30" s="959">
        <f t="shared" si="4"/>
        <v>20484.140625</v>
      </c>
      <c r="H30" s="753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  <c r="AF30" s="755"/>
      <c r="AG30" s="755"/>
      <c r="AH30" s="755"/>
      <c r="AI30" s="755"/>
      <c r="AJ30" s="755"/>
      <c r="AK30" s="755"/>
      <c r="AL30" s="755"/>
      <c r="AM30" s="755"/>
      <c r="AN30" s="755"/>
      <c r="AO30" s="755"/>
      <c r="AP30" s="755"/>
    </row>
    <row r="31" spans="1:42">
      <c r="A31" s="753"/>
      <c r="B31" s="762" t="str">
        <f>'O&amp;M_Backup'!A155</f>
        <v>Water Treatment System</v>
      </c>
      <c r="C31" s="763"/>
      <c r="D31" s="824">
        <f>'O&amp;M_Backup'!D163/2</f>
        <v>4673.0875264306651</v>
      </c>
      <c r="E31" s="959">
        <f>'O&amp;M_Backup'!D163</f>
        <v>9346.1750528613302</v>
      </c>
      <c r="F31" s="959">
        <f t="shared" si="3"/>
        <v>7788.4792107177755</v>
      </c>
      <c r="G31" s="959">
        <f t="shared" si="4"/>
        <v>9112.5206765397979</v>
      </c>
      <c r="H31" s="753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  <c r="AF31" s="755"/>
      <c r="AG31" s="755"/>
      <c r="AH31" s="755"/>
      <c r="AI31" s="755"/>
      <c r="AJ31" s="755"/>
      <c r="AK31" s="755"/>
      <c r="AL31" s="755"/>
      <c r="AM31" s="755"/>
      <c r="AN31" s="755"/>
      <c r="AO31" s="755"/>
      <c r="AP31" s="755"/>
    </row>
    <row r="32" spans="1:42">
      <c r="A32" s="753"/>
      <c r="B32" s="762" t="str">
        <f>'O&amp;M_Backup'!A164</f>
        <v>Cooling System &amp; Chillers</v>
      </c>
      <c r="C32" s="763"/>
      <c r="D32" s="824">
        <f>'O&amp;M_Backup'!D173/2</f>
        <v>43110.240424378593</v>
      </c>
      <c r="E32" s="959">
        <f>'O&amp;M_Backup'!D173</f>
        <v>86220.480848757186</v>
      </c>
      <c r="F32" s="959">
        <f t="shared" si="3"/>
        <v>71850.400707297653</v>
      </c>
      <c r="G32" s="959">
        <f t="shared" si="4"/>
        <v>84064.96882753825</v>
      </c>
      <c r="H32" s="753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  <c r="AF32" s="755"/>
      <c r="AG32" s="755"/>
      <c r="AH32" s="755"/>
      <c r="AI32" s="755"/>
      <c r="AJ32" s="755"/>
      <c r="AK32" s="755"/>
      <c r="AL32" s="755"/>
      <c r="AM32" s="755"/>
      <c r="AN32" s="755"/>
      <c r="AO32" s="755"/>
      <c r="AP32" s="755"/>
    </row>
    <row r="33" spans="1:42">
      <c r="A33" s="753"/>
      <c r="B33" s="762" t="str">
        <f>'O&amp;M_Backup'!A174</f>
        <v>Electrical/Substation/Interconnects</v>
      </c>
      <c r="C33" s="763"/>
      <c r="D33" s="824">
        <f>'O&amp;M_Backup'!D184/2</f>
        <v>40970.877389768044</v>
      </c>
      <c r="E33" s="959">
        <f>'O&amp;M_Backup'!D184</f>
        <v>81941.754779536088</v>
      </c>
      <c r="F33" s="959">
        <f t="shared" si="3"/>
        <v>68284.795649613414</v>
      </c>
      <c r="G33" s="959">
        <f t="shared" si="4"/>
        <v>79893.210910047696</v>
      </c>
      <c r="H33" s="753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  <c r="AF33" s="755"/>
      <c r="AG33" s="755"/>
      <c r="AH33" s="755"/>
      <c r="AI33" s="755"/>
      <c r="AJ33" s="755"/>
      <c r="AK33" s="755"/>
      <c r="AL33" s="755"/>
      <c r="AM33" s="755"/>
      <c r="AN33" s="755"/>
      <c r="AO33" s="755"/>
      <c r="AP33" s="755"/>
    </row>
    <row r="34" spans="1:42">
      <c r="A34" s="753"/>
      <c r="B34" s="762" t="str">
        <f>'O&amp;M_Backup'!A185</f>
        <v>Gas Turbines (excluding overhaul maint.)</v>
      </c>
      <c r="C34" s="763"/>
      <c r="D34" s="824">
        <f>'O&amp;M_Backup'!D194/2</f>
        <v>170565</v>
      </c>
      <c r="E34" s="959">
        <f>'O&amp;M_Backup'!D194</f>
        <v>341130</v>
      </c>
      <c r="F34" s="959">
        <f t="shared" si="3"/>
        <v>284275</v>
      </c>
      <c r="G34" s="959">
        <f t="shared" si="4"/>
        <v>332601.75</v>
      </c>
      <c r="H34" s="753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  <c r="AF34" s="755"/>
      <c r="AG34" s="755"/>
      <c r="AH34" s="755"/>
      <c r="AI34" s="755"/>
      <c r="AJ34" s="755"/>
      <c r="AK34" s="755"/>
      <c r="AL34" s="755"/>
      <c r="AM34" s="755"/>
      <c r="AN34" s="755"/>
      <c r="AO34" s="755"/>
      <c r="AP34" s="755"/>
    </row>
    <row r="35" spans="1:42" hidden="1">
      <c r="A35" s="753"/>
      <c r="B35" s="762" t="str">
        <f>'O&amp;M_Backup'!A195</f>
        <v>Selective Catalytic Reduction &amp; Ammonia System</v>
      </c>
      <c r="C35" s="763"/>
      <c r="D35" s="824">
        <f>'O&amp;M_Backup'!D205/2</f>
        <v>0</v>
      </c>
      <c r="E35" s="959">
        <f>'O&amp;M_Backup'!D205</f>
        <v>0</v>
      </c>
      <c r="F35" s="959">
        <f t="shared" si="3"/>
        <v>0</v>
      </c>
      <c r="G35" s="959">
        <f t="shared" si="4"/>
        <v>0</v>
      </c>
      <c r="H35" s="753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  <c r="AF35" s="755"/>
      <c r="AG35" s="755"/>
      <c r="AH35" s="755"/>
      <c r="AI35" s="755"/>
      <c r="AJ35" s="755"/>
      <c r="AK35" s="755"/>
      <c r="AL35" s="755"/>
      <c r="AM35" s="755"/>
      <c r="AN35" s="755"/>
      <c r="AO35" s="755"/>
      <c r="AP35" s="755"/>
    </row>
    <row r="36" spans="1:42" hidden="1">
      <c r="A36" s="753"/>
      <c r="B36" s="762" t="str">
        <f>'O&amp;M_Backup'!A206</f>
        <v>Steam Turbine (including Scheduled Maint.)</v>
      </c>
      <c r="C36" s="763"/>
      <c r="D36" s="824">
        <f>'O&amp;M_Backup'!D216</f>
        <v>0</v>
      </c>
      <c r="E36" s="959">
        <f>'O&amp;M_Backup'!D216</f>
        <v>0</v>
      </c>
      <c r="F36" s="959">
        <f t="shared" si="3"/>
        <v>0</v>
      </c>
      <c r="G36" s="959">
        <f t="shared" si="4"/>
        <v>0</v>
      </c>
      <c r="H36" s="753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  <c r="AF36" s="755"/>
      <c r="AG36" s="755"/>
      <c r="AH36" s="755"/>
      <c r="AI36" s="755"/>
      <c r="AJ36" s="755"/>
      <c r="AK36" s="755"/>
      <c r="AL36" s="755"/>
      <c r="AM36" s="755"/>
      <c r="AN36" s="755"/>
      <c r="AO36" s="755"/>
      <c r="AP36" s="755"/>
    </row>
    <row r="37" spans="1:42">
      <c r="A37" s="753"/>
      <c r="B37" s="762" t="str">
        <f>'O&amp;M_Backup'!A217</f>
        <v>Potable Water System</v>
      </c>
      <c r="C37" s="763"/>
      <c r="D37" s="824">
        <f>'O&amp;M_Backup'!D226/2</f>
        <v>959.6875</v>
      </c>
      <c r="E37" s="824">
        <f>'O&amp;M_Backup'!D226</f>
        <v>1919.375</v>
      </c>
      <c r="F37" s="959">
        <f t="shared" si="3"/>
        <v>1599.4791666666667</v>
      </c>
      <c r="G37" s="959">
        <f t="shared" si="4"/>
        <v>1871.390625</v>
      </c>
      <c r="H37" s="753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  <c r="AF37" s="755"/>
      <c r="AG37" s="755"/>
      <c r="AH37" s="755"/>
      <c r="AI37" s="755"/>
      <c r="AJ37" s="755"/>
      <c r="AK37" s="755"/>
      <c r="AL37" s="755"/>
      <c r="AM37" s="755"/>
      <c r="AN37" s="755"/>
      <c r="AO37" s="755"/>
      <c r="AP37" s="755"/>
    </row>
    <row r="38" spans="1:42">
      <c r="A38" s="753"/>
      <c r="B38" s="762" t="str">
        <f>'O&amp;M_Backup'!A227</f>
        <v>Fuel Handling &amp; Compression System</v>
      </c>
      <c r="C38" s="763"/>
      <c r="D38" s="824">
        <f>'O&amp;M_Backup'!D236/2</f>
        <v>16296.875</v>
      </c>
      <c r="E38" s="959">
        <f>'O&amp;M_Backup'!D236</f>
        <v>32593.75</v>
      </c>
      <c r="F38" s="959">
        <f t="shared" si="3"/>
        <v>27161.458333333332</v>
      </c>
      <c r="G38" s="959">
        <f t="shared" si="4"/>
        <v>31778.90625</v>
      </c>
      <c r="H38" s="753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  <c r="AF38" s="755"/>
      <c r="AG38" s="755"/>
      <c r="AH38" s="755"/>
      <c r="AI38" s="755"/>
      <c r="AJ38" s="755"/>
      <c r="AK38" s="755"/>
      <c r="AL38" s="755"/>
      <c r="AM38" s="755"/>
      <c r="AN38" s="755"/>
      <c r="AO38" s="755"/>
      <c r="AP38" s="755"/>
    </row>
    <row r="39" spans="1:42">
      <c r="A39" s="753"/>
      <c r="B39" s="762" t="str">
        <f>'O&amp;M_Backup'!A237</f>
        <v>Miscellaneous Maintenance Expense</v>
      </c>
      <c r="C39" s="763"/>
      <c r="D39" s="824">
        <f>'O&amp;M_Backup'!D255</f>
        <v>121906.25</v>
      </c>
      <c r="E39" s="959">
        <f>'O&amp;M_Backup'!D255</f>
        <v>121906.25</v>
      </c>
      <c r="F39" s="959">
        <f t="shared" si="3"/>
        <v>121906.25</v>
      </c>
      <c r="G39" s="959">
        <f t="shared" si="4"/>
        <v>121906.25</v>
      </c>
      <c r="H39" s="753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  <c r="AF39" s="755"/>
      <c r="AG39" s="755"/>
      <c r="AH39" s="755"/>
      <c r="AI39" s="755"/>
      <c r="AJ39" s="755"/>
      <c r="AK39" s="755"/>
      <c r="AL39" s="755"/>
      <c r="AM39" s="755"/>
      <c r="AN39" s="755"/>
      <c r="AO39" s="755"/>
      <c r="AP39" s="755"/>
    </row>
    <row r="40" spans="1:42">
      <c r="A40" s="753"/>
      <c r="B40" s="762"/>
      <c r="C40" s="763"/>
      <c r="D40" s="825"/>
      <c r="E40" s="796"/>
      <c r="F40" s="796"/>
      <c r="G40" s="796"/>
      <c r="H40" s="753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  <c r="AF40" s="755"/>
      <c r="AG40" s="755"/>
      <c r="AH40" s="755"/>
      <c r="AI40" s="755"/>
      <c r="AJ40" s="755"/>
      <c r="AK40" s="755"/>
      <c r="AL40" s="755"/>
      <c r="AM40" s="755"/>
      <c r="AN40" s="755"/>
      <c r="AO40" s="755"/>
      <c r="AP40" s="755"/>
    </row>
    <row r="41" spans="1:42">
      <c r="A41" s="753"/>
      <c r="B41" s="767" t="s">
        <v>581</v>
      </c>
      <c r="C41" s="770"/>
      <c r="D41" s="824">
        <f>SUBTOTAL(9,D29:D39)</f>
        <v>422527.87260048394</v>
      </c>
      <c r="E41" s="824">
        <f>SUBTOTAL(9,E29:E39)</f>
        <v>750231.8297207813</v>
      </c>
      <c r="F41" s="824">
        <f>SUBTOTAL(9,F29:F39)</f>
        <v>640997.17734734889</v>
      </c>
      <c r="G41" s="824">
        <f>SUBTOTAL(9,G29:G39)</f>
        <v>733846.63186476636</v>
      </c>
      <c r="H41" s="753" t="s">
        <v>582</v>
      </c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  <c r="AF41" s="755"/>
      <c r="AG41" s="755"/>
      <c r="AH41" s="755"/>
      <c r="AI41" s="755"/>
      <c r="AJ41" s="755"/>
      <c r="AK41" s="755"/>
      <c r="AL41" s="755"/>
      <c r="AM41" s="755"/>
      <c r="AN41" s="755"/>
      <c r="AO41" s="755"/>
      <c r="AP41" s="755"/>
    </row>
    <row r="42" spans="1:42">
      <c r="A42" s="753"/>
      <c r="B42" s="767"/>
      <c r="C42" s="770"/>
      <c r="D42" s="824"/>
      <c r="E42" s="959"/>
      <c r="F42" s="959"/>
      <c r="G42" s="959"/>
      <c r="H42" s="753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  <c r="AF42" s="755"/>
      <c r="AG42" s="755"/>
      <c r="AH42" s="755"/>
      <c r="AI42" s="755"/>
      <c r="AJ42" s="755"/>
      <c r="AK42" s="755"/>
      <c r="AL42" s="755"/>
      <c r="AM42" s="755"/>
      <c r="AN42" s="755"/>
      <c r="AO42" s="755"/>
      <c r="AP42" s="755"/>
    </row>
    <row r="43" spans="1:42">
      <c r="A43" s="802" t="s">
        <v>1652</v>
      </c>
      <c r="B43" s="767"/>
      <c r="C43" s="770"/>
      <c r="D43" s="824">
        <f>'O&amp;M_Backup'!D287</f>
        <v>22479.025000000001</v>
      </c>
      <c r="E43" s="959">
        <f>D43</f>
        <v>22479.025000000001</v>
      </c>
      <c r="F43" s="959">
        <f>(D43+2*E43)/3</f>
        <v>22479.025000000005</v>
      </c>
      <c r="G43" s="959">
        <f>(D43+19*E43)/20</f>
        <v>22479.025000000001</v>
      </c>
      <c r="H43" s="753" t="s">
        <v>562</v>
      </c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  <c r="AF43" s="755"/>
      <c r="AG43" s="755"/>
      <c r="AH43" s="755"/>
      <c r="AI43" s="755"/>
      <c r="AJ43" s="755"/>
      <c r="AK43" s="755"/>
      <c r="AL43" s="755"/>
      <c r="AM43" s="755"/>
      <c r="AN43" s="755"/>
      <c r="AO43" s="755"/>
      <c r="AP43" s="755"/>
    </row>
    <row r="44" spans="1:42">
      <c r="A44" s="802"/>
      <c r="B44" s="767"/>
      <c r="C44" s="770"/>
      <c r="D44" s="824"/>
      <c r="E44" s="959"/>
      <c r="F44" s="959"/>
      <c r="G44" s="959"/>
      <c r="H44" s="753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  <c r="AF44" s="755"/>
      <c r="AG44" s="755"/>
      <c r="AH44" s="755"/>
      <c r="AI44" s="755"/>
      <c r="AJ44" s="755"/>
      <c r="AK44" s="755"/>
      <c r="AL44" s="755"/>
      <c r="AM44" s="755"/>
      <c r="AN44" s="755"/>
      <c r="AO44" s="755"/>
      <c r="AP44" s="755"/>
    </row>
    <row r="45" spans="1:42" hidden="1">
      <c r="A45" s="802" t="s">
        <v>1349</v>
      </c>
      <c r="B45" s="767"/>
      <c r="C45" s="770"/>
      <c r="D45" s="824">
        <v>0</v>
      </c>
      <c r="E45" s="959">
        <v>0</v>
      </c>
      <c r="F45" s="959">
        <f>(D45+2*E45)/3</f>
        <v>0</v>
      </c>
      <c r="G45" s="959">
        <f>(D45+19*E45)/20</f>
        <v>0</v>
      </c>
      <c r="H45" s="753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  <c r="AF45" s="755"/>
      <c r="AG45" s="755"/>
      <c r="AH45" s="755"/>
      <c r="AI45" s="755"/>
      <c r="AJ45" s="755"/>
      <c r="AK45" s="755"/>
      <c r="AL45" s="755"/>
      <c r="AM45" s="755"/>
      <c r="AN45" s="755"/>
      <c r="AO45" s="755"/>
      <c r="AP45" s="755"/>
    </row>
    <row r="46" spans="1:42" hidden="1">
      <c r="A46" s="753"/>
      <c r="B46" s="767"/>
      <c r="C46" s="770"/>
      <c r="D46" s="824"/>
      <c r="E46" s="959"/>
      <c r="F46" s="959"/>
      <c r="G46" s="959"/>
      <c r="H46" s="753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  <c r="AF46" s="755"/>
      <c r="AG46" s="755"/>
      <c r="AH46" s="755"/>
      <c r="AI46" s="755"/>
      <c r="AJ46" s="755"/>
      <c r="AK46" s="755"/>
      <c r="AL46" s="755"/>
      <c r="AM46" s="755"/>
      <c r="AN46" s="755"/>
      <c r="AO46" s="755"/>
      <c r="AP46" s="755"/>
    </row>
    <row r="47" spans="1:42" ht="13.5" thickBot="1">
      <c r="A47" s="761" t="s">
        <v>583</v>
      </c>
      <c r="B47" s="767"/>
      <c r="C47" s="770"/>
      <c r="D47" s="828">
        <f ca="1">D45+D43+D41+D25+D22+D8+D24+D26</f>
        <v>1527963.0234103166</v>
      </c>
      <c r="E47" s="828">
        <f ca="1">E45+E43+E41+E25+E22+E8+E24+E26</f>
        <v>1840416.980530614</v>
      </c>
      <c r="F47" s="828">
        <f ca="1">F45+F43+F41+F25+F22+F8+F24+F26</f>
        <v>1736265.6614905149</v>
      </c>
      <c r="G47" s="828">
        <f ca="1">G45+G43+G41+G25+G22+G8+G24+G26</f>
        <v>1824794.282674599</v>
      </c>
      <c r="H47" s="753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  <c r="AF47" s="755"/>
      <c r="AG47" s="755"/>
      <c r="AH47" s="755"/>
      <c r="AI47" s="755"/>
      <c r="AJ47" s="755"/>
      <c r="AK47" s="755"/>
      <c r="AL47" s="755"/>
      <c r="AM47" s="755"/>
      <c r="AN47" s="755"/>
      <c r="AO47" s="755"/>
      <c r="AP47" s="755"/>
    </row>
    <row r="48" spans="1:42">
      <c r="A48" s="761"/>
      <c r="B48" s="767"/>
      <c r="C48" s="770"/>
      <c r="D48" s="758"/>
      <c r="E48" s="758"/>
      <c r="F48" s="758"/>
      <c r="G48" s="758"/>
      <c r="H48" s="753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  <c r="AF48" s="755"/>
      <c r="AG48" s="755"/>
      <c r="AH48" s="755"/>
      <c r="AI48" s="755"/>
      <c r="AJ48" s="755"/>
      <c r="AK48" s="755"/>
      <c r="AL48" s="755"/>
      <c r="AM48" s="755"/>
      <c r="AN48" s="755"/>
      <c r="AO48" s="755"/>
      <c r="AP48" s="755"/>
    </row>
    <row r="49" spans="1:42" ht="13.5" thickBot="1">
      <c r="A49" s="761"/>
      <c r="B49" s="753"/>
      <c r="C49" s="766"/>
      <c r="D49" s="753"/>
      <c r="E49" s="753"/>
      <c r="F49" s="753"/>
      <c r="G49" s="753"/>
      <c r="H49" s="753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  <c r="AF49" s="755"/>
      <c r="AG49" s="755"/>
      <c r="AH49" s="755"/>
      <c r="AI49" s="755"/>
      <c r="AJ49" s="755"/>
      <c r="AK49" s="755"/>
      <c r="AL49" s="755"/>
      <c r="AM49" s="755"/>
      <c r="AN49" s="755"/>
      <c r="AO49" s="755"/>
      <c r="AP49" s="755"/>
    </row>
    <row r="50" spans="1:42" ht="13.5" thickBot="1">
      <c r="A50" s="761" t="s">
        <v>1655</v>
      </c>
      <c r="B50" s="762"/>
      <c r="C50" s="755"/>
      <c r="D50" s="808">
        <f>LM6000PC_MMR_Gas!H9</f>
        <v>39.25</v>
      </c>
      <c r="H50" s="753" t="s">
        <v>574</v>
      </c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  <c r="AF50" s="755"/>
      <c r="AG50" s="755"/>
      <c r="AH50" s="755"/>
      <c r="AI50" s="755"/>
      <c r="AJ50" s="755"/>
      <c r="AK50" s="755"/>
      <c r="AL50" s="755"/>
      <c r="AM50" s="755"/>
      <c r="AN50" s="755"/>
      <c r="AO50" s="755"/>
      <c r="AP50" s="755"/>
    </row>
    <row r="51" spans="1:42" ht="13.5" hidden="1" thickBot="1">
      <c r="A51" s="761" t="s">
        <v>1656</v>
      </c>
      <c r="B51" s="762"/>
      <c r="C51" s="755"/>
      <c r="D51" s="808"/>
      <c r="H51" s="753" t="s">
        <v>574</v>
      </c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  <c r="AF51" s="755"/>
      <c r="AG51" s="755"/>
      <c r="AH51" s="755"/>
      <c r="AI51" s="755"/>
      <c r="AJ51" s="755"/>
      <c r="AK51" s="755"/>
      <c r="AL51" s="755"/>
      <c r="AM51" s="755"/>
      <c r="AN51" s="755"/>
      <c r="AO51" s="755"/>
      <c r="AP51" s="755"/>
    </row>
    <row r="52" spans="1:42" ht="13.5" hidden="1" thickBot="1">
      <c r="B52" s="753"/>
      <c r="C52" s="766"/>
      <c r="D52" s="961"/>
      <c r="E52" s="962"/>
      <c r="F52" s="962"/>
      <c r="G52" s="962"/>
      <c r="H52" s="753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  <c r="AF52" s="755"/>
      <c r="AG52" s="755"/>
      <c r="AH52" s="755"/>
      <c r="AI52" s="755"/>
      <c r="AJ52" s="755"/>
      <c r="AK52" s="755"/>
      <c r="AL52" s="755"/>
      <c r="AM52" s="755"/>
      <c r="AN52" s="755"/>
      <c r="AO52" s="755"/>
      <c r="AP52" s="755"/>
    </row>
    <row r="53" spans="1:42" ht="13.5" hidden="1" thickBot="1">
      <c r="A53" s="761" t="s">
        <v>584</v>
      </c>
      <c r="B53" s="753"/>
      <c r="C53" s="766"/>
      <c r="D53" s="779"/>
      <c r="E53" s="779"/>
      <c r="F53" s="779"/>
      <c r="G53" s="779"/>
      <c r="H53" s="753" t="s">
        <v>562</v>
      </c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  <c r="AF53" s="755"/>
      <c r="AG53" s="755"/>
      <c r="AH53" s="755"/>
      <c r="AI53" s="755"/>
      <c r="AJ53" s="755"/>
      <c r="AK53" s="755"/>
      <c r="AL53" s="755"/>
      <c r="AM53" s="755"/>
      <c r="AN53" s="755"/>
      <c r="AO53" s="755"/>
      <c r="AP53" s="755"/>
    </row>
    <row r="54" spans="1:42" ht="13.5" hidden="1" thickBot="1"/>
    <row r="55" spans="1:42" ht="13.5" hidden="1" thickBot="1">
      <c r="A55" s="761" t="s">
        <v>1658</v>
      </c>
      <c r="B55" s="753"/>
      <c r="C55" s="763"/>
      <c r="D55" s="831" t="s">
        <v>1631</v>
      </c>
      <c r="E55" s="831" t="str">
        <f>D55</f>
        <v>NA</v>
      </c>
      <c r="F55" s="831"/>
      <c r="G55" s="831"/>
      <c r="H55" s="753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  <c r="AF55" s="755"/>
      <c r="AG55" s="755"/>
      <c r="AH55" s="755"/>
      <c r="AI55" s="755"/>
      <c r="AJ55" s="755"/>
      <c r="AK55" s="755"/>
      <c r="AL55" s="755"/>
      <c r="AM55" s="755"/>
      <c r="AN55" s="755"/>
      <c r="AO55" s="755"/>
      <c r="AP55" s="755"/>
    </row>
    <row r="56" spans="1:42" ht="13.5" hidden="1" thickBot="1">
      <c r="A56" s="761"/>
      <c r="B56" s="753"/>
      <c r="C56" s="763"/>
      <c r="D56" s="758"/>
      <c r="E56" s="758"/>
      <c r="F56" s="758"/>
      <c r="G56" s="758"/>
      <c r="H56" s="753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  <c r="AF56" s="755"/>
      <c r="AG56" s="755"/>
      <c r="AH56" s="755"/>
      <c r="AI56" s="755"/>
      <c r="AJ56" s="755"/>
      <c r="AK56" s="755"/>
      <c r="AL56" s="755"/>
      <c r="AM56" s="755"/>
      <c r="AN56" s="755"/>
      <c r="AO56" s="755"/>
      <c r="AP56" s="755"/>
    </row>
    <row r="57" spans="1:42" ht="13.5" hidden="1" thickBot="1">
      <c r="A57" s="761" t="s">
        <v>585</v>
      </c>
      <c r="B57" s="762"/>
      <c r="C57" s="763"/>
      <c r="D57" s="831" t="s">
        <v>1631</v>
      </c>
      <c r="E57" s="831" t="str">
        <f>D57</f>
        <v>NA</v>
      </c>
      <c r="F57" s="831" t="str">
        <f>E57</f>
        <v>NA</v>
      </c>
      <c r="G57" s="831" t="str">
        <f>F57</f>
        <v>NA</v>
      </c>
      <c r="H57" s="753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  <c r="AF57" s="755"/>
      <c r="AG57" s="755"/>
      <c r="AH57" s="755"/>
      <c r="AI57" s="755"/>
      <c r="AJ57" s="755"/>
      <c r="AK57" s="755"/>
      <c r="AL57" s="755"/>
      <c r="AM57" s="755"/>
      <c r="AN57" s="755"/>
      <c r="AO57" s="755"/>
      <c r="AP57" s="755"/>
    </row>
    <row r="58" spans="1:42" ht="13.5" thickBot="1">
      <c r="A58" s="741"/>
      <c r="B58" s="753"/>
      <c r="C58" s="753"/>
      <c r="D58" s="753"/>
      <c r="E58" s="753"/>
      <c r="F58" s="753"/>
      <c r="G58" s="753"/>
      <c r="H58" s="753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  <c r="AF58" s="755"/>
      <c r="AG58" s="755"/>
      <c r="AH58" s="755"/>
      <c r="AI58" s="755"/>
      <c r="AJ58" s="755"/>
      <c r="AK58" s="755"/>
      <c r="AL58" s="755"/>
      <c r="AM58" s="755"/>
      <c r="AN58" s="755"/>
      <c r="AO58" s="755"/>
      <c r="AP58" s="755"/>
    </row>
    <row r="59" spans="1:42" ht="13.5" thickBot="1">
      <c r="A59" s="761" t="s">
        <v>1654</v>
      </c>
      <c r="B59" s="753"/>
      <c r="C59" s="753"/>
      <c r="D59" s="779">
        <f>'O&amp;M_Backup'!D264</f>
        <v>300000</v>
      </c>
      <c r="E59" s="963">
        <f>D59</f>
        <v>300000</v>
      </c>
      <c r="F59" s="963">
        <f>E59</f>
        <v>300000</v>
      </c>
      <c r="G59" s="963">
        <f>F59</f>
        <v>300000</v>
      </c>
      <c r="H59" s="753" t="s">
        <v>562</v>
      </c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  <c r="AF59" s="755"/>
      <c r="AG59" s="755"/>
      <c r="AH59" s="755"/>
      <c r="AI59" s="755"/>
      <c r="AJ59" s="755"/>
      <c r="AK59" s="755"/>
      <c r="AL59" s="755"/>
      <c r="AM59" s="755"/>
      <c r="AN59" s="755"/>
      <c r="AO59" s="755"/>
      <c r="AP59" s="755"/>
    </row>
    <row r="60" spans="1:42">
      <c r="A60" s="753"/>
      <c r="B60" s="753"/>
      <c r="C60" s="753"/>
      <c r="D60" s="753"/>
      <c r="E60" s="753"/>
      <c r="F60" s="753"/>
      <c r="G60" s="753"/>
      <c r="H60" s="753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  <c r="AF60" s="755"/>
      <c r="AG60" s="755"/>
      <c r="AH60" s="755"/>
      <c r="AI60" s="755"/>
      <c r="AJ60" s="755"/>
      <c r="AK60" s="755"/>
      <c r="AL60" s="755"/>
      <c r="AM60" s="755"/>
      <c r="AN60" s="755"/>
      <c r="AO60" s="755"/>
      <c r="AP60" s="755"/>
    </row>
    <row r="61" spans="1:42">
      <c r="A61" s="753"/>
      <c r="B61" s="753"/>
      <c r="C61" s="753"/>
      <c r="D61" s="753"/>
      <c r="E61" s="753"/>
      <c r="F61" s="753"/>
      <c r="G61" s="753"/>
      <c r="H61" s="753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  <c r="AF61" s="755"/>
      <c r="AG61" s="755"/>
      <c r="AH61" s="755"/>
      <c r="AI61" s="755"/>
      <c r="AJ61" s="755"/>
      <c r="AK61" s="755"/>
      <c r="AL61" s="755"/>
      <c r="AM61" s="755"/>
      <c r="AN61" s="755"/>
      <c r="AO61" s="755"/>
      <c r="AP61" s="755"/>
    </row>
    <row r="62" spans="1:42">
      <c r="A62" s="753"/>
      <c r="B62" s="753"/>
      <c r="C62" s="753"/>
      <c r="D62" s="753"/>
      <c r="E62" s="753"/>
      <c r="F62" s="753"/>
      <c r="G62" s="753"/>
      <c r="H62" s="753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  <c r="AF62" s="755"/>
      <c r="AG62" s="755"/>
      <c r="AH62" s="755"/>
      <c r="AI62" s="755"/>
      <c r="AJ62" s="755"/>
      <c r="AK62" s="755"/>
      <c r="AL62" s="755"/>
      <c r="AM62" s="755"/>
      <c r="AN62" s="755"/>
      <c r="AO62" s="755"/>
      <c r="AP62" s="755"/>
    </row>
    <row r="63" spans="1:42">
      <c r="A63" s="753"/>
      <c r="B63" s="753"/>
      <c r="C63" s="753"/>
      <c r="D63" s="753"/>
      <c r="E63" s="753"/>
      <c r="F63" s="753"/>
      <c r="G63" s="753"/>
      <c r="H63" s="753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  <c r="AF63" s="755"/>
      <c r="AG63" s="755"/>
      <c r="AH63" s="755"/>
      <c r="AI63" s="755"/>
      <c r="AJ63" s="755"/>
      <c r="AK63" s="755"/>
      <c r="AL63" s="755"/>
      <c r="AM63" s="755"/>
      <c r="AN63" s="755"/>
      <c r="AO63" s="755"/>
      <c r="AP63" s="755"/>
    </row>
    <row r="64" spans="1:42">
      <c r="A64" s="753"/>
      <c r="B64" s="753"/>
      <c r="C64" s="753"/>
      <c r="D64" s="753"/>
      <c r="E64" s="753"/>
      <c r="F64" s="753"/>
      <c r="G64" s="753"/>
      <c r="H64" s="753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  <c r="AF64" s="755"/>
      <c r="AG64" s="755"/>
      <c r="AH64" s="755"/>
      <c r="AI64" s="755"/>
      <c r="AJ64" s="755"/>
      <c r="AK64" s="755"/>
      <c r="AL64" s="755"/>
      <c r="AM64" s="755"/>
      <c r="AN64" s="755"/>
      <c r="AO64" s="755"/>
      <c r="AP64" s="755"/>
    </row>
    <row r="65" spans="1:42">
      <c r="A65" s="753"/>
      <c r="B65" s="753"/>
      <c r="C65" s="753"/>
      <c r="D65" s="753"/>
      <c r="E65" s="753"/>
      <c r="F65" s="753"/>
      <c r="G65" s="753"/>
      <c r="H65" s="753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  <c r="AF65" s="755"/>
      <c r="AG65" s="755"/>
      <c r="AH65" s="755"/>
      <c r="AI65" s="755"/>
      <c r="AJ65" s="755"/>
      <c r="AK65" s="755"/>
      <c r="AL65" s="755"/>
      <c r="AM65" s="755"/>
      <c r="AN65" s="755"/>
      <c r="AO65" s="755"/>
      <c r="AP65" s="755"/>
    </row>
    <row r="66" spans="1:42">
      <c r="A66" s="753"/>
      <c r="B66" s="753"/>
      <c r="C66" s="753"/>
      <c r="D66" s="753"/>
      <c r="E66" s="753"/>
      <c r="F66" s="753"/>
      <c r="G66" s="753"/>
      <c r="H66" s="753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  <c r="AF66" s="755"/>
      <c r="AG66" s="755"/>
      <c r="AH66" s="755"/>
      <c r="AI66" s="755"/>
      <c r="AJ66" s="755"/>
      <c r="AK66" s="755"/>
      <c r="AL66" s="755"/>
      <c r="AM66" s="755"/>
      <c r="AN66" s="755"/>
      <c r="AO66" s="755"/>
      <c r="AP66" s="755"/>
    </row>
    <row r="67" spans="1:42">
      <c r="A67" s="753"/>
      <c r="B67" s="753"/>
      <c r="C67" s="753"/>
      <c r="D67" s="753"/>
      <c r="E67" s="753"/>
      <c r="F67" s="753"/>
      <c r="G67" s="753"/>
      <c r="H67" s="753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  <c r="AF67" s="755"/>
      <c r="AG67" s="755"/>
      <c r="AH67" s="755"/>
      <c r="AI67" s="755"/>
      <c r="AJ67" s="755"/>
      <c r="AK67" s="755"/>
      <c r="AL67" s="755"/>
      <c r="AM67" s="755"/>
      <c r="AN67" s="755"/>
      <c r="AO67" s="755"/>
      <c r="AP67" s="755"/>
    </row>
    <row r="68" spans="1:42">
      <c r="A68" s="753"/>
      <c r="B68" s="753"/>
      <c r="C68" s="753"/>
      <c r="D68" s="753"/>
      <c r="E68" s="753"/>
      <c r="F68" s="753"/>
      <c r="G68" s="753"/>
      <c r="H68" s="753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  <c r="AF68" s="755"/>
      <c r="AG68" s="755"/>
      <c r="AH68" s="755"/>
      <c r="AI68" s="755"/>
      <c r="AJ68" s="755"/>
      <c r="AK68" s="755"/>
      <c r="AL68" s="755"/>
      <c r="AM68" s="755"/>
      <c r="AN68" s="755"/>
      <c r="AO68" s="755"/>
      <c r="AP68" s="755"/>
    </row>
    <row r="69" spans="1:42">
      <c r="A69" s="753"/>
      <c r="B69" s="753"/>
      <c r="C69" s="753"/>
      <c r="D69" s="753"/>
      <c r="E69" s="753"/>
      <c r="F69" s="753"/>
      <c r="G69" s="753"/>
      <c r="H69" s="753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  <c r="AF69" s="755"/>
      <c r="AG69" s="755"/>
      <c r="AH69" s="755"/>
      <c r="AI69" s="755"/>
      <c r="AJ69" s="755"/>
      <c r="AK69" s="755"/>
      <c r="AL69" s="755"/>
      <c r="AM69" s="755"/>
      <c r="AN69" s="755"/>
      <c r="AO69" s="755"/>
      <c r="AP69" s="755"/>
    </row>
    <row r="70" spans="1:42">
      <c r="A70" s="753"/>
      <c r="B70" s="753"/>
      <c r="C70" s="753"/>
      <c r="D70" s="753"/>
      <c r="E70" s="753"/>
      <c r="F70" s="753"/>
      <c r="G70" s="753"/>
      <c r="H70" s="753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  <c r="AF70" s="755"/>
      <c r="AG70" s="755"/>
      <c r="AH70" s="755"/>
      <c r="AI70" s="755"/>
      <c r="AJ70" s="755"/>
      <c r="AK70" s="755"/>
      <c r="AL70" s="755"/>
      <c r="AM70" s="755"/>
      <c r="AN70" s="755"/>
      <c r="AO70" s="755"/>
      <c r="AP70" s="755"/>
    </row>
    <row r="71" spans="1:42">
      <c r="A71" s="753"/>
      <c r="B71" s="753"/>
      <c r="C71" s="753"/>
      <c r="D71" s="753"/>
      <c r="E71" s="753"/>
      <c r="F71" s="753"/>
      <c r="G71" s="753"/>
      <c r="H71" s="753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  <c r="AF71" s="755"/>
      <c r="AG71" s="755"/>
      <c r="AH71" s="755"/>
      <c r="AI71" s="755"/>
      <c r="AJ71" s="755"/>
      <c r="AK71" s="755"/>
      <c r="AL71" s="755"/>
      <c r="AM71" s="755"/>
      <c r="AN71" s="755"/>
      <c r="AO71" s="755"/>
      <c r="AP71" s="755"/>
    </row>
    <row r="72" spans="1:42">
      <c r="A72" s="753"/>
      <c r="B72" s="753"/>
      <c r="C72" s="753"/>
      <c r="D72" s="753"/>
      <c r="E72" s="753"/>
      <c r="F72" s="753"/>
      <c r="G72" s="753"/>
      <c r="H72" s="753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  <c r="AF72" s="755"/>
      <c r="AG72" s="755"/>
      <c r="AH72" s="755"/>
      <c r="AI72" s="755"/>
      <c r="AJ72" s="755"/>
      <c r="AK72" s="755"/>
      <c r="AL72" s="755"/>
      <c r="AM72" s="755"/>
      <c r="AN72" s="755"/>
      <c r="AO72" s="755"/>
      <c r="AP72" s="755"/>
    </row>
    <row r="73" spans="1:42">
      <c r="A73" s="753"/>
      <c r="B73" s="753"/>
      <c r="C73" s="753"/>
      <c r="D73" s="753"/>
      <c r="E73" s="753"/>
      <c r="F73" s="753"/>
      <c r="G73" s="753"/>
      <c r="H73" s="753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  <c r="AF73" s="755"/>
      <c r="AG73" s="755"/>
      <c r="AH73" s="755"/>
      <c r="AI73" s="755"/>
      <c r="AJ73" s="755"/>
      <c r="AK73" s="755"/>
      <c r="AL73" s="755"/>
      <c r="AM73" s="755"/>
      <c r="AN73" s="755"/>
      <c r="AO73" s="755"/>
      <c r="AP73" s="755"/>
    </row>
    <row r="74" spans="1:42">
      <c r="A74" s="753"/>
      <c r="B74" s="753"/>
      <c r="C74" s="753"/>
      <c r="D74" s="753"/>
      <c r="E74" s="753"/>
      <c r="F74" s="753"/>
      <c r="G74" s="753"/>
      <c r="H74" s="753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  <c r="AF74" s="755"/>
      <c r="AG74" s="755"/>
      <c r="AH74" s="755"/>
      <c r="AI74" s="755"/>
      <c r="AJ74" s="755"/>
      <c r="AK74" s="755"/>
      <c r="AL74" s="755"/>
      <c r="AM74" s="755"/>
      <c r="AN74" s="755"/>
      <c r="AO74" s="755"/>
      <c r="AP74" s="755"/>
    </row>
    <row r="75" spans="1:42">
      <c r="A75" s="753"/>
      <c r="B75" s="753"/>
      <c r="C75" s="753"/>
      <c r="D75" s="753"/>
      <c r="E75" s="753"/>
      <c r="F75" s="753"/>
      <c r="G75" s="753"/>
      <c r="H75" s="753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  <c r="AF75" s="755"/>
      <c r="AG75" s="755"/>
      <c r="AH75" s="755"/>
      <c r="AI75" s="755"/>
      <c r="AJ75" s="755"/>
      <c r="AK75" s="755"/>
      <c r="AL75" s="755"/>
      <c r="AM75" s="755"/>
      <c r="AN75" s="755"/>
      <c r="AO75" s="755"/>
      <c r="AP75" s="755"/>
    </row>
    <row r="76" spans="1:42">
      <c r="A76" s="753"/>
      <c r="B76" s="753"/>
      <c r="C76" s="753"/>
      <c r="D76" s="753"/>
      <c r="E76" s="753"/>
      <c r="F76" s="753"/>
      <c r="G76" s="753"/>
      <c r="H76" s="753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  <c r="AF76" s="755"/>
      <c r="AG76" s="755"/>
      <c r="AH76" s="755"/>
      <c r="AI76" s="755"/>
      <c r="AJ76" s="755"/>
      <c r="AK76" s="755"/>
      <c r="AL76" s="755"/>
      <c r="AM76" s="755"/>
      <c r="AN76" s="755"/>
      <c r="AO76" s="755"/>
      <c r="AP76" s="755"/>
    </row>
    <row r="77" spans="1:42">
      <c r="A77" s="753"/>
      <c r="B77" s="753"/>
      <c r="C77" s="753"/>
      <c r="D77" s="753"/>
      <c r="E77" s="753"/>
      <c r="F77" s="753"/>
      <c r="G77" s="753"/>
      <c r="H77" s="753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  <c r="AF77" s="755"/>
      <c r="AG77" s="755"/>
      <c r="AH77" s="755"/>
      <c r="AI77" s="755"/>
      <c r="AJ77" s="755"/>
      <c r="AK77" s="755"/>
      <c r="AL77" s="755"/>
      <c r="AM77" s="755"/>
      <c r="AN77" s="755"/>
      <c r="AO77" s="755"/>
      <c r="AP77" s="755"/>
    </row>
    <row r="78" spans="1:42">
      <c r="A78" s="753"/>
      <c r="B78" s="753"/>
      <c r="C78" s="753"/>
      <c r="D78" s="753"/>
      <c r="E78" s="753"/>
      <c r="F78" s="753"/>
      <c r="G78" s="753"/>
      <c r="H78" s="753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  <c r="AF78" s="755"/>
      <c r="AG78" s="755"/>
      <c r="AH78" s="755"/>
      <c r="AI78" s="755"/>
      <c r="AJ78" s="755"/>
      <c r="AK78" s="755"/>
      <c r="AL78" s="755"/>
      <c r="AM78" s="755"/>
      <c r="AN78" s="755"/>
      <c r="AO78" s="755"/>
      <c r="AP78" s="755"/>
    </row>
    <row r="79" spans="1:42">
      <c r="A79" s="753"/>
      <c r="B79" s="753"/>
      <c r="C79" s="753"/>
      <c r="D79" s="753"/>
      <c r="E79" s="753"/>
      <c r="F79" s="753"/>
      <c r="G79" s="753"/>
      <c r="H79" s="753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  <c r="AF79" s="755"/>
      <c r="AG79" s="755"/>
      <c r="AH79" s="755"/>
      <c r="AI79" s="755"/>
      <c r="AJ79" s="755"/>
      <c r="AK79" s="755"/>
      <c r="AL79" s="755"/>
      <c r="AM79" s="755"/>
      <c r="AN79" s="755"/>
      <c r="AO79" s="755"/>
      <c r="AP79" s="755"/>
    </row>
    <row r="80" spans="1:42">
      <c r="A80" s="753"/>
      <c r="B80" s="753"/>
      <c r="C80" s="753"/>
      <c r="D80" s="753"/>
      <c r="E80" s="753"/>
      <c r="F80" s="753"/>
      <c r="G80" s="753"/>
      <c r="H80" s="753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  <c r="AF80" s="755"/>
      <c r="AG80" s="755"/>
      <c r="AH80" s="755"/>
      <c r="AI80" s="755"/>
      <c r="AJ80" s="755"/>
      <c r="AK80" s="755"/>
      <c r="AL80" s="755"/>
      <c r="AM80" s="755"/>
      <c r="AN80" s="755"/>
      <c r="AO80" s="755"/>
      <c r="AP80" s="755"/>
    </row>
    <row r="81" spans="1:42">
      <c r="A81" s="753"/>
      <c r="B81" s="753"/>
      <c r="C81" s="753"/>
      <c r="D81" s="753"/>
      <c r="E81" s="753"/>
      <c r="F81" s="753"/>
      <c r="G81" s="753"/>
      <c r="H81" s="753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  <c r="AF81" s="755"/>
      <c r="AG81" s="755"/>
      <c r="AH81" s="755"/>
      <c r="AI81" s="755"/>
      <c r="AJ81" s="755"/>
      <c r="AK81" s="755"/>
      <c r="AL81" s="755"/>
      <c r="AM81" s="755"/>
      <c r="AN81" s="755"/>
      <c r="AO81" s="755"/>
      <c r="AP81" s="755"/>
    </row>
    <row r="82" spans="1:42">
      <c r="A82" s="753"/>
      <c r="B82" s="753"/>
      <c r="C82" s="753"/>
      <c r="D82" s="753"/>
      <c r="E82" s="753"/>
      <c r="F82" s="753"/>
      <c r="G82" s="753"/>
      <c r="H82" s="753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  <c r="AF82" s="755"/>
      <c r="AG82" s="755"/>
      <c r="AH82" s="755"/>
      <c r="AI82" s="755"/>
      <c r="AJ82" s="755"/>
      <c r="AK82" s="755"/>
      <c r="AL82" s="755"/>
      <c r="AM82" s="755"/>
      <c r="AN82" s="755"/>
      <c r="AO82" s="755"/>
      <c r="AP82" s="755"/>
    </row>
    <row r="83" spans="1:42">
      <c r="A83" s="753"/>
      <c r="B83" s="753"/>
      <c r="C83" s="753"/>
      <c r="D83" s="753"/>
      <c r="E83" s="753"/>
      <c r="F83" s="753"/>
      <c r="G83" s="753"/>
      <c r="H83" s="753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  <c r="AF83" s="755"/>
      <c r="AG83" s="755"/>
      <c r="AH83" s="755"/>
      <c r="AI83" s="755"/>
      <c r="AJ83" s="755"/>
      <c r="AK83" s="755"/>
      <c r="AL83" s="755"/>
      <c r="AM83" s="755"/>
      <c r="AN83" s="755"/>
      <c r="AO83" s="755"/>
      <c r="AP83" s="755"/>
    </row>
    <row r="84" spans="1:42">
      <c r="A84" s="753"/>
      <c r="B84" s="753"/>
      <c r="C84" s="753"/>
      <c r="D84" s="753"/>
      <c r="E84" s="753"/>
      <c r="F84" s="753"/>
      <c r="G84" s="753"/>
      <c r="H84" s="753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  <c r="AF84" s="755"/>
      <c r="AG84" s="755"/>
      <c r="AH84" s="755"/>
      <c r="AI84" s="755"/>
      <c r="AJ84" s="755"/>
      <c r="AK84" s="755"/>
      <c r="AL84" s="755"/>
      <c r="AM84" s="755"/>
      <c r="AN84" s="755"/>
      <c r="AO84" s="755"/>
      <c r="AP84" s="755"/>
    </row>
    <row r="85" spans="1:42">
      <c r="A85" s="753"/>
      <c r="B85" s="753"/>
      <c r="C85" s="753"/>
      <c r="D85" s="753"/>
      <c r="E85" s="753"/>
      <c r="F85" s="753"/>
      <c r="G85" s="753"/>
      <c r="H85" s="753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  <c r="AF85" s="755"/>
      <c r="AG85" s="755"/>
      <c r="AH85" s="755"/>
      <c r="AI85" s="755"/>
      <c r="AJ85" s="755"/>
      <c r="AK85" s="755"/>
      <c r="AL85" s="755"/>
      <c r="AM85" s="755"/>
      <c r="AN85" s="755"/>
      <c r="AO85" s="755"/>
      <c r="AP85" s="755"/>
    </row>
    <row r="86" spans="1:42">
      <c r="A86" s="753"/>
      <c r="B86" s="753"/>
      <c r="C86" s="753"/>
      <c r="D86" s="753"/>
      <c r="E86" s="753"/>
      <c r="F86" s="753"/>
      <c r="G86" s="753"/>
      <c r="H86" s="753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  <c r="AF86" s="755"/>
      <c r="AG86" s="755"/>
      <c r="AH86" s="755"/>
      <c r="AI86" s="755"/>
      <c r="AJ86" s="755"/>
      <c r="AK86" s="755"/>
      <c r="AL86" s="755"/>
      <c r="AM86" s="755"/>
      <c r="AN86" s="755"/>
      <c r="AO86" s="755"/>
      <c r="AP86" s="755"/>
    </row>
    <row r="87" spans="1:42">
      <c r="A87" s="753"/>
      <c r="B87" s="753"/>
      <c r="C87" s="753"/>
      <c r="D87" s="753"/>
      <c r="E87" s="753"/>
      <c r="F87" s="753"/>
      <c r="G87" s="753"/>
      <c r="H87" s="753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  <c r="AF87" s="755"/>
      <c r="AG87" s="755"/>
      <c r="AH87" s="755"/>
      <c r="AI87" s="755"/>
      <c r="AJ87" s="755"/>
      <c r="AK87" s="755"/>
      <c r="AL87" s="755"/>
      <c r="AM87" s="755"/>
      <c r="AN87" s="755"/>
      <c r="AO87" s="755"/>
      <c r="AP87" s="755"/>
    </row>
    <row r="88" spans="1:42">
      <c r="A88" s="753"/>
      <c r="B88" s="753"/>
      <c r="C88" s="753"/>
      <c r="D88" s="753"/>
      <c r="E88" s="753"/>
      <c r="F88" s="753"/>
      <c r="G88" s="753"/>
      <c r="H88" s="753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  <c r="AF88" s="755"/>
      <c r="AG88" s="755"/>
      <c r="AH88" s="755"/>
      <c r="AI88" s="755"/>
      <c r="AJ88" s="755"/>
      <c r="AK88" s="755"/>
      <c r="AL88" s="755"/>
      <c r="AM88" s="755"/>
      <c r="AN88" s="755"/>
      <c r="AO88" s="755"/>
      <c r="AP88" s="755"/>
    </row>
    <row r="89" spans="1:42">
      <c r="A89" s="753"/>
      <c r="B89" s="753"/>
      <c r="C89" s="753"/>
      <c r="D89" s="753"/>
      <c r="E89" s="753"/>
      <c r="F89" s="753"/>
      <c r="G89" s="753"/>
      <c r="H89" s="753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  <c r="AF89" s="755"/>
      <c r="AG89" s="755"/>
      <c r="AH89" s="755"/>
      <c r="AI89" s="755"/>
      <c r="AJ89" s="755"/>
      <c r="AK89" s="755"/>
      <c r="AL89" s="755"/>
      <c r="AM89" s="755"/>
      <c r="AN89" s="755"/>
      <c r="AO89" s="755"/>
      <c r="AP89" s="755"/>
    </row>
    <row r="90" spans="1:42">
      <c r="A90" s="753"/>
      <c r="B90" s="753"/>
      <c r="C90" s="753"/>
      <c r="D90" s="753"/>
      <c r="E90" s="753"/>
      <c r="F90" s="753"/>
      <c r="G90" s="753"/>
      <c r="H90" s="753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  <c r="AF90" s="755"/>
      <c r="AG90" s="755"/>
      <c r="AH90" s="755"/>
      <c r="AI90" s="755"/>
      <c r="AJ90" s="755"/>
      <c r="AK90" s="755"/>
      <c r="AL90" s="755"/>
      <c r="AM90" s="755"/>
      <c r="AN90" s="755"/>
      <c r="AO90" s="755"/>
      <c r="AP90" s="755"/>
    </row>
    <row r="91" spans="1:42">
      <c r="A91" s="753"/>
      <c r="B91" s="753"/>
      <c r="C91" s="753"/>
      <c r="D91" s="753"/>
      <c r="E91" s="753"/>
      <c r="F91" s="753"/>
      <c r="G91" s="753"/>
      <c r="H91" s="753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  <c r="AF91" s="755"/>
      <c r="AG91" s="755"/>
      <c r="AH91" s="755"/>
      <c r="AI91" s="755"/>
      <c r="AJ91" s="755"/>
      <c r="AK91" s="755"/>
      <c r="AL91" s="755"/>
      <c r="AM91" s="755"/>
      <c r="AN91" s="755"/>
      <c r="AO91" s="755"/>
      <c r="AP91" s="755"/>
    </row>
    <row r="92" spans="1:42">
      <c r="A92" s="753"/>
      <c r="B92" s="753"/>
      <c r="C92" s="753"/>
      <c r="D92" s="753"/>
      <c r="E92" s="753"/>
      <c r="F92" s="753"/>
      <c r="G92" s="753"/>
      <c r="H92" s="753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  <c r="AF92" s="755"/>
      <c r="AG92" s="755"/>
      <c r="AH92" s="755"/>
      <c r="AI92" s="755"/>
      <c r="AJ92" s="755"/>
      <c r="AK92" s="755"/>
      <c r="AL92" s="755"/>
      <c r="AM92" s="755"/>
      <c r="AN92" s="755"/>
      <c r="AO92" s="755"/>
      <c r="AP92" s="755"/>
    </row>
    <row r="93" spans="1:42">
      <c r="A93" s="753"/>
      <c r="B93" s="753"/>
      <c r="C93" s="753"/>
      <c r="D93" s="753"/>
      <c r="E93" s="753"/>
      <c r="F93" s="753"/>
      <c r="G93" s="753"/>
      <c r="H93" s="753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  <c r="AF93" s="755"/>
      <c r="AG93" s="755"/>
      <c r="AH93" s="755"/>
      <c r="AI93" s="755"/>
      <c r="AJ93" s="755"/>
      <c r="AK93" s="755"/>
      <c r="AL93" s="755"/>
      <c r="AM93" s="755"/>
      <c r="AN93" s="755"/>
      <c r="AO93" s="755"/>
      <c r="AP93" s="755"/>
    </row>
    <row r="94" spans="1:42">
      <c r="A94" s="753"/>
      <c r="B94" s="753"/>
      <c r="C94" s="753"/>
      <c r="D94" s="753"/>
      <c r="E94" s="753"/>
      <c r="F94" s="753"/>
      <c r="G94" s="753"/>
      <c r="H94" s="753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  <c r="AF94" s="755"/>
      <c r="AG94" s="755"/>
      <c r="AH94" s="755"/>
      <c r="AI94" s="755"/>
      <c r="AJ94" s="755"/>
      <c r="AK94" s="755"/>
      <c r="AL94" s="755"/>
      <c r="AM94" s="755"/>
      <c r="AN94" s="755"/>
      <c r="AO94" s="755"/>
      <c r="AP94" s="755"/>
    </row>
    <row r="95" spans="1:42">
      <c r="A95" s="753"/>
      <c r="B95" s="753"/>
      <c r="C95" s="753"/>
      <c r="D95" s="753"/>
      <c r="E95" s="753"/>
      <c r="F95" s="753"/>
      <c r="G95" s="753"/>
      <c r="H95" s="753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  <c r="AF95" s="755"/>
      <c r="AG95" s="755"/>
      <c r="AH95" s="755"/>
      <c r="AI95" s="755"/>
      <c r="AJ95" s="755"/>
      <c r="AK95" s="755"/>
      <c r="AL95" s="755"/>
      <c r="AM95" s="755"/>
      <c r="AN95" s="755"/>
      <c r="AO95" s="755"/>
      <c r="AP95" s="755"/>
    </row>
    <row r="96" spans="1:42">
      <c r="A96" s="753"/>
      <c r="B96" s="753"/>
      <c r="C96" s="753"/>
      <c r="D96" s="753"/>
      <c r="E96" s="753"/>
      <c r="F96" s="753"/>
      <c r="G96" s="753"/>
      <c r="H96" s="753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  <c r="AF96" s="755"/>
      <c r="AG96" s="755"/>
      <c r="AH96" s="755"/>
      <c r="AI96" s="755"/>
      <c r="AJ96" s="755"/>
      <c r="AK96" s="755"/>
      <c r="AL96" s="755"/>
      <c r="AM96" s="755"/>
      <c r="AN96" s="755"/>
      <c r="AO96" s="755"/>
      <c r="AP96" s="755"/>
    </row>
    <row r="97" spans="1:42">
      <c r="A97" s="753"/>
      <c r="B97" s="753"/>
      <c r="C97" s="753"/>
      <c r="D97" s="753"/>
      <c r="E97" s="753"/>
      <c r="F97" s="753"/>
      <c r="G97" s="753"/>
      <c r="H97" s="753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  <c r="AF97" s="755"/>
      <c r="AG97" s="755"/>
      <c r="AH97" s="755"/>
      <c r="AI97" s="755"/>
      <c r="AJ97" s="755"/>
      <c r="AK97" s="755"/>
      <c r="AL97" s="755"/>
      <c r="AM97" s="755"/>
      <c r="AN97" s="755"/>
      <c r="AO97" s="755"/>
      <c r="AP97" s="755"/>
    </row>
    <row r="98" spans="1:42">
      <c r="A98" s="753"/>
      <c r="B98" s="753"/>
      <c r="C98" s="753"/>
      <c r="D98" s="753"/>
      <c r="E98" s="753"/>
      <c r="F98" s="753"/>
      <c r="G98" s="753"/>
      <c r="H98" s="753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  <c r="AF98" s="755"/>
      <c r="AG98" s="755"/>
      <c r="AH98" s="755"/>
      <c r="AI98" s="755"/>
      <c r="AJ98" s="755"/>
      <c r="AK98" s="755"/>
      <c r="AL98" s="755"/>
      <c r="AM98" s="755"/>
      <c r="AN98" s="755"/>
      <c r="AO98" s="755"/>
      <c r="AP98" s="755"/>
    </row>
    <row r="99" spans="1:42">
      <c r="A99" s="753"/>
      <c r="B99" s="753"/>
      <c r="C99" s="753"/>
      <c r="D99" s="753"/>
      <c r="E99" s="753"/>
      <c r="F99" s="753"/>
      <c r="G99" s="753"/>
      <c r="H99" s="753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  <c r="AF99" s="755"/>
      <c r="AG99" s="755"/>
      <c r="AH99" s="755"/>
      <c r="AI99" s="755"/>
      <c r="AJ99" s="755"/>
      <c r="AK99" s="755"/>
      <c r="AL99" s="755"/>
      <c r="AM99" s="755"/>
      <c r="AN99" s="755"/>
      <c r="AO99" s="755"/>
      <c r="AP99" s="755"/>
    </row>
    <row r="100" spans="1:42">
      <c r="A100" s="753"/>
      <c r="B100" s="753"/>
      <c r="C100" s="753"/>
      <c r="D100" s="753"/>
      <c r="E100" s="753"/>
      <c r="F100" s="753"/>
      <c r="G100" s="753"/>
      <c r="H100" s="753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  <c r="AF100" s="755"/>
      <c r="AG100" s="755"/>
      <c r="AH100" s="755"/>
      <c r="AI100" s="755"/>
      <c r="AJ100" s="755"/>
      <c r="AK100" s="755"/>
      <c r="AL100" s="755"/>
      <c r="AM100" s="755"/>
      <c r="AN100" s="755"/>
      <c r="AO100" s="755"/>
      <c r="AP100" s="755"/>
    </row>
    <row r="101" spans="1:42">
      <c r="A101" s="753"/>
      <c r="B101" s="753"/>
      <c r="C101" s="753"/>
      <c r="D101" s="753"/>
      <c r="E101" s="753"/>
      <c r="F101" s="753"/>
      <c r="G101" s="753"/>
      <c r="H101" s="753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  <c r="AF101" s="755"/>
      <c r="AG101" s="755"/>
      <c r="AH101" s="755"/>
      <c r="AI101" s="755"/>
      <c r="AJ101" s="755"/>
      <c r="AK101" s="755"/>
      <c r="AL101" s="755"/>
      <c r="AM101" s="755"/>
      <c r="AN101" s="755"/>
      <c r="AO101" s="755"/>
      <c r="AP101" s="755"/>
    </row>
    <row r="102" spans="1:42">
      <c r="A102" s="753"/>
      <c r="B102" s="753"/>
      <c r="C102" s="753"/>
      <c r="D102" s="753"/>
      <c r="E102" s="753"/>
      <c r="F102" s="753"/>
      <c r="G102" s="753"/>
      <c r="H102" s="753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  <c r="AF102" s="755"/>
      <c r="AG102" s="755"/>
      <c r="AH102" s="755"/>
      <c r="AI102" s="755"/>
      <c r="AJ102" s="755"/>
      <c r="AK102" s="755"/>
      <c r="AL102" s="755"/>
      <c r="AM102" s="755"/>
      <c r="AN102" s="755"/>
      <c r="AO102" s="755"/>
      <c r="AP102" s="755"/>
    </row>
    <row r="103" spans="1:42">
      <c r="A103" s="753"/>
      <c r="B103" s="753"/>
      <c r="C103" s="753"/>
      <c r="D103" s="753"/>
      <c r="E103" s="753"/>
      <c r="F103" s="753"/>
      <c r="G103" s="753"/>
      <c r="H103" s="753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  <c r="AF103" s="755"/>
      <c r="AG103" s="755"/>
      <c r="AH103" s="755"/>
      <c r="AI103" s="755"/>
      <c r="AJ103" s="755"/>
      <c r="AK103" s="755"/>
      <c r="AL103" s="755"/>
      <c r="AM103" s="755"/>
      <c r="AN103" s="755"/>
      <c r="AO103" s="755"/>
      <c r="AP103" s="755"/>
    </row>
    <row r="104" spans="1:42">
      <c r="A104" s="753"/>
      <c r="B104" s="753"/>
      <c r="C104" s="753"/>
      <c r="D104" s="753"/>
      <c r="E104" s="753"/>
      <c r="F104" s="753"/>
      <c r="G104" s="753"/>
      <c r="H104" s="753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  <c r="AF104" s="755"/>
      <c r="AG104" s="755"/>
      <c r="AH104" s="755"/>
      <c r="AI104" s="755"/>
      <c r="AJ104" s="755"/>
      <c r="AK104" s="755"/>
      <c r="AL104" s="755"/>
      <c r="AM104" s="755"/>
      <c r="AN104" s="755"/>
      <c r="AO104" s="755"/>
      <c r="AP104" s="755"/>
    </row>
    <row r="105" spans="1:42">
      <c r="A105" s="753"/>
      <c r="B105" s="753"/>
      <c r="C105" s="753"/>
      <c r="D105" s="753"/>
      <c r="E105" s="753"/>
      <c r="F105" s="753"/>
      <c r="G105" s="753"/>
      <c r="H105" s="753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  <c r="AF105" s="755"/>
      <c r="AG105" s="755"/>
      <c r="AH105" s="755"/>
      <c r="AI105" s="755"/>
      <c r="AJ105" s="755"/>
      <c r="AK105" s="755"/>
      <c r="AL105" s="755"/>
      <c r="AM105" s="755"/>
      <c r="AN105" s="755"/>
      <c r="AO105" s="755"/>
      <c r="AP105" s="755"/>
    </row>
    <row r="106" spans="1:42">
      <c r="A106" s="753"/>
      <c r="B106" s="753"/>
      <c r="C106" s="753"/>
      <c r="D106" s="753"/>
      <c r="E106" s="753"/>
      <c r="F106" s="753"/>
      <c r="G106" s="753"/>
      <c r="H106" s="753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  <c r="AF106" s="755"/>
      <c r="AG106" s="755"/>
      <c r="AH106" s="755"/>
      <c r="AI106" s="755"/>
      <c r="AJ106" s="755"/>
      <c r="AK106" s="755"/>
      <c r="AL106" s="755"/>
      <c r="AM106" s="755"/>
      <c r="AN106" s="755"/>
      <c r="AO106" s="755"/>
      <c r="AP106" s="755"/>
    </row>
    <row r="107" spans="1:42">
      <c r="A107" s="753"/>
      <c r="B107" s="753"/>
      <c r="C107" s="753"/>
      <c r="D107" s="753"/>
      <c r="E107" s="753"/>
      <c r="F107" s="753"/>
      <c r="G107" s="753"/>
      <c r="H107" s="753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  <c r="AF107" s="755"/>
      <c r="AG107" s="755"/>
      <c r="AH107" s="755"/>
      <c r="AI107" s="755"/>
      <c r="AJ107" s="755"/>
      <c r="AK107" s="755"/>
      <c r="AL107" s="755"/>
      <c r="AM107" s="755"/>
      <c r="AN107" s="755"/>
      <c r="AO107" s="755"/>
      <c r="AP107" s="755"/>
    </row>
    <row r="108" spans="1:42">
      <c r="A108" s="753"/>
      <c r="B108" s="753"/>
      <c r="C108" s="753"/>
      <c r="D108" s="753"/>
      <c r="E108" s="753"/>
      <c r="F108" s="753"/>
      <c r="G108" s="753"/>
      <c r="H108" s="753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  <c r="AF108" s="755"/>
      <c r="AG108" s="755"/>
      <c r="AH108" s="755"/>
      <c r="AI108" s="755"/>
      <c r="AJ108" s="755"/>
      <c r="AK108" s="755"/>
      <c r="AL108" s="755"/>
      <c r="AM108" s="755"/>
      <c r="AN108" s="755"/>
      <c r="AO108" s="755"/>
      <c r="AP108" s="755"/>
    </row>
    <row r="109" spans="1:42">
      <c r="A109" s="753"/>
      <c r="B109" s="753"/>
      <c r="C109" s="753"/>
      <c r="D109" s="753"/>
      <c r="E109" s="753"/>
      <c r="F109" s="753"/>
      <c r="G109" s="753"/>
      <c r="H109" s="753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  <c r="AF109" s="755"/>
      <c r="AG109" s="755"/>
      <c r="AH109" s="755"/>
      <c r="AI109" s="755"/>
      <c r="AJ109" s="755"/>
      <c r="AK109" s="755"/>
      <c r="AL109" s="755"/>
      <c r="AM109" s="755"/>
      <c r="AN109" s="755"/>
      <c r="AO109" s="755"/>
      <c r="AP109" s="755"/>
    </row>
    <row r="110" spans="1:42">
      <c r="A110" s="753"/>
      <c r="B110" s="753"/>
      <c r="C110" s="753"/>
      <c r="D110" s="753"/>
      <c r="E110" s="753"/>
      <c r="F110" s="753"/>
      <c r="G110" s="753"/>
      <c r="H110" s="753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  <c r="AF110" s="755"/>
      <c r="AG110" s="755"/>
      <c r="AH110" s="755"/>
      <c r="AI110" s="755"/>
      <c r="AJ110" s="755"/>
      <c r="AK110" s="755"/>
      <c r="AL110" s="755"/>
      <c r="AM110" s="755"/>
      <c r="AN110" s="755"/>
      <c r="AO110" s="755"/>
      <c r="AP110" s="755"/>
    </row>
    <row r="111" spans="1:42">
      <c r="A111" s="753"/>
      <c r="B111" s="753"/>
      <c r="C111" s="753"/>
      <c r="D111" s="753"/>
      <c r="E111" s="753"/>
      <c r="F111" s="753"/>
      <c r="G111" s="753"/>
      <c r="H111" s="753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  <c r="AF111" s="755"/>
      <c r="AG111" s="755"/>
      <c r="AH111" s="755"/>
      <c r="AI111" s="755"/>
      <c r="AJ111" s="755"/>
      <c r="AK111" s="755"/>
      <c r="AL111" s="755"/>
      <c r="AM111" s="755"/>
      <c r="AN111" s="755"/>
      <c r="AO111" s="755"/>
      <c r="AP111" s="755"/>
    </row>
    <row r="112" spans="1:42">
      <c r="A112" s="753"/>
      <c r="B112" s="753"/>
      <c r="C112" s="753"/>
      <c r="D112" s="753"/>
      <c r="E112" s="753"/>
      <c r="F112" s="753"/>
      <c r="G112" s="753"/>
      <c r="H112" s="753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  <c r="AF112" s="755"/>
      <c r="AG112" s="755"/>
      <c r="AH112" s="755"/>
      <c r="AI112" s="755"/>
      <c r="AJ112" s="755"/>
      <c r="AK112" s="755"/>
      <c r="AL112" s="755"/>
      <c r="AM112" s="755"/>
      <c r="AN112" s="755"/>
      <c r="AO112" s="755"/>
      <c r="AP112" s="755"/>
    </row>
    <row r="113" spans="1:42">
      <c r="A113" s="753"/>
      <c r="B113" s="753"/>
      <c r="C113" s="753"/>
      <c r="D113" s="753"/>
      <c r="E113" s="753"/>
      <c r="F113" s="753"/>
      <c r="G113" s="753"/>
      <c r="H113" s="753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  <c r="AF113" s="755"/>
      <c r="AG113" s="755"/>
      <c r="AH113" s="755"/>
      <c r="AI113" s="755"/>
      <c r="AJ113" s="755"/>
      <c r="AK113" s="755"/>
      <c r="AL113" s="755"/>
      <c r="AM113" s="755"/>
      <c r="AN113" s="755"/>
      <c r="AO113" s="755"/>
      <c r="AP113" s="755"/>
    </row>
    <row r="114" spans="1:42">
      <c r="A114" s="753"/>
      <c r="B114" s="753"/>
      <c r="C114" s="753"/>
      <c r="D114" s="753"/>
      <c r="E114" s="753"/>
      <c r="F114" s="753"/>
      <c r="G114" s="753"/>
      <c r="H114" s="753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  <c r="AF114" s="755"/>
      <c r="AG114" s="755"/>
      <c r="AH114" s="755"/>
      <c r="AI114" s="755"/>
      <c r="AJ114" s="755"/>
      <c r="AK114" s="755"/>
      <c r="AL114" s="755"/>
      <c r="AM114" s="755"/>
      <c r="AN114" s="755"/>
      <c r="AO114" s="755"/>
      <c r="AP114" s="755"/>
    </row>
    <row r="115" spans="1:42">
      <c r="A115" s="753"/>
      <c r="B115" s="753"/>
      <c r="C115" s="753"/>
      <c r="D115" s="753"/>
      <c r="E115" s="753"/>
      <c r="F115" s="753"/>
      <c r="G115" s="753"/>
      <c r="H115" s="753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  <c r="AF115" s="755"/>
      <c r="AG115" s="755"/>
      <c r="AH115" s="755"/>
      <c r="AI115" s="755"/>
      <c r="AJ115" s="755"/>
      <c r="AK115" s="755"/>
      <c r="AL115" s="755"/>
      <c r="AM115" s="755"/>
      <c r="AN115" s="755"/>
      <c r="AO115" s="755"/>
      <c r="AP115" s="755"/>
    </row>
    <row r="116" spans="1:42">
      <c r="A116" s="753"/>
      <c r="B116" s="753"/>
      <c r="C116" s="753"/>
      <c r="D116" s="753"/>
      <c r="E116" s="753"/>
      <c r="F116" s="753"/>
      <c r="G116" s="753"/>
      <c r="H116" s="753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  <c r="AF116" s="755"/>
      <c r="AG116" s="755"/>
      <c r="AH116" s="755"/>
      <c r="AI116" s="755"/>
      <c r="AJ116" s="755"/>
      <c r="AK116" s="755"/>
      <c r="AL116" s="755"/>
      <c r="AM116" s="755"/>
      <c r="AN116" s="755"/>
      <c r="AO116" s="755"/>
      <c r="AP116" s="755"/>
    </row>
    <row r="117" spans="1:42">
      <c r="A117" s="753"/>
      <c r="B117" s="753"/>
      <c r="C117" s="753"/>
      <c r="D117" s="753"/>
      <c r="E117" s="753"/>
      <c r="F117" s="753"/>
      <c r="G117" s="753"/>
      <c r="H117" s="753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  <c r="AF117" s="755"/>
      <c r="AG117" s="755"/>
      <c r="AH117" s="755"/>
      <c r="AI117" s="755"/>
      <c r="AJ117" s="755"/>
      <c r="AK117" s="755"/>
      <c r="AL117" s="755"/>
      <c r="AM117" s="755"/>
      <c r="AN117" s="755"/>
      <c r="AO117" s="755"/>
      <c r="AP117" s="755"/>
    </row>
    <row r="118" spans="1:42">
      <c r="A118" s="753"/>
      <c r="B118" s="753"/>
      <c r="C118" s="753"/>
      <c r="D118" s="753"/>
      <c r="E118" s="753"/>
      <c r="F118" s="753"/>
      <c r="G118" s="753"/>
      <c r="H118" s="753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  <c r="AF118" s="755"/>
      <c r="AG118" s="755"/>
      <c r="AH118" s="755"/>
      <c r="AI118" s="755"/>
      <c r="AJ118" s="755"/>
      <c r="AK118" s="755"/>
      <c r="AL118" s="755"/>
      <c r="AM118" s="755"/>
      <c r="AN118" s="755"/>
      <c r="AO118" s="755"/>
      <c r="AP118" s="755"/>
    </row>
    <row r="119" spans="1:42">
      <c r="A119" s="753"/>
      <c r="B119" s="753"/>
      <c r="C119" s="753"/>
      <c r="D119" s="753"/>
      <c r="E119" s="753"/>
      <c r="F119" s="753"/>
      <c r="G119" s="753"/>
      <c r="H119" s="753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  <c r="AF119" s="755"/>
      <c r="AG119" s="755"/>
      <c r="AH119" s="755"/>
      <c r="AI119" s="755"/>
      <c r="AJ119" s="755"/>
      <c r="AK119" s="755"/>
      <c r="AL119" s="755"/>
      <c r="AM119" s="755"/>
      <c r="AN119" s="755"/>
      <c r="AO119" s="755"/>
      <c r="AP119" s="755"/>
    </row>
    <row r="120" spans="1:42">
      <c r="A120" s="753"/>
      <c r="B120" s="753"/>
      <c r="C120" s="753"/>
      <c r="D120" s="753"/>
      <c r="E120" s="753"/>
      <c r="F120" s="753"/>
      <c r="G120" s="753"/>
      <c r="H120" s="753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  <c r="AF120" s="755"/>
      <c r="AG120" s="755"/>
      <c r="AH120" s="755"/>
      <c r="AI120" s="755"/>
      <c r="AJ120" s="755"/>
      <c r="AK120" s="755"/>
      <c r="AL120" s="755"/>
      <c r="AM120" s="755"/>
      <c r="AN120" s="755"/>
      <c r="AO120" s="755"/>
      <c r="AP120" s="755"/>
    </row>
    <row r="121" spans="1:42">
      <c r="A121" s="753"/>
      <c r="B121" s="753"/>
      <c r="C121" s="753"/>
      <c r="D121" s="753"/>
      <c r="E121" s="753"/>
      <c r="F121" s="753"/>
      <c r="G121" s="753"/>
      <c r="H121" s="753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  <c r="AF121" s="755"/>
      <c r="AG121" s="755"/>
      <c r="AH121" s="755"/>
      <c r="AI121" s="755"/>
      <c r="AJ121" s="755"/>
      <c r="AK121" s="755"/>
      <c r="AL121" s="755"/>
      <c r="AM121" s="755"/>
      <c r="AN121" s="755"/>
      <c r="AO121" s="755"/>
      <c r="AP121" s="755"/>
    </row>
    <row r="122" spans="1:42">
      <c r="A122" s="753"/>
      <c r="B122" s="753"/>
      <c r="C122" s="753"/>
      <c r="D122" s="753"/>
      <c r="E122" s="753"/>
      <c r="F122" s="753"/>
      <c r="G122" s="753"/>
      <c r="H122" s="753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  <c r="AF122" s="755"/>
      <c r="AG122" s="755"/>
      <c r="AH122" s="755"/>
      <c r="AI122" s="755"/>
      <c r="AJ122" s="755"/>
      <c r="AK122" s="755"/>
      <c r="AL122" s="755"/>
      <c r="AM122" s="755"/>
      <c r="AN122" s="755"/>
      <c r="AO122" s="755"/>
      <c r="AP122" s="755"/>
    </row>
    <row r="123" spans="1:42">
      <c r="A123" s="753"/>
      <c r="B123" s="753"/>
      <c r="C123" s="753"/>
      <c r="D123" s="753"/>
      <c r="E123" s="753"/>
      <c r="F123" s="753"/>
      <c r="G123" s="753"/>
      <c r="H123" s="753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  <c r="AF123" s="755"/>
      <c r="AG123" s="755"/>
      <c r="AH123" s="755"/>
      <c r="AI123" s="755"/>
      <c r="AJ123" s="755"/>
      <c r="AK123" s="755"/>
      <c r="AL123" s="755"/>
      <c r="AM123" s="755"/>
      <c r="AN123" s="755"/>
      <c r="AO123" s="755"/>
      <c r="AP123" s="755"/>
    </row>
    <row r="124" spans="1:42">
      <c r="A124" s="753"/>
      <c r="B124" s="753"/>
      <c r="C124" s="753"/>
      <c r="D124" s="753"/>
      <c r="E124" s="753"/>
      <c r="F124" s="753"/>
      <c r="G124" s="753"/>
      <c r="H124" s="753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  <c r="AF124" s="755"/>
      <c r="AG124" s="755"/>
      <c r="AH124" s="755"/>
      <c r="AI124" s="755"/>
      <c r="AJ124" s="755"/>
      <c r="AK124" s="755"/>
      <c r="AL124" s="755"/>
      <c r="AM124" s="755"/>
      <c r="AN124" s="755"/>
      <c r="AO124" s="755"/>
      <c r="AP124" s="755"/>
    </row>
    <row r="125" spans="1:42">
      <c r="A125" s="753"/>
      <c r="B125" s="753"/>
      <c r="C125" s="753"/>
      <c r="D125" s="753"/>
      <c r="E125" s="753"/>
      <c r="F125" s="753"/>
      <c r="G125" s="753"/>
      <c r="H125" s="753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  <c r="AF125" s="755"/>
      <c r="AG125" s="755"/>
      <c r="AH125" s="755"/>
      <c r="AI125" s="755"/>
      <c r="AJ125" s="755"/>
      <c r="AK125" s="755"/>
      <c r="AL125" s="755"/>
      <c r="AM125" s="755"/>
      <c r="AN125" s="755"/>
      <c r="AO125" s="755"/>
      <c r="AP125" s="755"/>
    </row>
    <row r="126" spans="1:42">
      <c r="A126" s="753"/>
      <c r="B126" s="753"/>
      <c r="C126" s="753"/>
      <c r="D126" s="753"/>
      <c r="E126" s="753"/>
      <c r="F126" s="753"/>
      <c r="G126" s="753"/>
      <c r="H126" s="753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  <c r="AF126" s="755"/>
      <c r="AG126" s="755"/>
      <c r="AH126" s="755"/>
      <c r="AI126" s="755"/>
      <c r="AJ126" s="755"/>
      <c r="AK126" s="755"/>
      <c r="AL126" s="755"/>
      <c r="AM126" s="755"/>
      <c r="AN126" s="755"/>
      <c r="AO126" s="755"/>
      <c r="AP126" s="755"/>
    </row>
    <row r="127" spans="1:42">
      <c r="A127" s="753"/>
      <c r="B127" s="753"/>
      <c r="C127" s="753"/>
      <c r="D127" s="753"/>
      <c r="E127" s="753"/>
      <c r="F127" s="753"/>
      <c r="G127" s="753"/>
      <c r="H127" s="753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  <c r="AF127" s="755"/>
      <c r="AG127" s="755"/>
      <c r="AH127" s="755"/>
      <c r="AI127" s="755"/>
      <c r="AJ127" s="755"/>
      <c r="AK127" s="755"/>
      <c r="AL127" s="755"/>
      <c r="AM127" s="755"/>
      <c r="AN127" s="755"/>
      <c r="AO127" s="755"/>
      <c r="AP127" s="755"/>
    </row>
    <row r="128" spans="1:42">
      <c r="A128" s="753"/>
      <c r="B128" s="753"/>
      <c r="C128" s="753"/>
      <c r="D128" s="753"/>
      <c r="E128" s="753"/>
      <c r="F128" s="753"/>
      <c r="G128" s="753"/>
      <c r="H128" s="753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  <c r="AF128" s="755"/>
      <c r="AG128" s="755"/>
      <c r="AH128" s="755"/>
      <c r="AI128" s="755"/>
      <c r="AJ128" s="755"/>
      <c r="AK128" s="755"/>
      <c r="AL128" s="755"/>
      <c r="AM128" s="755"/>
      <c r="AN128" s="755"/>
      <c r="AO128" s="755"/>
      <c r="AP128" s="755"/>
    </row>
    <row r="129" spans="1:42">
      <c r="A129" s="753"/>
      <c r="B129" s="753"/>
      <c r="C129" s="753"/>
      <c r="D129" s="753"/>
      <c r="E129" s="753"/>
      <c r="F129" s="753"/>
      <c r="G129" s="753"/>
      <c r="H129" s="753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  <c r="AF129" s="755"/>
      <c r="AG129" s="755"/>
      <c r="AH129" s="755"/>
      <c r="AI129" s="755"/>
      <c r="AJ129" s="755"/>
      <c r="AK129" s="755"/>
      <c r="AL129" s="755"/>
      <c r="AM129" s="755"/>
      <c r="AN129" s="755"/>
      <c r="AO129" s="755"/>
      <c r="AP129" s="755"/>
    </row>
    <row r="130" spans="1:42">
      <c r="A130" s="753"/>
      <c r="B130" s="753"/>
      <c r="C130" s="753"/>
      <c r="D130" s="753"/>
      <c r="E130" s="753"/>
      <c r="F130" s="753"/>
      <c r="G130" s="753"/>
      <c r="H130" s="753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  <c r="AF130" s="755"/>
      <c r="AG130" s="755"/>
      <c r="AH130" s="755"/>
      <c r="AI130" s="755"/>
      <c r="AJ130" s="755"/>
      <c r="AK130" s="755"/>
      <c r="AL130" s="755"/>
      <c r="AM130" s="755"/>
      <c r="AN130" s="755"/>
      <c r="AO130" s="755"/>
      <c r="AP130" s="755"/>
    </row>
    <row r="131" spans="1:42">
      <c r="A131" s="753"/>
      <c r="B131" s="753"/>
      <c r="C131" s="753"/>
      <c r="D131" s="753"/>
      <c r="E131" s="753"/>
      <c r="F131" s="753"/>
      <c r="G131" s="753"/>
      <c r="H131" s="753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  <c r="AF131" s="755"/>
      <c r="AG131" s="755"/>
      <c r="AH131" s="755"/>
      <c r="AI131" s="755"/>
      <c r="AJ131" s="755"/>
      <c r="AK131" s="755"/>
      <c r="AL131" s="755"/>
      <c r="AM131" s="755"/>
      <c r="AN131" s="755"/>
      <c r="AO131" s="755"/>
      <c r="AP131" s="755"/>
    </row>
    <row r="132" spans="1:42">
      <c r="A132" s="753"/>
      <c r="B132" s="753"/>
      <c r="C132" s="753"/>
      <c r="D132" s="753"/>
      <c r="E132" s="753"/>
      <c r="F132" s="753"/>
      <c r="G132" s="753"/>
      <c r="H132" s="753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  <c r="AF132" s="755"/>
      <c r="AG132" s="755"/>
      <c r="AH132" s="755"/>
      <c r="AI132" s="755"/>
      <c r="AJ132" s="755"/>
      <c r="AK132" s="755"/>
      <c r="AL132" s="755"/>
      <c r="AM132" s="755"/>
      <c r="AN132" s="755"/>
      <c r="AO132" s="755"/>
      <c r="AP132" s="755"/>
    </row>
    <row r="133" spans="1:42">
      <c r="A133" s="753"/>
      <c r="B133" s="753"/>
      <c r="C133" s="753"/>
      <c r="D133" s="753"/>
      <c r="E133" s="753"/>
      <c r="F133" s="753"/>
      <c r="G133" s="753"/>
      <c r="H133" s="753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  <c r="AF133" s="755"/>
      <c r="AG133" s="755"/>
      <c r="AH133" s="755"/>
      <c r="AI133" s="755"/>
      <c r="AJ133" s="755"/>
      <c r="AK133" s="755"/>
      <c r="AL133" s="755"/>
      <c r="AM133" s="755"/>
      <c r="AN133" s="755"/>
      <c r="AO133" s="755"/>
      <c r="AP133" s="755"/>
    </row>
    <row r="134" spans="1:42">
      <c r="A134" s="753"/>
      <c r="B134" s="753"/>
      <c r="C134" s="753"/>
      <c r="D134" s="753"/>
      <c r="E134" s="753"/>
      <c r="F134" s="753"/>
      <c r="G134" s="753"/>
      <c r="H134" s="753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  <c r="AF134" s="755"/>
      <c r="AG134" s="755"/>
      <c r="AH134" s="755"/>
      <c r="AI134" s="755"/>
      <c r="AJ134" s="755"/>
      <c r="AK134" s="755"/>
      <c r="AL134" s="755"/>
      <c r="AM134" s="755"/>
      <c r="AN134" s="755"/>
      <c r="AO134" s="755"/>
      <c r="AP134" s="755"/>
    </row>
    <row r="135" spans="1:42">
      <c r="A135" s="753"/>
      <c r="B135" s="753"/>
      <c r="C135" s="753"/>
      <c r="D135" s="753"/>
      <c r="E135" s="753"/>
      <c r="F135" s="753"/>
      <c r="G135" s="753"/>
      <c r="H135" s="753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  <c r="AF135" s="755"/>
      <c r="AG135" s="755"/>
      <c r="AH135" s="755"/>
      <c r="AI135" s="755"/>
      <c r="AJ135" s="755"/>
      <c r="AK135" s="755"/>
      <c r="AL135" s="755"/>
      <c r="AM135" s="755"/>
      <c r="AN135" s="755"/>
      <c r="AO135" s="755"/>
      <c r="AP135" s="755"/>
    </row>
    <row r="136" spans="1:42">
      <c r="A136" s="753"/>
      <c r="B136" s="753"/>
      <c r="C136" s="753"/>
      <c r="D136" s="753"/>
      <c r="E136" s="753"/>
      <c r="F136" s="753"/>
      <c r="G136" s="753"/>
      <c r="H136" s="753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  <c r="AF136" s="755"/>
      <c r="AG136" s="755"/>
      <c r="AH136" s="755"/>
      <c r="AI136" s="755"/>
      <c r="AJ136" s="755"/>
      <c r="AK136" s="755"/>
      <c r="AL136" s="755"/>
      <c r="AM136" s="755"/>
      <c r="AN136" s="755"/>
      <c r="AO136" s="755"/>
      <c r="AP136" s="755"/>
    </row>
    <row r="137" spans="1:42">
      <c r="A137" s="753"/>
      <c r="B137" s="753"/>
      <c r="C137" s="753"/>
      <c r="D137" s="753"/>
      <c r="E137" s="753"/>
      <c r="F137" s="753"/>
      <c r="G137" s="753"/>
      <c r="H137" s="753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  <c r="AF137" s="755"/>
      <c r="AG137" s="755"/>
      <c r="AH137" s="755"/>
      <c r="AI137" s="755"/>
      <c r="AJ137" s="755"/>
      <c r="AK137" s="755"/>
      <c r="AL137" s="755"/>
      <c r="AM137" s="755"/>
      <c r="AN137" s="755"/>
      <c r="AO137" s="755"/>
      <c r="AP137" s="755"/>
    </row>
    <row r="138" spans="1:42">
      <c r="A138" s="753"/>
      <c r="B138" s="753"/>
      <c r="C138" s="753"/>
      <c r="D138" s="753"/>
      <c r="E138" s="753"/>
      <c r="F138" s="753"/>
      <c r="G138" s="753"/>
      <c r="H138" s="753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  <c r="AF138" s="755"/>
      <c r="AG138" s="755"/>
      <c r="AH138" s="755"/>
      <c r="AI138" s="755"/>
      <c r="AJ138" s="755"/>
      <c r="AK138" s="755"/>
      <c r="AL138" s="755"/>
      <c r="AM138" s="755"/>
      <c r="AN138" s="755"/>
      <c r="AO138" s="755"/>
      <c r="AP138" s="755"/>
    </row>
    <row r="139" spans="1:42">
      <c r="A139" s="753"/>
      <c r="B139" s="753"/>
      <c r="C139" s="753"/>
      <c r="D139" s="753"/>
      <c r="E139" s="753"/>
      <c r="F139" s="753"/>
      <c r="G139" s="753"/>
      <c r="H139" s="753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  <c r="AF139" s="755"/>
      <c r="AG139" s="755"/>
      <c r="AH139" s="755"/>
      <c r="AI139" s="755"/>
      <c r="AJ139" s="755"/>
      <c r="AK139" s="755"/>
      <c r="AL139" s="755"/>
      <c r="AM139" s="755"/>
      <c r="AN139" s="755"/>
      <c r="AO139" s="755"/>
      <c r="AP139" s="755"/>
    </row>
    <row r="140" spans="1:42">
      <c r="A140" s="753"/>
      <c r="B140" s="753"/>
      <c r="C140" s="753"/>
      <c r="D140" s="753"/>
      <c r="E140" s="753"/>
      <c r="F140" s="753"/>
      <c r="G140" s="753"/>
      <c r="H140" s="753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  <c r="AF140" s="755"/>
      <c r="AG140" s="755"/>
      <c r="AH140" s="755"/>
      <c r="AI140" s="755"/>
      <c r="AJ140" s="755"/>
      <c r="AK140" s="755"/>
      <c r="AL140" s="755"/>
      <c r="AM140" s="755"/>
      <c r="AN140" s="755"/>
      <c r="AO140" s="755"/>
      <c r="AP140" s="755"/>
    </row>
    <row r="141" spans="1:42">
      <c r="A141" s="753"/>
      <c r="B141" s="753"/>
      <c r="C141" s="753"/>
      <c r="D141" s="753"/>
      <c r="E141" s="753"/>
      <c r="F141" s="753"/>
      <c r="G141" s="753"/>
      <c r="H141" s="753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  <c r="AF141" s="755"/>
      <c r="AG141" s="755"/>
      <c r="AH141" s="755"/>
      <c r="AI141" s="755"/>
      <c r="AJ141" s="755"/>
      <c r="AK141" s="755"/>
      <c r="AL141" s="755"/>
      <c r="AM141" s="755"/>
      <c r="AN141" s="755"/>
      <c r="AO141" s="755"/>
      <c r="AP141" s="755"/>
    </row>
    <row r="142" spans="1:42">
      <c r="A142" s="753"/>
      <c r="B142" s="753"/>
      <c r="C142" s="753"/>
      <c r="D142" s="753"/>
      <c r="E142" s="753"/>
      <c r="F142" s="753"/>
      <c r="G142" s="753"/>
      <c r="H142" s="753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  <c r="AF142" s="755"/>
      <c r="AG142" s="755"/>
      <c r="AH142" s="755"/>
      <c r="AI142" s="755"/>
      <c r="AJ142" s="755"/>
      <c r="AK142" s="755"/>
      <c r="AL142" s="755"/>
      <c r="AM142" s="755"/>
      <c r="AN142" s="755"/>
      <c r="AO142" s="755"/>
      <c r="AP142" s="755"/>
    </row>
    <row r="143" spans="1:42">
      <c r="A143" s="753"/>
      <c r="B143" s="753"/>
      <c r="C143" s="753"/>
      <c r="D143" s="753"/>
      <c r="E143" s="753"/>
      <c r="F143" s="753"/>
      <c r="G143" s="753"/>
      <c r="H143" s="753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  <c r="AF143" s="755"/>
      <c r="AG143" s="755"/>
      <c r="AH143" s="755"/>
      <c r="AI143" s="755"/>
      <c r="AJ143" s="755"/>
      <c r="AK143" s="755"/>
      <c r="AL143" s="755"/>
      <c r="AM143" s="755"/>
      <c r="AN143" s="755"/>
      <c r="AO143" s="755"/>
      <c r="AP143" s="755"/>
    </row>
    <row r="144" spans="1:42">
      <c r="A144" s="753"/>
      <c r="B144" s="753"/>
      <c r="C144" s="753"/>
      <c r="D144" s="753"/>
      <c r="E144" s="753"/>
      <c r="F144" s="753"/>
      <c r="G144" s="753"/>
      <c r="H144" s="753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  <c r="AF144" s="755"/>
      <c r="AG144" s="755"/>
      <c r="AH144" s="755"/>
      <c r="AI144" s="755"/>
      <c r="AJ144" s="755"/>
      <c r="AK144" s="755"/>
      <c r="AL144" s="755"/>
      <c r="AM144" s="755"/>
      <c r="AN144" s="755"/>
      <c r="AO144" s="755"/>
      <c r="AP144" s="755"/>
    </row>
    <row r="145" spans="1:42">
      <c r="A145" s="753"/>
      <c r="B145" s="753"/>
      <c r="C145" s="753"/>
      <c r="D145" s="753"/>
      <c r="E145" s="753"/>
      <c r="F145" s="753"/>
      <c r="G145" s="753"/>
      <c r="H145" s="753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  <c r="AF145" s="755"/>
      <c r="AG145" s="755"/>
      <c r="AH145" s="755"/>
      <c r="AI145" s="755"/>
      <c r="AJ145" s="755"/>
      <c r="AK145" s="755"/>
      <c r="AL145" s="755"/>
      <c r="AM145" s="755"/>
      <c r="AN145" s="755"/>
      <c r="AO145" s="755"/>
      <c r="AP145" s="755"/>
    </row>
    <row r="146" spans="1:42">
      <c r="A146" s="753"/>
      <c r="B146" s="753"/>
      <c r="C146" s="753"/>
      <c r="D146" s="753"/>
      <c r="E146" s="753"/>
      <c r="F146" s="753"/>
      <c r="G146" s="753"/>
      <c r="H146" s="753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  <c r="AF146" s="755"/>
      <c r="AG146" s="755"/>
      <c r="AH146" s="755"/>
      <c r="AI146" s="755"/>
      <c r="AJ146" s="755"/>
      <c r="AK146" s="755"/>
      <c r="AL146" s="755"/>
      <c r="AM146" s="755"/>
      <c r="AN146" s="755"/>
      <c r="AO146" s="755"/>
      <c r="AP146" s="755"/>
    </row>
    <row r="147" spans="1:42">
      <c r="A147" s="753"/>
      <c r="B147" s="753"/>
      <c r="C147" s="753"/>
      <c r="D147" s="753"/>
      <c r="E147" s="753"/>
      <c r="F147" s="753"/>
      <c r="G147" s="753"/>
      <c r="H147" s="753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  <c r="AF147" s="755"/>
      <c r="AG147" s="755"/>
      <c r="AH147" s="755"/>
      <c r="AI147" s="755"/>
      <c r="AJ147" s="755"/>
      <c r="AK147" s="755"/>
      <c r="AL147" s="755"/>
      <c r="AM147" s="755"/>
      <c r="AN147" s="755"/>
      <c r="AO147" s="755"/>
      <c r="AP147" s="755"/>
    </row>
    <row r="148" spans="1:42">
      <c r="A148" s="753"/>
      <c r="B148" s="753"/>
      <c r="C148" s="753"/>
      <c r="D148" s="753"/>
      <c r="E148" s="753"/>
      <c r="F148" s="753"/>
      <c r="G148" s="753"/>
      <c r="H148" s="753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  <c r="AF148" s="755"/>
      <c r="AG148" s="755"/>
      <c r="AH148" s="755"/>
      <c r="AI148" s="755"/>
      <c r="AJ148" s="755"/>
      <c r="AK148" s="755"/>
      <c r="AL148" s="755"/>
      <c r="AM148" s="755"/>
      <c r="AN148" s="755"/>
      <c r="AO148" s="755"/>
      <c r="AP148" s="755"/>
    </row>
    <row r="149" spans="1:42">
      <c r="A149" s="753"/>
      <c r="B149" s="753"/>
      <c r="C149" s="753"/>
      <c r="D149" s="753"/>
      <c r="E149" s="753"/>
      <c r="F149" s="753"/>
      <c r="G149" s="753"/>
      <c r="H149" s="753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  <c r="AF149" s="755"/>
      <c r="AG149" s="755"/>
      <c r="AH149" s="755"/>
      <c r="AI149" s="755"/>
      <c r="AJ149" s="755"/>
      <c r="AK149" s="755"/>
      <c r="AL149" s="755"/>
      <c r="AM149" s="755"/>
      <c r="AN149" s="755"/>
      <c r="AO149" s="755"/>
      <c r="AP149" s="755"/>
    </row>
    <row r="150" spans="1:42">
      <c r="A150" s="753"/>
      <c r="B150" s="753"/>
      <c r="C150" s="753"/>
      <c r="D150" s="753"/>
      <c r="E150" s="753"/>
      <c r="F150" s="753"/>
      <c r="G150" s="753"/>
      <c r="H150" s="753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  <c r="AF150" s="755"/>
      <c r="AG150" s="755"/>
      <c r="AH150" s="755"/>
      <c r="AI150" s="755"/>
      <c r="AJ150" s="755"/>
      <c r="AK150" s="755"/>
      <c r="AL150" s="755"/>
      <c r="AM150" s="755"/>
      <c r="AN150" s="755"/>
      <c r="AO150" s="755"/>
      <c r="AP150" s="755"/>
    </row>
    <row r="151" spans="1:42">
      <c r="A151" s="753"/>
      <c r="B151" s="753"/>
      <c r="C151" s="753"/>
      <c r="D151" s="753"/>
      <c r="E151" s="753"/>
      <c r="F151" s="753"/>
      <c r="G151" s="753"/>
      <c r="H151" s="753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  <c r="AF151" s="755"/>
      <c r="AG151" s="755"/>
      <c r="AH151" s="755"/>
      <c r="AI151" s="755"/>
      <c r="AJ151" s="755"/>
      <c r="AK151" s="755"/>
      <c r="AL151" s="755"/>
      <c r="AM151" s="755"/>
      <c r="AN151" s="755"/>
      <c r="AO151" s="755"/>
      <c r="AP151" s="755"/>
    </row>
    <row r="152" spans="1:42">
      <c r="A152" s="753"/>
      <c r="B152" s="753"/>
      <c r="C152" s="753"/>
      <c r="D152" s="753"/>
      <c r="E152" s="753"/>
      <c r="F152" s="753"/>
      <c r="G152" s="753"/>
      <c r="H152" s="753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  <c r="AF152" s="755"/>
      <c r="AG152" s="755"/>
      <c r="AH152" s="755"/>
      <c r="AI152" s="755"/>
      <c r="AJ152" s="755"/>
      <c r="AK152" s="755"/>
      <c r="AL152" s="755"/>
      <c r="AM152" s="755"/>
      <c r="AN152" s="755"/>
      <c r="AO152" s="755"/>
      <c r="AP152" s="755"/>
    </row>
    <row r="153" spans="1:42">
      <c r="A153" s="753"/>
      <c r="B153" s="753"/>
      <c r="C153" s="753"/>
      <c r="D153" s="753"/>
      <c r="E153" s="753"/>
      <c r="F153" s="753"/>
      <c r="G153" s="753"/>
      <c r="H153" s="753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  <c r="AF153" s="755"/>
      <c r="AG153" s="755"/>
      <c r="AH153" s="755"/>
      <c r="AI153" s="755"/>
      <c r="AJ153" s="755"/>
      <c r="AK153" s="755"/>
      <c r="AL153" s="755"/>
      <c r="AM153" s="755"/>
      <c r="AN153" s="755"/>
      <c r="AO153" s="755"/>
      <c r="AP153" s="755"/>
    </row>
    <row r="154" spans="1:42">
      <c r="A154" s="753"/>
      <c r="B154" s="753"/>
      <c r="C154" s="753"/>
      <c r="D154" s="753"/>
      <c r="E154" s="753"/>
      <c r="F154" s="753"/>
      <c r="G154" s="753"/>
      <c r="H154" s="753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  <c r="AF154" s="755"/>
      <c r="AG154" s="755"/>
      <c r="AH154" s="755"/>
      <c r="AI154" s="755"/>
      <c r="AJ154" s="755"/>
      <c r="AK154" s="755"/>
      <c r="AL154" s="755"/>
      <c r="AM154" s="755"/>
      <c r="AN154" s="755"/>
      <c r="AO154" s="755"/>
      <c r="AP154" s="755"/>
    </row>
    <row r="155" spans="1:42">
      <c r="A155" s="753"/>
      <c r="B155" s="753"/>
      <c r="C155" s="753"/>
      <c r="D155" s="753"/>
      <c r="E155" s="753"/>
      <c r="F155" s="753"/>
      <c r="G155" s="753"/>
      <c r="H155" s="753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  <c r="AF155" s="755"/>
      <c r="AG155" s="755"/>
      <c r="AH155" s="755"/>
      <c r="AI155" s="755"/>
      <c r="AJ155" s="755"/>
      <c r="AK155" s="755"/>
      <c r="AL155" s="755"/>
      <c r="AM155" s="755"/>
      <c r="AN155" s="755"/>
      <c r="AO155" s="755"/>
      <c r="AP155" s="755"/>
    </row>
    <row r="156" spans="1:42">
      <c r="A156" s="753"/>
      <c r="B156" s="753"/>
      <c r="C156" s="753"/>
      <c r="D156" s="753"/>
      <c r="E156" s="753"/>
      <c r="F156" s="753"/>
      <c r="G156" s="753"/>
      <c r="H156" s="753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  <c r="AF156" s="755"/>
      <c r="AG156" s="755"/>
      <c r="AH156" s="755"/>
      <c r="AI156" s="755"/>
      <c r="AJ156" s="755"/>
      <c r="AK156" s="755"/>
      <c r="AL156" s="755"/>
      <c r="AM156" s="755"/>
      <c r="AN156" s="755"/>
      <c r="AO156" s="755"/>
      <c r="AP156" s="755"/>
    </row>
    <row r="157" spans="1:42">
      <c r="A157" s="753"/>
      <c r="B157" s="753"/>
      <c r="C157" s="753"/>
      <c r="D157" s="753"/>
      <c r="E157" s="753"/>
      <c r="F157" s="753"/>
      <c r="G157" s="753"/>
      <c r="H157" s="753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  <c r="AF157" s="755"/>
      <c r="AG157" s="755"/>
      <c r="AH157" s="755"/>
      <c r="AI157" s="755"/>
      <c r="AJ157" s="755"/>
      <c r="AK157" s="755"/>
      <c r="AL157" s="755"/>
      <c r="AM157" s="755"/>
      <c r="AN157" s="755"/>
      <c r="AO157" s="755"/>
      <c r="AP157" s="755"/>
    </row>
    <row r="158" spans="1:42">
      <c r="A158" s="753"/>
      <c r="B158" s="753"/>
      <c r="C158" s="753"/>
      <c r="D158" s="753"/>
      <c r="E158" s="753"/>
      <c r="F158" s="753"/>
      <c r="G158" s="753"/>
      <c r="H158" s="753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  <c r="AF158" s="755"/>
      <c r="AG158" s="755"/>
      <c r="AH158" s="755"/>
      <c r="AI158" s="755"/>
      <c r="AJ158" s="755"/>
      <c r="AK158" s="755"/>
      <c r="AL158" s="755"/>
      <c r="AM158" s="755"/>
      <c r="AN158" s="755"/>
      <c r="AO158" s="755"/>
      <c r="AP158" s="755"/>
    </row>
    <row r="159" spans="1:42">
      <c r="A159" s="753"/>
      <c r="B159" s="753"/>
      <c r="C159" s="753"/>
      <c r="D159" s="753"/>
      <c r="E159" s="753"/>
      <c r="F159" s="753"/>
      <c r="G159" s="753"/>
      <c r="H159" s="753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  <c r="AF159" s="755"/>
      <c r="AG159" s="755"/>
      <c r="AH159" s="755"/>
      <c r="AI159" s="755"/>
      <c r="AJ159" s="755"/>
      <c r="AK159" s="755"/>
      <c r="AL159" s="755"/>
      <c r="AM159" s="755"/>
      <c r="AN159" s="755"/>
      <c r="AO159" s="755"/>
      <c r="AP159" s="755"/>
    </row>
    <row r="160" spans="1:42">
      <c r="A160" s="753"/>
      <c r="B160" s="753"/>
      <c r="C160" s="753"/>
      <c r="D160" s="753"/>
      <c r="E160" s="753"/>
      <c r="F160" s="753"/>
      <c r="G160" s="753"/>
      <c r="H160" s="753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  <c r="AF160" s="755"/>
      <c r="AG160" s="755"/>
      <c r="AH160" s="755"/>
      <c r="AI160" s="755"/>
      <c r="AJ160" s="755"/>
      <c r="AK160" s="755"/>
      <c r="AL160" s="755"/>
      <c r="AM160" s="755"/>
      <c r="AN160" s="755"/>
      <c r="AO160" s="755"/>
      <c r="AP160" s="755"/>
    </row>
    <row r="161" spans="1:42">
      <c r="A161" s="753"/>
      <c r="B161" s="753"/>
      <c r="C161" s="753"/>
      <c r="D161" s="753"/>
      <c r="E161" s="753"/>
      <c r="F161" s="753"/>
      <c r="G161" s="753"/>
      <c r="H161" s="753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  <c r="AF161" s="755"/>
      <c r="AG161" s="755"/>
      <c r="AH161" s="755"/>
      <c r="AI161" s="755"/>
      <c r="AJ161" s="755"/>
      <c r="AK161" s="755"/>
      <c r="AL161" s="755"/>
      <c r="AM161" s="755"/>
      <c r="AN161" s="755"/>
      <c r="AO161" s="755"/>
      <c r="AP161" s="755"/>
    </row>
    <row r="162" spans="1:42">
      <c r="A162" s="753"/>
      <c r="B162" s="753"/>
      <c r="C162" s="753"/>
      <c r="D162" s="753"/>
      <c r="E162" s="753"/>
      <c r="F162" s="753"/>
      <c r="G162" s="753"/>
      <c r="H162" s="753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  <c r="AF162" s="755"/>
      <c r="AG162" s="755"/>
      <c r="AH162" s="755"/>
      <c r="AI162" s="755"/>
      <c r="AJ162" s="755"/>
      <c r="AK162" s="755"/>
      <c r="AL162" s="755"/>
      <c r="AM162" s="755"/>
      <c r="AN162" s="755"/>
      <c r="AO162" s="755"/>
      <c r="AP162" s="755"/>
    </row>
    <row r="163" spans="1:42">
      <c r="A163" s="753"/>
      <c r="B163" s="753"/>
      <c r="C163" s="753"/>
      <c r="D163" s="753"/>
      <c r="E163" s="753"/>
      <c r="F163" s="753"/>
      <c r="G163" s="753"/>
      <c r="H163" s="753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  <c r="AF163" s="755"/>
      <c r="AG163" s="755"/>
      <c r="AH163" s="755"/>
      <c r="AI163" s="755"/>
      <c r="AJ163" s="755"/>
      <c r="AK163" s="755"/>
      <c r="AL163" s="755"/>
      <c r="AM163" s="755"/>
      <c r="AN163" s="755"/>
      <c r="AO163" s="755"/>
      <c r="AP163" s="755"/>
    </row>
    <row r="164" spans="1:42">
      <c r="A164" s="753"/>
      <c r="B164" s="753"/>
      <c r="C164" s="753"/>
      <c r="D164" s="753"/>
      <c r="E164" s="753"/>
      <c r="F164" s="753"/>
      <c r="G164" s="753"/>
      <c r="H164" s="753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  <c r="AF164" s="755"/>
      <c r="AG164" s="755"/>
      <c r="AH164" s="755"/>
      <c r="AI164" s="755"/>
      <c r="AJ164" s="755"/>
      <c r="AK164" s="755"/>
      <c r="AL164" s="755"/>
      <c r="AM164" s="755"/>
      <c r="AN164" s="755"/>
      <c r="AO164" s="755"/>
      <c r="AP164" s="755"/>
    </row>
    <row r="165" spans="1:42">
      <c r="A165" s="753"/>
      <c r="B165" s="753"/>
      <c r="C165" s="753"/>
      <c r="D165" s="753"/>
      <c r="E165" s="753"/>
      <c r="F165" s="753"/>
      <c r="G165" s="753"/>
      <c r="H165" s="753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  <c r="AF165" s="755"/>
      <c r="AG165" s="755"/>
      <c r="AH165" s="755"/>
      <c r="AI165" s="755"/>
      <c r="AJ165" s="755"/>
      <c r="AK165" s="755"/>
      <c r="AL165" s="755"/>
      <c r="AM165" s="755"/>
      <c r="AN165" s="755"/>
      <c r="AO165" s="755"/>
      <c r="AP165" s="755"/>
    </row>
    <row r="166" spans="1:42">
      <c r="A166" s="753"/>
      <c r="B166" s="753"/>
      <c r="C166" s="753"/>
      <c r="D166" s="753"/>
      <c r="E166" s="753"/>
      <c r="F166" s="753"/>
      <c r="G166" s="753"/>
      <c r="H166" s="753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  <c r="AF166" s="755"/>
      <c r="AG166" s="755"/>
      <c r="AH166" s="755"/>
      <c r="AI166" s="755"/>
      <c r="AJ166" s="755"/>
      <c r="AK166" s="755"/>
      <c r="AL166" s="755"/>
      <c r="AM166" s="755"/>
      <c r="AN166" s="755"/>
      <c r="AO166" s="755"/>
      <c r="AP166" s="755"/>
    </row>
    <row r="167" spans="1:42">
      <c r="A167" s="753"/>
      <c r="B167" s="753"/>
      <c r="C167" s="753"/>
      <c r="D167" s="753"/>
      <c r="E167" s="753"/>
      <c r="F167" s="753"/>
      <c r="G167" s="753"/>
      <c r="H167" s="753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  <c r="AF167" s="755"/>
      <c r="AG167" s="755"/>
      <c r="AH167" s="755"/>
      <c r="AI167" s="755"/>
      <c r="AJ167" s="755"/>
      <c r="AK167" s="755"/>
      <c r="AL167" s="755"/>
      <c r="AM167" s="755"/>
      <c r="AN167" s="755"/>
      <c r="AO167" s="755"/>
      <c r="AP167" s="755"/>
    </row>
    <row r="168" spans="1:42">
      <c r="A168" s="753"/>
      <c r="B168" s="753"/>
      <c r="C168" s="753"/>
      <c r="D168" s="753"/>
      <c r="E168" s="753"/>
      <c r="F168" s="753"/>
      <c r="G168" s="753"/>
      <c r="H168" s="753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  <c r="AF168" s="755"/>
      <c r="AG168" s="755"/>
      <c r="AH168" s="755"/>
      <c r="AI168" s="755"/>
      <c r="AJ168" s="755"/>
      <c r="AK168" s="755"/>
      <c r="AL168" s="755"/>
      <c r="AM168" s="755"/>
      <c r="AN168" s="755"/>
      <c r="AO168" s="755"/>
      <c r="AP168" s="755"/>
    </row>
    <row r="169" spans="1:42">
      <c r="A169" s="753"/>
      <c r="B169" s="753"/>
      <c r="C169" s="753"/>
      <c r="D169" s="753"/>
      <c r="E169" s="753"/>
      <c r="F169" s="753"/>
      <c r="G169" s="753"/>
      <c r="H169" s="753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  <c r="AF169" s="755"/>
      <c r="AG169" s="755"/>
      <c r="AH169" s="755"/>
      <c r="AI169" s="755"/>
      <c r="AJ169" s="755"/>
      <c r="AK169" s="755"/>
      <c r="AL169" s="755"/>
      <c r="AM169" s="755"/>
      <c r="AN169" s="755"/>
      <c r="AO169" s="755"/>
      <c r="AP169" s="755"/>
    </row>
    <row r="170" spans="1:42">
      <c r="A170" s="753"/>
      <c r="B170" s="753"/>
      <c r="C170" s="753"/>
      <c r="D170" s="753"/>
      <c r="E170" s="753"/>
      <c r="F170" s="753"/>
      <c r="G170" s="753"/>
      <c r="H170" s="753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  <c r="AF170" s="755"/>
      <c r="AG170" s="755"/>
      <c r="AH170" s="755"/>
      <c r="AI170" s="755"/>
      <c r="AJ170" s="755"/>
      <c r="AK170" s="755"/>
      <c r="AL170" s="755"/>
      <c r="AM170" s="755"/>
      <c r="AN170" s="755"/>
      <c r="AO170" s="755"/>
      <c r="AP170" s="755"/>
    </row>
    <row r="171" spans="1:42">
      <c r="A171" s="753"/>
      <c r="B171" s="753"/>
      <c r="C171" s="753"/>
      <c r="D171" s="753"/>
      <c r="E171" s="753"/>
      <c r="F171" s="753"/>
      <c r="G171" s="753"/>
      <c r="H171" s="753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  <c r="AF171" s="755"/>
      <c r="AG171" s="755"/>
      <c r="AH171" s="755"/>
      <c r="AI171" s="755"/>
      <c r="AJ171" s="755"/>
      <c r="AK171" s="755"/>
      <c r="AL171" s="755"/>
      <c r="AM171" s="755"/>
      <c r="AN171" s="755"/>
      <c r="AO171" s="755"/>
      <c r="AP171" s="755"/>
    </row>
    <row r="172" spans="1:42">
      <c r="A172" s="753"/>
      <c r="B172" s="753"/>
      <c r="C172" s="753"/>
      <c r="D172" s="753"/>
      <c r="E172" s="753"/>
      <c r="F172" s="753"/>
      <c r="G172" s="753"/>
      <c r="H172" s="753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  <c r="AF172" s="755"/>
      <c r="AG172" s="755"/>
      <c r="AH172" s="755"/>
      <c r="AI172" s="755"/>
      <c r="AJ172" s="755"/>
      <c r="AK172" s="755"/>
      <c r="AL172" s="755"/>
      <c r="AM172" s="755"/>
      <c r="AN172" s="755"/>
      <c r="AO172" s="755"/>
      <c r="AP172" s="755"/>
    </row>
    <row r="173" spans="1:42">
      <c r="A173" s="753"/>
      <c r="B173" s="753"/>
      <c r="C173" s="753"/>
      <c r="D173" s="753"/>
      <c r="E173" s="753"/>
      <c r="F173" s="753"/>
      <c r="G173" s="753"/>
      <c r="H173" s="753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  <c r="AF173" s="755"/>
      <c r="AG173" s="755"/>
      <c r="AH173" s="755"/>
      <c r="AI173" s="755"/>
      <c r="AJ173" s="755"/>
      <c r="AK173" s="755"/>
      <c r="AL173" s="755"/>
      <c r="AM173" s="755"/>
      <c r="AN173" s="755"/>
      <c r="AO173" s="755"/>
      <c r="AP173" s="755"/>
    </row>
    <row r="174" spans="1:42">
      <c r="A174" s="753"/>
      <c r="B174" s="753"/>
      <c r="C174" s="753"/>
      <c r="D174" s="753"/>
      <c r="E174" s="753"/>
      <c r="F174" s="753"/>
      <c r="G174" s="753"/>
      <c r="H174" s="753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  <c r="AF174" s="755"/>
      <c r="AG174" s="755"/>
      <c r="AH174" s="755"/>
      <c r="AI174" s="755"/>
      <c r="AJ174" s="755"/>
      <c r="AK174" s="755"/>
      <c r="AL174" s="755"/>
      <c r="AM174" s="755"/>
      <c r="AN174" s="755"/>
      <c r="AO174" s="755"/>
      <c r="AP174" s="755"/>
    </row>
    <row r="175" spans="1:42">
      <c r="A175" s="753"/>
      <c r="B175" s="753"/>
      <c r="C175" s="753"/>
      <c r="D175" s="753"/>
      <c r="E175" s="753"/>
      <c r="F175" s="753"/>
      <c r="G175" s="753"/>
      <c r="H175" s="753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  <c r="AF175" s="755"/>
      <c r="AG175" s="755"/>
      <c r="AH175" s="755"/>
      <c r="AI175" s="755"/>
      <c r="AJ175" s="755"/>
      <c r="AK175" s="755"/>
      <c r="AL175" s="755"/>
      <c r="AM175" s="755"/>
      <c r="AN175" s="755"/>
      <c r="AO175" s="755"/>
      <c r="AP175" s="755"/>
    </row>
    <row r="176" spans="1:42">
      <c r="A176" s="753"/>
      <c r="B176" s="753"/>
      <c r="C176" s="753"/>
      <c r="D176" s="753"/>
      <c r="E176" s="753"/>
      <c r="F176" s="753"/>
      <c r="G176" s="753"/>
      <c r="H176" s="753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  <c r="AF176" s="755"/>
      <c r="AG176" s="755"/>
      <c r="AH176" s="755"/>
      <c r="AI176" s="755"/>
      <c r="AJ176" s="755"/>
      <c r="AK176" s="755"/>
      <c r="AL176" s="755"/>
      <c r="AM176" s="755"/>
      <c r="AN176" s="755"/>
      <c r="AO176" s="755"/>
      <c r="AP176" s="755"/>
    </row>
    <row r="177" spans="1:42">
      <c r="A177" s="753"/>
      <c r="B177" s="753"/>
      <c r="C177" s="753"/>
      <c r="D177" s="753"/>
      <c r="E177" s="753"/>
      <c r="F177" s="753"/>
      <c r="G177" s="753"/>
      <c r="H177" s="753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  <c r="AF177" s="755"/>
      <c r="AG177" s="755"/>
      <c r="AH177" s="755"/>
      <c r="AI177" s="755"/>
      <c r="AJ177" s="755"/>
      <c r="AK177" s="755"/>
      <c r="AL177" s="755"/>
      <c r="AM177" s="755"/>
      <c r="AN177" s="755"/>
      <c r="AO177" s="755"/>
      <c r="AP177" s="755"/>
    </row>
    <row r="178" spans="1:42">
      <c r="A178" s="753"/>
      <c r="B178" s="753"/>
      <c r="C178" s="753"/>
      <c r="D178" s="753"/>
      <c r="E178" s="753"/>
      <c r="F178" s="753"/>
      <c r="G178" s="753"/>
      <c r="H178" s="753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  <c r="AF178" s="755"/>
      <c r="AG178" s="755"/>
      <c r="AH178" s="755"/>
      <c r="AI178" s="755"/>
      <c r="AJ178" s="755"/>
      <c r="AK178" s="755"/>
      <c r="AL178" s="755"/>
      <c r="AM178" s="755"/>
      <c r="AN178" s="755"/>
      <c r="AO178" s="755"/>
      <c r="AP178" s="755"/>
    </row>
    <row r="179" spans="1:42">
      <c r="A179" s="753"/>
      <c r="B179" s="753"/>
      <c r="C179" s="753"/>
      <c r="D179" s="753"/>
      <c r="E179" s="753"/>
      <c r="F179" s="753"/>
      <c r="G179" s="753"/>
      <c r="H179" s="753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  <c r="AF179" s="755"/>
      <c r="AG179" s="755"/>
      <c r="AH179" s="755"/>
      <c r="AI179" s="755"/>
      <c r="AJ179" s="755"/>
      <c r="AK179" s="755"/>
      <c r="AL179" s="755"/>
      <c r="AM179" s="755"/>
      <c r="AN179" s="755"/>
      <c r="AO179" s="755"/>
      <c r="AP179" s="755"/>
    </row>
    <row r="180" spans="1:42">
      <c r="A180" s="753"/>
      <c r="B180" s="753"/>
      <c r="C180" s="753"/>
      <c r="D180" s="753"/>
      <c r="E180" s="753"/>
      <c r="F180" s="753"/>
      <c r="G180" s="753"/>
      <c r="H180" s="753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  <c r="AF180" s="755"/>
      <c r="AG180" s="755"/>
      <c r="AH180" s="755"/>
      <c r="AI180" s="755"/>
      <c r="AJ180" s="755"/>
      <c r="AK180" s="755"/>
      <c r="AL180" s="755"/>
      <c r="AM180" s="755"/>
      <c r="AN180" s="755"/>
      <c r="AO180" s="755"/>
      <c r="AP180" s="755"/>
    </row>
    <row r="181" spans="1:42">
      <c r="A181" s="753"/>
      <c r="B181" s="753"/>
      <c r="C181" s="753"/>
      <c r="D181" s="753"/>
      <c r="E181" s="753"/>
      <c r="F181" s="753"/>
      <c r="G181" s="753"/>
      <c r="H181" s="753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  <c r="AF181" s="755"/>
      <c r="AG181" s="755"/>
      <c r="AH181" s="755"/>
      <c r="AI181" s="755"/>
      <c r="AJ181" s="755"/>
      <c r="AK181" s="755"/>
      <c r="AL181" s="755"/>
      <c r="AM181" s="755"/>
      <c r="AN181" s="755"/>
      <c r="AO181" s="755"/>
      <c r="AP181" s="755"/>
    </row>
    <row r="182" spans="1:42">
      <c r="A182" s="753"/>
      <c r="B182" s="753"/>
      <c r="C182" s="753"/>
      <c r="D182" s="753"/>
      <c r="E182" s="753"/>
      <c r="F182" s="753"/>
      <c r="G182" s="753"/>
      <c r="H182" s="753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  <c r="AF182" s="755"/>
      <c r="AG182" s="755"/>
      <c r="AH182" s="755"/>
      <c r="AI182" s="755"/>
      <c r="AJ182" s="755"/>
      <c r="AK182" s="755"/>
      <c r="AL182" s="755"/>
      <c r="AM182" s="755"/>
      <c r="AN182" s="755"/>
      <c r="AO182" s="755"/>
      <c r="AP182" s="755"/>
    </row>
    <row r="183" spans="1:42">
      <c r="A183" s="753"/>
      <c r="B183" s="753"/>
      <c r="C183" s="753"/>
      <c r="D183" s="753"/>
      <c r="E183" s="753"/>
      <c r="F183" s="753"/>
      <c r="G183" s="753"/>
      <c r="H183" s="753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  <c r="AF183" s="755"/>
      <c r="AG183" s="755"/>
      <c r="AH183" s="755"/>
      <c r="AI183" s="755"/>
      <c r="AJ183" s="755"/>
      <c r="AK183" s="755"/>
      <c r="AL183" s="755"/>
      <c r="AM183" s="755"/>
      <c r="AN183" s="755"/>
      <c r="AO183" s="755"/>
      <c r="AP183" s="755"/>
    </row>
    <row r="184" spans="1:42">
      <c r="A184" s="753"/>
      <c r="B184" s="753"/>
      <c r="C184" s="753"/>
      <c r="D184" s="753"/>
      <c r="E184" s="753"/>
      <c r="F184" s="753"/>
      <c r="G184" s="753"/>
      <c r="H184" s="753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  <c r="AF184" s="755"/>
      <c r="AG184" s="755"/>
      <c r="AH184" s="755"/>
      <c r="AI184" s="755"/>
      <c r="AJ184" s="755"/>
      <c r="AK184" s="755"/>
      <c r="AL184" s="755"/>
      <c r="AM184" s="755"/>
      <c r="AN184" s="755"/>
      <c r="AO184" s="755"/>
      <c r="AP184" s="755"/>
    </row>
    <row r="185" spans="1:42">
      <c r="A185" s="753"/>
      <c r="B185" s="753"/>
      <c r="C185" s="753"/>
      <c r="D185" s="753"/>
      <c r="E185" s="753"/>
      <c r="F185" s="753"/>
      <c r="G185" s="753"/>
      <c r="H185" s="753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  <c r="AF185" s="755"/>
      <c r="AG185" s="755"/>
      <c r="AH185" s="755"/>
      <c r="AI185" s="755"/>
      <c r="AJ185" s="755"/>
      <c r="AK185" s="755"/>
      <c r="AL185" s="755"/>
      <c r="AM185" s="755"/>
      <c r="AN185" s="755"/>
      <c r="AO185" s="755"/>
      <c r="AP185" s="755"/>
    </row>
    <row r="186" spans="1:42">
      <c r="A186" s="753"/>
      <c r="B186" s="753"/>
      <c r="C186" s="753"/>
      <c r="D186" s="753"/>
      <c r="E186" s="753"/>
      <c r="F186" s="753"/>
      <c r="G186" s="753"/>
      <c r="H186" s="753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  <c r="AF186" s="755"/>
      <c r="AG186" s="755"/>
      <c r="AH186" s="755"/>
      <c r="AI186" s="755"/>
      <c r="AJ186" s="755"/>
      <c r="AK186" s="755"/>
      <c r="AL186" s="755"/>
      <c r="AM186" s="755"/>
      <c r="AN186" s="755"/>
      <c r="AO186" s="755"/>
      <c r="AP186" s="755"/>
    </row>
    <row r="187" spans="1:42">
      <c r="A187" s="753"/>
      <c r="B187" s="753"/>
      <c r="C187" s="753"/>
      <c r="D187" s="753"/>
      <c r="E187" s="753"/>
      <c r="F187" s="753"/>
      <c r="G187" s="753"/>
      <c r="H187" s="753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  <c r="AF187" s="755"/>
      <c r="AG187" s="755"/>
      <c r="AH187" s="755"/>
      <c r="AI187" s="755"/>
      <c r="AJ187" s="755"/>
      <c r="AK187" s="755"/>
      <c r="AL187" s="755"/>
      <c r="AM187" s="755"/>
      <c r="AN187" s="755"/>
      <c r="AO187" s="755"/>
      <c r="AP187" s="755"/>
    </row>
    <row r="188" spans="1:42">
      <c r="A188" s="753"/>
      <c r="B188" s="753"/>
      <c r="C188" s="753"/>
      <c r="D188" s="753"/>
      <c r="E188" s="753"/>
      <c r="F188" s="753"/>
      <c r="G188" s="753"/>
      <c r="H188" s="753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  <c r="AF188" s="755"/>
      <c r="AG188" s="755"/>
      <c r="AH188" s="755"/>
      <c r="AI188" s="755"/>
      <c r="AJ188" s="755"/>
      <c r="AK188" s="755"/>
      <c r="AL188" s="755"/>
      <c r="AM188" s="755"/>
      <c r="AN188" s="755"/>
      <c r="AO188" s="755"/>
      <c r="AP188" s="755"/>
    </row>
    <row r="189" spans="1:42">
      <c r="A189" s="753"/>
      <c r="B189" s="753"/>
      <c r="C189" s="753"/>
      <c r="D189" s="753"/>
      <c r="E189" s="753"/>
      <c r="F189" s="753"/>
      <c r="G189" s="753"/>
      <c r="H189" s="753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  <c r="AF189" s="755"/>
      <c r="AG189" s="755"/>
      <c r="AH189" s="755"/>
      <c r="AI189" s="755"/>
      <c r="AJ189" s="755"/>
      <c r="AK189" s="755"/>
      <c r="AL189" s="755"/>
      <c r="AM189" s="755"/>
      <c r="AN189" s="755"/>
      <c r="AO189" s="755"/>
      <c r="AP189" s="755"/>
    </row>
    <row r="190" spans="1:42">
      <c r="A190" s="753"/>
      <c r="B190" s="753"/>
      <c r="C190" s="753"/>
      <c r="D190" s="753"/>
      <c r="E190" s="753"/>
      <c r="F190" s="753"/>
      <c r="G190" s="753"/>
      <c r="H190" s="753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  <c r="AF190" s="755"/>
      <c r="AG190" s="755"/>
      <c r="AH190" s="755"/>
      <c r="AI190" s="755"/>
      <c r="AJ190" s="755"/>
      <c r="AK190" s="755"/>
      <c r="AL190" s="755"/>
      <c r="AM190" s="755"/>
      <c r="AN190" s="755"/>
      <c r="AO190" s="755"/>
      <c r="AP190" s="755"/>
    </row>
    <row r="191" spans="1:42">
      <c r="A191" s="753"/>
      <c r="B191" s="753"/>
      <c r="C191" s="753"/>
      <c r="D191" s="753"/>
      <c r="E191" s="753"/>
      <c r="F191" s="753"/>
      <c r="G191" s="753"/>
      <c r="H191" s="753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  <c r="AF191" s="755"/>
      <c r="AG191" s="755"/>
      <c r="AH191" s="755"/>
      <c r="AI191" s="755"/>
      <c r="AJ191" s="755"/>
      <c r="AK191" s="755"/>
      <c r="AL191" s="755"/>
      <c r="AM191" s="755"/>
      <c r="AN191" s="755"/>
      <c r="AO191" s="755"/>
      <c r="AP191" s="755"/>
    </row>
    <row r="192" spans="1:42">
      <c r="A192" s="753"/>
      <c r="B192" s="753"/>
      <c r="C192" s="753"/>
      <c r="D192" s="753"/>
      <c r="E192" s="753"/>
      <c r="F192" s="753"/>
      <c r="G192" s="753"/>
      <c r="H192" s="753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  <c r="AF192" s="755"/>
      <c r="AG192" s="755"/>
      <c r="AH192" s="755"/>
      <c r="AI192" s="755"/>
      <c r="AJ192" s="755"/>
      <c r="AK192" s="755"/>
      <c r="AL192" s="755"/>
      <c r="AM192" s="755"/>
      <c r="AN192" s="755"/>
      <c r="AO192" s="755"/>
      <c r="AP192" s="755"/>
    </row>
    <row r="193" spans="1:42">
      <c r="A193" s="753"/>
      <c r="B193" s="753"/>
      <c r="C193" s="753"/>
      <c r="D193" s="753"/>
      <c r="E193" s="753"/>
      <c r="F193" s="753"/>
      <c r="G193" s="753"/>
      <c r="H193" s="753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  <c r="AF193" s="755"/>
      <c r="AG193" s="755"/>
      <c r="AH193" s="755"/>
      <c r="AI193" s="755"/>
      <c r="AJ193" s="755"/>
      <c r="AK193" s="755"/>
      <c r="AL193" s="755"/>
      <c r="AM193" s="755"/>
      <c r="AN193" s="755"/>
      <c r="AO193" s="755"/>
      <c r="AP193" s="755"/>
    </row>
    <row r="194" spans="1:42">
      <c r="A194" s="753"/>
      <c r="B194" s="753"/>
      <c r="C194" s="753"/>
      <c r="D194" s="753"/>
      <c r="E194" s="753"/>
      <c r="F194" s="753"/>
      <c r="G194" s="753"/>
      <c r="H194" s="753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  <c r="AF194" s="755"/>
      <c r="AG194" s="755"/>
      <c r="AH194" s="755"/>
      <c r="AI194" s="755"/>
      <c r="AJ194" s="755"/>
      <c r="AK194" s="755"/>
      <c r="AL194" s="755"/>
      <c r="AM194" s="755"/>
      <c r="AN194" s="755"/>
      <c r="AO194" s="755"/>
      <c r="AP194" s="755"/>
    </row>
    <row r="195" spans="1:42">
      <c r="A195" s="753"/>
      <c r="B195" s="753"/>
      <c r="C195" s="753"/>
      <c r="D195" s="753"/>
      <c r="E195" s="753"/>
      <c r="F195" s="753"/>
      <c r="G195" s="753"/>
      <c r="H195" s="753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  <c r="AF195" s="755"/>
      <c r="AG195" s="755"/>
      <c r="AH195" s="755"/>
      <c r="AI195" s="755"/>
      <c r="AJ195" s="755"/>
      <c r="AK195" s="755"/>
      <c r="AL195" s="755"/>
      <c r="AM195" s="755"/>
      <c r="AN195" s="755"/>
      <c r="AO195" s="755"/>
      <c r="AP195" s="755"/>
    </row>
    <row r="196" spans="1:42">
      <c r="A196" s="753"/>
      <c r="B196" s="753"/>
      <c r="C196" s="753"/>
      <c r="D196" s="753"/>
      <c r="E196" s="753"/>
      <c r="F196" s="753"/>
      <c r="G196" s="753"/>
      <c r="H196" s="753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  <c r="AF196" s="755"/>
      <c r="AG196" s="755"/>
      <c r="AH196" s="755"/>
      <c r="AI196" s="755"/>
      <c r="AJ196" s="755"/>
      <c r="AK196" s="755"/>
      <c r="AL196" s="755"/>
      <c r="AM196" s="755"/>
      <c r="AN196" s="755"/>
      <c r="AO196" s="755"/>
      <c r="AP196" s="755"/>
    </row>
    <row r="197" spans="1:42">
      <c r="A197" s="753"/>
      <c r="B197" s="753"/>
      <c r="C197" s="753"/>
      <c r="D197" s="753"/>
      <c r="E197" s="753"/>
      <c r="F197" s="753"/>
      <c r="G197" s="753"/>
      <c r="H197" s="753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  <c r="AF197" s="755"/>
      <c r="AG197" s="755"/>
      <c r="AH197" s="755"/>
      <c r="AI197" s="755"/>
      <c r="AJ197" s="755"/>
      <c r="AK197" s="755"/>
      <c r="AL197" s="755"/>
      <c r="AM197" s="755"/>
      <c r="AN197" s="755"/>
      <c r="AO197" s="755"/>
      <c r="AP197" s="755"/>
    </row>
    <row r="198" spans="1:42">
      <c r="A198" s="753"/>
      <c r="B198" s="753"/>
      <c r="C198" s="753"/>
      <c r="D198" s="753"/>
      <c r="E198" s="753"/>
      <c r="F198" s="753"/>
      <c r="G198" s="753"/>
      <c r="H198" s="753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  <c r="AF198" s="755"/>
      <c r="AG198" s="755"/>
      <c r="AH198" s="755"/>
      <c r="AI198" s="755"/>
      <c r="AJ198" s="755"/>
      <c r="AK198" s="755"/>
      <c r="AL198" s="755"/>
      <c r="AM198" s="755"/>
      <c r="AN198" s="755"/>
      <c r="AO198" s="755"/>
      <c r="AP198" s="755"/>
    </row>
    <row r="199" spans="1:42">
      <c r="A199" s="753"/>
      <c r="B199" s="753"/>
      <c r="C199" s="753"/>
      <c r="D199" s="753"/>
      <c r="E199" s="753"/>
      <c r="F199" s="753"/>
      <c r="G199" s="753"/>
      <c r="H199" s="753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  <c r="AF199" s="755"/>
      <c r="AG199" s="755"/>
      <c r="AH199" s="755"/>
      <c r="AI199" s="755"/>
      <c r="AJ199" s="755"/>
      <c r="AK199" s="755"/>
      <c r="AL199" s="755"/>
      <c r="AM199" s="755"/>
      <c r="AN199" s="755"/>
      <c r="AO199" s="755"/>
      <c r="AP199" s="755"/>
    </row>
    <row r="200" spans="1:42">
      <c r="A200" s="753"/>
      <c r="B200" s="753"/>
      <c r="C200" s="753"/>
      <c r="D200" s="753"/>
      <c r="E200" s="753"/>
      <c r="F200" s="753"/>
      <c r="G200" s="753"/>
      <c r="H200" s="753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  <c r="AF200" s="755"/>
      <c r="AG200" s="755"/>
      <c r="AH200" s="755"/>
      <c r="AI200" s="755"/>
      <c r="AJ200" s="755"/>
      <c r="AK200" s="755"/>
      <c r="AL200" s="755"/>
      <c r="AM200" s="755"/>
      <c r="AN200" s="755"/>
      <c r="AO200" s="755"/>
      <c r="AP200" s="755"/>
    </row>
    <row r="201" spans="1:42">
      <c r="A201" s="753"/>
      <c r="B201" s="753"/>
      <c r="C201" s="753"/>
      <c r="D201" s="753"/>
      <c r="E201" s="753"/>
      <c r="F201" s="753"/>
      <c r="G201" s="753"/>
      <c r="H201" s="753"/>
      <c r="I201" s="755"/>
      <c r="J201" s="755"/>
      <c r="K201" s="755"/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  <c r="AF201" s="755"/>
      <c r="AG201" s="755"/>
      <c r="AH201" s="755"/>
      <c r="AI201" s="755"/>
      <c r="AJ201" s="755"/>
      <c r="AK201" s="755"/>
      <c r="AL201" s="755"/>
      <c r="AM201" s="755"/>
      <c r="AN201" s="755"/>
      <c r="AO201" s="755"/>
      <c r="AP201" s="755"/>
    </row>
    <row r="202" spans="1:42">
      <c r="A202" s="753"/>
      <c r="B202" s="753"/>
      <c r="C202" s="753"/>
      <c r="D202" s="753"/>
      <c r="E202" s="753"/>
      <c r="F202" s="753"/>
      <c r="G202" s="753"/>
      <c r="H202" s="753"/>
      <c r="I202" s="755"/>
      <c r="J202" s="755"/>
      <c r="K202" s="755"/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  <c r="AF202" s="755"/>
      <c r="AG202" s="755"/>
      <c r="AH202" s="755"/>
      <c r="AI202" s="755"/>
      <c r="AJ202" s="755"/>
      <c r="AK202" s="755"/>
      <c r="AL202" s="755"/>
      <c r="AM202" s="755"/>
      <c r="AN202" s="755"/>
      <c r="AO202" s="755"/>
      <c r="AP202" s="755"/>
    </row>
    <row r="203" spans="1:42">
      <c r="A203" s="753"/>
      <c r="B203" s="753"/>
      <c r="C203" s="753"/>
      <c r="D203" s="753"/>
      <c r="E203" s="753"/>
      <c r="F203" s="753"/>
      <c r="G203" s="753"/>
      <c r="H203" s="753"/>
      <c r="I203" s="755"/>
      <c r="J203" s="755"/>
      <c r="K203" s="755"/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  <c r="AF203" s="755"/>
      <c r="AG203" s="755"/>
      <c r="AH203" s="755"/>
      <c r="AI203" s="755"/>
      <c r="AJ203" s="755"/>
      <c r="AK203" s="755"/>
      <c r="AL203" s="755"/>
      <c r="AM203" s="755"/>
      <c r="AN203" s="755"/>
      <c r="AO203" s="755"/>
      <c r="AP203" s="755"/>
    </row>
    <row r="204" spans="1:42">
      <c r="A204" s="753"/>
      <c r="B204" s="753"/>
      <c r="C204" s="753"/>
      <c r="D204" s="753"/>
      <c r="E204" s="753"/>
      <c r="F204" s="753"/>
      <c r="G204" s="753"/>
      <c r="H204" s="753"/>
      <c r="I204" s="755"/>
      <c r="J204" s="755"/>
      <c r="K204" s="755"/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  <c r="AF204" s="755"/>
      <c r="AG204" s="755"/>
      <c r="AH204" s="755"/>
      <c r="AI204" s="755"/>
      <c r="AJ204" s="755"/>
      <c r="AK204" s="755"/>
      <c r="AL204" s="755"/>
      <c r="AM204" s="755"/>
      <c r="AN204" s="755"/>
      <c r="AO204" s="755"/>
      <c r="AP204" s="755"/>
    </row>
    <row r="205" spans="1:42">
      <c r="A205" s="753"/>
      <c r="B205" s="753"/>
      <c r="C205" s="753"/>
      <c r="D205" s="753"/>
      <c r="E205" s="753"/>
      <c r="F205" s="753"/>
      <c r="G205" s="753"/>
      <c r="H205" s="753"/>
      <c r="I205" s="755"/>
      <c r="J205" s="755"/>
      <c r="K205" s="755"/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  <c r="AF205" s="755"/>
      <c r="AG205" s="755"/>
      <c r="AH205" s="755"/>
      <c r="AI205" s="755"/>
      <c r="AJ205" s="755"/>
      <c r="AK205" s="755"/>
      <c r="AL205" s="755"/>
      <c r="AM205" s="755"/>
      <c r="AN205" s="755"/>
      <c r="AO205" s="755"/>
      <c r="AP205" s="755"/>
    </row>
    <row r="206" spans="1:42">
      <c r="A206" s="753"/>
      <c r="B206" s="753"/>
      <c r="C206" s="753"/>
      <c r="D206" s="753"/>
      <c r="E206" s="753"/>
      <c r="F206" s="753"/>
      <c r="G206" s="753"/>
      <c r="H206" s="753"/>
      <c r="I206" s="755"/>
      <c r="J206" s="755"/>
      <c r="K206" s="755"/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  <c r="AF206" s="755"/>
      <c r="AG206" s="755"/>
      <c r="AH206" s="755"/>
      <c r="AI206" s="755"/>
      <c r="AJ206" s="755"/>
      <c r="AK206" s="755"/>
      <c r="AL206" s="755"/>
      <c r="AM206" s="755"/>
      <c r="AN206" s="755"/>
      <c r="AO206" s="755"/>
      <c r="AP206" s="755"/>
    </row>
    <row r="207" spans="1:42">
      <c r="A207" s="753"/>
      <c r="B207" s="753"/>
      <c r="C207" s="753"/>
      <c r="D207" s="753"/>
      <c r="E207" s="753"/>
      <c r="F207" s="753"/>
      <c r="G207" s="753"/>
      <c r="H207" s="753"/>
      <c r="I207" s="755"/>
      <c r="J207" s="755"/>
      <c r="K207" s="755"/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  <c r="AF207" s="755"/>
      <c r="AG207" s="755"/>
      <c r="AH207" s="755"/>
      <c r="AI207" s="755"/>
      <c r="AJ207" s="755"/>
      <c r="AK207" s="755"/>
      <c r="AL207" s="755"/>
      <c r="AM207" s="755"/>
      <c r="AN207" s="755"/>
      <c r="AO207" s="755"/>
      <c r="AP207" s="755"/>
    </row>
    <row r="208" spans="1:42">
      <c r="A208" s="753"/>
      <c r="B208" s="753"/>
      <c r="C208" s="753"/>
      <c r="D208" s="753"/>
      <c r="E208" s="753"/>
      <c r="F208" s="753"/>
      <c r="G208" s="753"/>
      <c r="H208" s="753"/>
      <c r="I208" s="755"/>
      <c r="J208" s="755"/>
      <c r="K208" s="755"/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  <c r="AF208" s="755"/>
      <c r="AG208" s="755"/>
      <c r="AH208" s="755"/>
      <c r="AI208" s="755"/>
      <c r="AJ208" s="755"/>
      <c r="AK208" s="755"/>
      <c r="AL208" s="755"/>
      <c r="AM208" s="755"/>
      <c r="AN208" s="755"/>
      <c r="AO208" s="755"/>
      <c r="AP208" s="755"/>
    </row>
    <row r="209" spans="1:42">
      <c r="A209" s="753"/>
      <c r="B209" s="753"/>
      <c r="C209" s="753"/>
      <c r="D209" s="753"/>
      <c r="E209" s="753"/>
      <c r="F209" s="753"/>
      <c r="G209" s="753"/>
      <c r="H209" s="753"/>
      <c r="I209" s="755"/>
      <c r="J209" s="755"/>
      <c r="K209" s="755"/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  <c r="AF209" s="755"/>
      <c r="AG209" s="755"/>
      <c r="AH209" s="755"/>
      <c r="AI209" s="755"/>
      <c r="AJ209" s="755"/>
      <c r="AK209" s="755"/>
      <c r="AL209" s="755"/>
      <c r="AM209" s="755"/>
      <c r="AN209" s="755"/>
      <c r="AO209" s="755"/>
      <c r="AP209" s="755"/>
    </row>
    <row r="210" spans="1:42">
      <c r="A210" s="753"/>
      <c r="B210" s="753"/>
      <c r="C210" s="753"/>
      <c r="D210" s="753"/>
      <c r="E210" s="753"/>
      <c r="F210" s="753"/>
      <c r="G210" s="753"/>
      <c r="H210" s="753"/>
      <c r="I210" s="755"/>
      <c r="J210" s="755"/>
      <c r="K210" s="755"/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  <c r="AF210" s="755"/>
      <c r="AG210" s="755"/>
      <c r="AH210" s="755"/>
      <c r="AI210" s="755"/>
      <c r="AJ210" s="755"/>
      <c r="AK210" s="755"/>
      <c r="AL210" s="755"/>
      <c r="AM210" s="755"/>
      <c r="AN210" s="755"/>
      <c r="AO210" s="755"/>
      <c r="AP210" s="755"/>
    </row>
    <row r="211" spans="1:42">
      <c r="A211" s="753"/>
      <c r="B211" s="753"/>
      <c r="C211" s="753"/>
      <c r="D211" s="753"/>
      <c r="E211" s="753"/>
      <c r="F211" s="753"/>
      <c r="G211" s="753"/>
      <c r="H211" s="753"/>
      <c r="I211" s="755"/>
      <c r="J211" s="755"/>
      <c r="K211" s="755"/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  <c r="AF211" s="755"/>
      <c r="AG211" s="755"/>
      <c r="AH211" s="755"/>
      <c r="AI211" s="755"/>
      <c r="AJ211" s="755"/>
      <c r="AK211" s="755"/>
      <c r="AL211" s="755"/>
      <c r="AM211" s="755"/>
      <c r="AN211" s="755"/>
      <c r="AO211" s="755"/>
      <c r="AP211" s="755"/>
    </row>
    <row r="212" spans="1:42">
      <c r="A212" s="753"/>
      <c r="B212" s="753"/>
      <c r="C212" s="753"/>
      <c r="D212" s="753"/>
      <c r="E212" s="753"/>
      <c r="F212" s="753"/>
      <c r="G212" s="753"/>
      <c r="H212" s="753"/>
      <c r="I212" s="755"/>
      <c r="J212" s="755"/>
      <c r="K212" s="755"/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  <c r="AF212" s="755"/>
      <c r="AG212" s="755"/>
      <c r="AH212" s="755"/>
      <c r="AI212" s="755"/>
      <c r="AJ212" s="755"/>
      <c r="AK212" s="755"/>
      <c r="AL212" s="755"/>
      <c r="AM212" s="755"/>
      <c r="AN212" s="755"/>
      <c r="AO212" s="755"/>
      <c r="AP212" s="755"/>
    </row>
    <row r="213" spans="1:42">
      <c r="A213" s="753"/>
      <c r="B213" s="753"/>
      <c r="C213" s="753"/>
      <c r="D213" s="753"/>
      <c r="E213" s="753"/>
      <c r="F213" s="753"/>
      <c r="G213" s="753"/>
      <c r="H213" s="753"/>
      <c r="I213" s="755"/>
      <c r="J213" s="755"/>
      <c r="K213" s="755"/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  <c r="AF213" s="755"/>
      <c r="AG213" s="755"/>
      <c r="AH213" s="755"/>
      <c r="AI213" s="755"/>
      <c r="AJ213" s="755"/>
      <c r="AK213" s="755"/>
      <c r="AL213" s="755"/>
      <c r="AM213" s="755"/>
      <c r="AN213" s="755"/>
      <c r="AO213" s="755"/>
      <c r="AP213" s="755"/>
    </row>
    <row r="214" spans="1:42">
      <c r="A214" s="753"/>
      <c r="B214" s="753"/>
      <c r="C214" s="753"/>
      <c r="D214" s="753"/>
      <c r="E214" s="753"/>
      <c r="F214" s="753"/>
      <c r="G214" s="753"/>
      <c r="H214" s="753"/>
      <c r="I214" s="755"/>
      <c r="J214" s="755"/>
      <c r="K214" s="755"/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  <c r="AF214" s="755"/>
      <c r="AG214" s="755"/>
      <c r="AH214" s="755"/>
      <c r="AI214" s="755"/>
      <c r="AJ214" s="755"/>
      <c r="AK214" s="755"/>
      <c r="AL214" s="755"/>
      <c r="AM214" s="755"/>
      <c r="AN214" s="755"/>
      <c r="AO214" s="755"/>
      <c r="AP214" s="755"/>
    </row>
    <row r="215" spans="1:42">
      <c r="A215" s="753"/>
      <c r="B215" s="753"/>
      <c r="C215" s="753"/>
      <c r="D215" s="753"/>
      <c r="E215" s="753"/>
      <c r="F215" s="753"/>
      <c r="G215" s="753"/>
      <c r="H215" s="753"/>
      <c r="I215" s="755"/>
      <c r="J215" s="755"/>
      <c r="K215" s="755"/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  <c r="AF215" s="755"/>
      <c r="AG215" s="755"/>
      <c r="AH215" s="755"/>
      <c r="AI215" s="755"/>
      <c r="AJ215" s="755"/>
      <c r="AK215" s="755"/>
      <c r="AL215" s="755"/>
      <c r="AM215" s="755"/>
      <c r="AN215" s="755"/>
      <c r="AO215" s="755"/>
      <c r="AP215" s="755"/>
    </row>
    <row r="216" spans="1:42">
      <c r="A216" s="753"/>
      <c r="B216" s="753"/>
      <c r="C216" s="753"/>
      <c r="D216" s="753"/>
      <c r="E216" s="753"/>
      <c r="F216" s="753"/>
      <c r="G216" s="753"/>
      <c r="H216" s="753"/>
      <c r="I216" s="755"/>
      <c r="J216" s="755"/>
      <c r="K216" s="755"/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  <c r="AF216" s="755"/>
      <c r="AG216" s="755"/>
      <c r="AH216" s="755"/>
      <c r="AI216" s="755"/>
      <c r="AJ216" s="755"/>
      <c r="AK216" s="755"/>
      <c r="AL216" s="755"/>
      <c r="AM216" s="755"/>
      <c r="AN216" s="755"/>
      <c r="AO216" s="755"/>
      <c r="AP216" s="755"/>
    </row>
    <row r="217" spans="1:42">
      <c r="A217" s="753"/>
      <c r="B217" s="753"/>
      <c r="C217" s="753"/>
      <c r="D217" s="753"/>
      <c r="E217" s="753"/>
      <c r="F217" s="753"/>
      <c r="G217" s="753"/>
      <c r="H217" s="753"/>
      <c r="I217" s="755"/>
      <c r="J217" s="755"/>
      <c r="K217" s="755"/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  <c r="AF217" s="755"/>
      <c r="AG217" s="755"/>
      <c r="AH217" s="755"/>
      <c r="AI217" s="755"/>
      <c r="AJ217" s="755"/>
      <c r="AK217" s="755"/>
      <c r="AL217" s="755"/>
      <c r="AM217" s="755"/>
      <c r="AN217" s="755"/>
      <c r="AO217" s="755"/>
      <c r="AP217" s="755"/>
    </row>
    <row r="218" spans="1:42">
      <c r="A218" s="753"/>
      <c r="B218" s="753"/>
      <c r="C218" s="753"/>
      <c r="D218" s="753"/>
      <c r="E218" s="753"/>
      <c r="F218" s="753"/>
      <c r="G218" s="753"/>
      <c r="H218" s="753"/>
      <c r="I218" s="755"/>
      <c r="J218" s="755"/>
      <c r="K218" s="755"/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  <c r="AF218" s="755"/>
      <c r="AG218" s="755"/>
      <c r="AH218" s="755"/>
      <c r="AI218" s="755"/>
      <c r="AJ218" s="755"/>
      <c r="AK218" s="755"/>
      <c r="AL218" s="755"/>
      <c r="AM218" s="755"/>
      <c r="AN218" s="755"/>
      <c r="AO218" s="755"/>
      <c r="AP218" s="755"/>
    </row>
    <row r="219" spans="1:42">
      <c r="A219" s="753"/>
      <c r="B219" s="753"/>
      <c r="C219" s="753"/>
      <c r="D219" s="753"/>
      <c r="E219" s="753"/>
      <c r="F219" s="753"/>
      <c r="G219" s="753"/>
      <c r="H219" s="753"/>
      <c r="I219" s="755"/>
      <c r="J219" s="755"/>
      <c r="K219" s="755"/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  <c r="AF219" s="755"/>
      <c r="AG219" s="755"/>
      <c r="AH219" s="755"/>
      <c r="AI219" s="755"/>
      <c r="AJ219" s="755"/>
      <c r="AK219" s="755"/>
      <c r="AL219" s="755"/>
      <c r="AM219" s="755"/>
      <c r="AN219" s="755"/>
      <c r="AO219" s="755"/>
      <c r="AP219" s="755"/>
    </row>
    <row r="220" spans="1:42">
      <c r="A220" s="753"/>
      <c r="B220" s="753"/>
      <c r="C220" s="753"/>
      <c r="D220" s="753"/>
      <c r="E220" s="753"/>
      <c r="F220" s="753"/>
      <c r="G220" s="753"/>
      <c r="H220" s="753"/>
      <c r="I220" s="755"/>
      <c r="J220" s="755"/>
      <c r="K220" s="755"/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  <c r="AF220" s="755"/>
      <c r="AG220" s="755"/>
      <c r="AH220" s="755"/>
      <c r="AI220" s="755"/>
      <c r="AJ220" s="755"/>
      <c r="AK220" s="755"/>
      <c r="AL220" s="755"/>
      <c r="AM220" s="755"/>
      <c r="AN220" s="755"/>
      <c r="AO220" s="755"/>
      <c r="AP220" s="755"/>
    </row>
    <row r="221" spans="1:42">
      <c r="A221" s="753"/>
      <c r="B221" s="753"/>
      <c r="C221" s="753"/>
      <c r="D221" s="753"/>
      <c r="E221" s="753"/>
      <c r="F221" s="753"/>
      <c r="G221" s="753"/>
      <c r="H221" s="753"/>
      <c r="I221" s="755"/>
      <c r="J221" s="755"/>
      <c r="K221" s="755"/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  <c r="AF221" s="755"/>
      <c r="AG221" s="755"/>
      <c r="AH221" s="755"/>
      <c r="AI221" s="755"/>
      <c r="AJ221" s="755"/>
      <c r="AK221" s="755"/>
      <c r="AL221" s="755"/>
      <c r="AM221" s="755"/>
      <c r="AN221" s="755"/>
      <c r="AO221" s="755"/>
      <c r="AP221" s="755"/>
    </row>
    <row r="222" spans="1:42">
      <c r="A222" s="753"/>
      <c r="B222" s="753"/>
      <c r="C222" s="753"/>
      <c r="D222" s="753"/>
      <c r="E222" s="753"/>
      <c r="F222" s="753"/>
      <c r="G222" s="753"/>
      <c r="H222" s="753"/>
      <c r="I222" s="755"/>
      <c r="J222" s="755"/>
      <c r="K222" s="755"/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  <c r="AF222" s="755"/>
      <c r="AG222" s="755"/>
      <c r="AH222" s="755"/>
      <c r="AI222" s="755"/>
      <c r="AJ222" s="755"/>
      <c r="AK222" s="755"/>
      <c r="AL222" s="755"/>
      <c r="AM222" s="755"/>
      <c r="AN222" s="755"/>
      <c r="AO222" s="755"/>
      <c r="AP222" s="755"/>
    </row>
    <row r="223" spans="1:42">
      <c r="A223" s="753"/>
      <c r="B223" s="753"/>
      <c r="C223" s="753"/>
      <c r="D223" s="753"/>
      <c r="E223" s="753"/>
      <c r="F223" s="753"/>
      <c r="G223" s="753"/>
      <c r="H223" s="753"/>
      <c r="I223" s="755"/>
      <c r="J223" s="755"/>
      <c r="K223" s="755"/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  <c r="AF223" s="755"/>
      <c r="AG223" s="755"/>
      <c r="AH223" s="755"/>
      <c r="AI223" s="755"/>
      <c r="AJ223" s="755"/>
      <c r="AK223" s="755"/>
      <c r="AL223" s="755"/>
      <c r="AM223" s="755"/>
      <c r="AN223" s="755"/>
      <c r="AO223" s="755"/>
      <c r="AP223" s="755"/>
    </row>
    <row r="224" spans="1:42">
      <c r="A224" s="753"/>
      <c r="B224" s="753"/>
      <c r="C224" s="753"/>
      <c r="D224" s="753"/>
      <c r="E224" s="753"/>
      <c r="F224" s="753"/>
      <c r="G224" s="753"/>
      <c r="H224" s="753"/>
      <c r="I224" s="755"/>
      <c r="J224" s="755"/>
      <c r="K224" s="755"/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  <c r="AF224" s="755"/>
      <c r="AG224" s="755"/>
      <c r="AH224" s="755"/>
      <c r="AI224" s="755"/>
      <c r="AJ224" s="755"/>
      <c r="AK224" s="755"/>
      <c r="AL224" s="755"/>
      <c r="AM224" s="755"/>
      <c r="AN224" s="755"/>
      <c r="AO224" s="755"/>
      <c r="AP224" s="755"/>
    </row>
    <row r="225" spans="1:42">
      <c r="A225" s="753"/>
      <c r="B225" s="753"/>
      <c r="C225" s="753"/>
      <c r="D225" s="753"/>
      <c r="E225" s="753"/>
      <c r="F225" s="753"/>
      <c r="G225" s="753"/>
      <c r="H225" s="753"/>
      <c r="I225" s="755"/>
      <c r="J225" s="755"/>
      <c r="K225" s="755"/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  <c r="AF225" s="755"/>
      <c r="AG225" s="755"/>
      <c r="AH225" s="755"/>
      <c r="AI225" s="755"/>
      <c r="AJ225" s="755"/>
      <c r="AK225" s="755"/>
      <c r="AL225" s="755"/>
      <c r="AM225" s="755"/>
      <c r="AN225" s="755"/>
      <c r="AO225" s="755"/>
      <c r="AP225" s="755"/>
    </row>
    <row r="226" spans="1:42">
      <c r="A226" s="753"/>
      <c r="B226" s="753"/>
      <c r="C226" s="753"/>
      <c r="D226" s="753"/>
      <c r="E226" s="753"/>
      <c r="F226" s="753"/>
      <c r="G226" s="753"/>
      <c r="H226" s="753"/>
      <c r="I226" s="755"/>
      <c r="J226" s="755"/>
      <c r="K226" s="755"/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  <c r="AF226" s="755"/>
      <c r="AG226" s="755"/>
      <c r="AH226" s="755"/>
      <c r="AI226" s="755"/>
      <c r="AJ226" s="755"/>
      <c r="AK226" s="755"/>
      <c r="AL226" s="755"/>
      <c r="AM226" s="755"/>
      <c r="AN226" s="755"/>
      <c r="AO226" s="755"/>
      <c r="AP226" s="755"/>
    </row>
    <row r="227" spans="1:42">
      <c r="A227" s="753"/>
      <c r="B227" s="753"/>
      <c r="C227" s="753"/>
      <c r="D227" s="753"/>
      <c r="E227" s="753"/>
      <c r="F227" s="753"/>
      <c r="G227" s="753"/>
      <c r="H227" s="753"/>
      <c r="I227" s="755"/>
      <c r="J227" s="755"/>
      <c r="K227" s="755"/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  <c r="AF227" s="755"/>
      <c r="AG227" s="755"/>
      <c r="AH227" s="755"/>
      <c r="AI227" s="755"/>
      <c r="AJ227" s="755"/>
      <c r="AK227" s="755"/>
      <c r="AL227" s="755"/>
      <c r="AM227" s="755"/>
      <c r="AN227" s="755"/>
      <c r="AO227" s="755"/>
      <c r="AP227" s="755"/>
    </row>
    <row r="228" spans="1:42">
      <c r="A228" s="753"/>
      <c r="B228" s="753"/>
      <c r="C228" s="753"/>
      <c r="D228" s="753"/>
      <c r="E228" s="753"/>
      <c r="F228" s="753"/>
      <c r="G228" s="753"/>
      <c r="H228" s="753"/>
      <c r="I228" s="755"/>
      <c r="J228" s="755"/>
      <c r="K228" s="755"/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  <c r="AF228" s="755"/>
      <c r="AG228" s="755"/>
      <c r="AH228" s="755"/>
      <c r="AI228" s="755"/>
      <c r="AJ228" s="755"/>
      <c r="AK228" s="755"/>
      <c r="AL228" s="755"/>
      <c r="AM228" s="755"/>
      <c r="AN228" s="755"/>
      <c r="AO228" s="755"/>
      <c r="AP228" s="755"/>
    </row>
    <row r="229" spans="1:42">
      <c r="A229" s="753"/>
      <c r="B229" s="753"/>
      <c r="C229" s="753"/>
      <c r="D229" s="753"/>
      <c r="E229" s="753"/>
      <c r="F229" s="753"/>
      <c r="G229" s="753"/>
      <c r="H229" s="753"/>
      <c r="I229" s="755"/>
      <c r="J229" s="755"/>
      <c r="K229" s="755"/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  <c r="AF229" s="755"/>
      <c r="AG229" s="755"/>
      <c r="AH229" s="755"/>
      <c r="AI229" s="755"/>
      <c r="AJ229" s="755"/>
      <c r="AK229" s="755"/>
      <c r="AL229" s="755"/>
      <c r="AM229" s="755"/>
      <c r="AN229" s="755"/>
      <c r="AO229" s="755"/>
      <c r="AP229" s="755"/>
    </row>
    <row r="230" spans="1:42">
      <c r="A230" s="753"/>
      <c r="B230" s="753"/>
      <c r="C230" s="753"/>
      <c r="D230" s="753"/>
      <c r="E230" s="753"/>
      <c r="F230" s="753"/>
      <c r="G230" s="753"/>
      <c r="H230" s="753"/>
      <c r="I230" s="755"/>
      <c r="J230" s="755"/>
      <c r="K230" s="755"/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  <c r="AF230" s="755"/>
      <c r="AG230" s="755"/>
      <c r="AH230" s="755"/>
      <c r="AI230" s="755"/>
      <c r="AJ230" s="755"/>
      <c r="AK230" s="755"/>
      <c r="AL230" s="755"/>
      <c r="AM230" s="755"/>
      <c r="AN230" s="755"/>
      <c r="AO230" s="755"/>
      <c r="AP230" s="755"/>
    </row>
    <row r="231" spans="1:42">
      <c r="A231" s="753"/>
      <c r="B231" s="753"/>
      <c r="C231" s="753"/>
      <c r="D231" s="753"/>
      <c r="E231" s="753"/>
      <c r="F231" s="753"/>
      <c r="G231" s="753"/>
      <c r="H231" s="753"/>
      <c r="I231" s="755"/>
      <c r="J231" s="755"/>
      <c r="K231" s="755"/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  <c r="AF231" s="755"/>
      <c r="AG231" s="755"/>
      <c r="AH231" s="755"/>
      <c r="AI231" s="755"/>
      <c r="AJ231" s="755"/>
      <c r="AK231" s="755"/>
      <c r="AL231" s="755"/>
      <c r="AM231" s="755"/>
      <c r="AN231" s="755"/>
      <c r="AO231" s="755"/>
      <c r="AP231" s="755"/>
    </row>
    <row r="232" spans="1:42">
      <c r="A232" s="753"/>
      <c r="B232" s="753"/>
      <c r="C232" s="753"/>
      <c r="D232" s="753"/>
      <c r="E232" s="753"/>
      <c r="F232" s="753"/>
      <c r="G232" s="753"/>
      <c r="H232" s="753"/>
      <c r="I232" s="755"/>
      <c r="J232" s="755"/>
      <c r="K232" s="755"/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  <c r="AF232" s="755"/>
      <c r="AG232" s="755"/>
      <c r="AH232" s="755"/>
      <c r="AI232" s="755"/>
      <c r="AJ232" s="755"/>
      <c r="AK232" s="755"/>
      <c r="AL232" s="755"/>
      <c r="AM232" s="755"/>
      <c r="AN232" s="755"/>
      <c r="AO232" s="755"/>
      <c r="AP232" s="755"/>
    </row>
    <row r="233" spans="1:42">
      <c r="A233" s="753"/>
      <c r="B233" s="753"/>
      <c r="C233" s="753"/>
      <c r="D233" s="753"/>
      <c r="E233" s="753"/>
      <c r="F233" s="753"/>
      <c r="G233" s="753"/>
      <c r="H233" s="753"/>
      <c r="I233" s="755"/>
      <c r="J233" s="755"/>
      <c r="K233" s="755"/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  <c r="AF233" s="755"/>
      <c r="AG233" s="755"/>
      <c r="AH233" s="755"/>
      <c r="AI233" s="755"/>
      <c r="AJ233" s="755"/>
      <c r="AK233" s="755"/>
      <c r="AL233" s="755"/>
      <c r="AM233" s="755"/>
      <c r="AN233" s="755"/>
      <c r="AO233" s="755"/>
      <c r="AP233" s="755"/>
    </row>
    <row r="234" spans="1:42">
      <c r="A234" s="753"/>
      <c r="B234" s="753"/>
      <c r="C234" s="753"/>
      <c r="D234" s="753"/>
      <c r="E234" s="753"/>
      <c r="F234" s="753"/>
      <c r="G234" s="753"/>
      <c r="H234" s="753"/>
      <c r="I234" s="755"/>
      <c r="J234" s="755"/>
      <c r="K234" s="755"/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  <c r="AF234" s="755"/>
      <c r="AG234" s="755"/>
      <c r="AH234" s="755"/>
      <c r="AI234" s="755"/>
      <c r="AJ234" s="755"/>
      <c r="AK234" s="755"/>
      <c r="AL234" s="755"/>
      <c r="AM234" s="755"/>
      <c r="AN234" s="755"/>
      <c r="AO234" s="755"/>
      <c r="AP234" s="755"/>
    </row>
    <row r="235" spans="1:42">
      <c r="A235" s="753"/>
      <c r="B235" s="753"/>
      <c r="C235" s="753"/>
      <c r="D235" s="753"/>
      <c r="E235" s="753"/>
      <c r="F235" s="753"/>
      <c r="G235" s="753"/>
      <c r="H235" s="753"/>
      <c r="I235" s="755"/>
      <c r="J235" s="755"/>
      <c r="K235" s="755"/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  <c r="AF235" s="755"/>
      <c r="AG235" s="755"/>
      <c r="AH235" s="755"/>
      <c r="AI235" s="755"/>
      <c r="AJ235" s="755"/>
      <c r="AK235" s="755"/>
      <c r="AL235" s="755"/>
      <c r="AM235" s="755"/>
      <c r="AN235" s="755"/>
      <c r="AO235" s="755"/>
      <c r="AP235" s="755"/>
    </row>
    <row r="236" spans="1:42">
      <c r="A236" s="753"/>
      <c r="B236" s="753"/>
      <c r="C236" s="753"/>
      <c r="D236" s="753"/>
      <c r="E236" s="753"/>
      <c r="F236" s="753"/>
      <c r="G236" s="753"/>
      <c r="H236" s="753"/>
      <c r="I236" s="755"/>
      <c r="J236" s="755"/>
      <c r="K236" s="755"/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  <c r="AF236" s="755"/>
      <c r="AG236" s="755"/>
      <c r="AH236" s="755"/>
      <c r="AI236" s="755"/>
      <c r="AJ236" s="755"/>
      <c r="AK236" s="755"/>
      <c r="AL236" s="755"/>
      <c r="AM236" s="755"/>
      <c r="AN236" s="755"/>
      <c r="AO236" s="755"/>
      <c r="AP236" s="755"/>
    </row>
    <row r="237" spans="1:42">
      <c r="A237" s="753"/>
      <c r="B237" s="753"/>
      <c r="C237" s="753"/>
      <c r="D237" s="753"/>
      <c r="E237" s="753"/>
      <c r="F237" s="753"/>
      <c r="G237" s="753"/>
      <c r="H237" s="753"/>
      <c r="I237" s="755"/>
      <c r="J237" s="755"/>
      <c r="K237" s="755"/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  <c r="AF237" s="755"/>
      <c r="AG237" s="755"/>
      <c r="AH237" s="755"/>
      <c r="AI237" s="755"/>
      <c r="AJ237" s="755"/>
      <c r="AK237" s="755"/>
      <c r="AL237" s="755"/>
      <c r="AM237" s="755"/>
      <c r="AN237" s="755"/>
      <c r="AO237" s="755"/>
      <c r="AP237" s="755"/>
    </row>
    <row r="238" spans="1:42">
      <c r="A238" s="753"/>
      <c r="B238" s="753"/>
      <c r="C238" s="753"/>
      <c r="D238" s="753"/>
      <c r="E238" s="753"/>
      <c r="F238" s="753"/>
      <c r="G238" s="753"/>
      <c r="H238" s="753"/>
      <c r="I238" s="755"/>
      <c r="J238" s="755"/>
      <c r="K238" s="755"/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  <c r="AF238" s="755"/>
      <c r="AG238" s="755"/>
      <c r="AH238" s="755"/>
      <c r="AI238" s="755"/>
      <c r="AJ238" s="755"/>
      <c r="AK238" s="755"/>
      <c r="AL238" s="755"/>
      <c r="AM238" s="755"/>
      <c r="AN238" s="755"/>
      <c r="AO238" s="755"/>
      <c r="AP238" s="755"/>
    </row>
    <row r="239" spans="1:42">
      <c r="A239" s="753"/>
      <c r="B239" s="753"/>
      <c r="C239" s="753"/>
      <c r="D239" s="753"/>
      <c r="E239" s="753"/>
      <c r="F239" s="753"/>
      <c r="G239" s="753"/>
      <c r="H239" s="753"/>
      <c r="I239" s="755"/>
      <c r="J239" s="755"/>
      <c r="K239" s="755"/>
      <c r="L239" s="75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  <c r="AF239" s="755"/>
      <c r="AG239" s="755"/>
      <c r="AH239" s="755"/>
      <c r="AI239" s="755"/>
      <c r="AJ239" s="755"/>
      <c r="AK239" s="755"/>
      <c r="AL239" s="755"/>
      <c r="AM239" s="755"/>
      <c r="AN239" s="755"/>
      <c r="AO239" s="755"/>
      <c r="AP239" s="755"/>
    </row>
    <row r="240" spans="1:42">
      <c r="A240" s="753"/>
      <c r="B240" s="753"/>
      <c r="C240" s="753"/>
      <c r="D240" s="753"/>
      <c r="E240" s="753"/>
      <c r="F240" s="753"/>
      <c r="G240" s="753"/>
      <c r="H240" s="753"/>
      <c r="I240" s="755"/>
      <c r="J240" s="755"/>
      <c r="K240" s="755"/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  <c r="AF240" s="755"/>
      <c r="AG240" s="755"/>
      <c r="AH240" s="755"/>
      <c r="AI240" s="755"/>
      <c r="AJ240" s="755"/>
      <c r="AK240" s="755"/>
      <c r="AL240" s="755"/>
      <c r="AM240" s="755"/>
      <c r="AN240" s="755"/>
      <c r="AO240" s="755"/>
      <c r="AP240" s="755"/>
    </row>
    <row r="241" spans="1:42">
      <c r="A241" s="753"/>
      <c r="B241" s="753"/>
      <c r="C241" s="753"/>
      <c r="D241" s="753"/>
      <c r="E241" s="753"/>
      <c r="F241" s="753"/>
      <c r="G241" s="753"/>
      <c r="H241" s="753"/>
      <c r="I241" s="755"/>
      <c r="J241" s="755"/>
      <c r="K241" s="755"/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  <c r="AF241" s="755"/>
      <c r="AG241" s="755"/>
      <c r="AH241" s="755"/>
      <c r="AI241" s="755"/>
      <c r="AJ241" s="755"/>
      <c r="AK241" s="755"/>
      <c r="AL241" s="755"/>
      <c r="AM241" s="755"/>
      <c r="AN241" s="755"/>
      <c r="AO241" s="755"/>
      <c r="AP241" s="755"/>
    </row>
    <row r="242" spans="1:42">
      <c r="A242" s="753"/>
      <c r="B242" s="753"/>
      <c r="C242" s="753"/>
      <c r="D242" s="753"/>
      <c r="E242" s="753"/>
      <c r="F242" s="753"/>
      <c r="G242" s="753"/>
      <c r="H242" s="753"/>
      <c r="I242" s="755"/>
      <c r="J242" s="755"/>
      <c r="K242" s="755"/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  <c r="AF242" s="755"/>
      <c r="AG242" s="755"/>
      <c r="AH242" s="755"/>
      <c r="AI242" s="755"/>
      <c r="AJ242" s="755"/>
      <c r="AK242" s="755"/>
      <c r="AL242" s="755"/>
      <c r="AM242" s="755"/>
      <c r="AN242" s="755"/>
      <c r="AO242" s="755"/>
      <c r="AP242" s="755"/>
    </row>
    <row r="243" spans="1:42">
      <c r="A243" s="753"/>
      <c r="B243" s="753"/>
      <c r="C243" s="753"/>
      <c r="D243" s="753"/>
      <c r="E243" s="753"/>
      <c r="F243" s="753"/>
      <c r="G243" s="753"/>
      <c r="H243" s="753"/>
      <c r="I243" s="755"/>
      <c r="J243" s="755"/>
      <c r="K243" s="755"/>
      <c r="L243" s="755"/>
      <c r="M243" s="75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  <c r="AF243" s="755"/>
      <c r="AG243" s="755"/>
      <c r="AH243" s="755"/>
      <c r="AI243" s="755"/>
      <c r="AJ243" s="755"/>
      <c r="AK243" s="755"/>
      <c r="AL243" s="755"/>
      <c r="AM243" s="755"/>
      <c r="AN243" s="755"/>
      <c r="AO243" s="755"/>
      <c r="AP243" s="755"/>
    </row>
    <row r="244" spans="1:42">
      <c r="A244" s="753"/>
      <c r="B244" s="753"/>
      <c r="C244" s="753"/>
      <c r="D244" s="753"/>
      <c r="E244" s="753"/>
      <c r="F244" s="753"/>
      <c r="G244" s="753"/>
      <c r="H244" s="753"/>
      <c r="I244" s="755"/>
      <c r="J244" s="755"/>
      <c r="K244" s="755"/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  <c r="AF244" s="755"/>
      <c r="AG244" s="755"/>
      <c r="AH244" s="755"/>
      <c r="AI244" s="755"/>
      <c r="AJ244" s="755"/>
      <c r="AK244" s="755"/>
      <c r="AL244" s="755"/>
      <c r="AM244" s="755"/>
      <c r="AN244" s="755"/>
      <c r="AO244" s="755"/>
      <c r="AP244" s="755"/>
    </row>
    <row r="245" spans="1:42">
      <c r="A245" s="753"/>
      <c r="B245" s="753"/>
      <c r="C245" s="753"/>
      <c r="D245" s="753"/>
      <c r="E245" s="753"/>
      <c r="F245" s="753"/>
      <c r="G245" s="753"/>
      <c r="H245" s="753"/>
      <c r="I245" s="755"/>
      <c r="J245" s="755"/>
      <c r="K245" s="755"/>
      <c r="L245" s="755"/>
      <c r="M245" s="755"/>
      <c r="N245" s="75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  <c r="AF245" s="755"/>
      <c r="AG245" s="755"/>
      <c r="AH245" s="755"/>
      <c r="AI245" s="755"/>
      <c r="AJ245" s="755"/>
      <c r="AK245" s="755"/>
      <c r="AL245" s="755"/>
      <c r="AM245" s="755"/>
      <c r="AN245" s="755"/>
      <c r="AO245" s="755"/>
      <c r="AP245" s="755"/>
    </row>
    <row r="246" spans="1:42">
      <c r="A246" s="753"/>
      <c r="B246" s="753"/>
      <c r="C246" s="753"/>
      <c r="D246" s="753"/>
      <c r="E246" s="753"/>
      <c r="F246" s="753"/>
      <c r="G246" s="753"/>
      <c r="H246" s="753"/>
      <c r="I246" s="755"/>
      <c r="J246" s="755"/>
      <c r="K246" s="755"/>
      <c r="L246" s="755"/>
      <c r="M246" s="755"/>
      <c r="N246" s="755"/>
      <c r="O246" s="75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  <c r="AF246" s="755"/>
      <c r="AG246" s="755"/>
      <c r="AH246" s="755"/>
      <c r="AI246" s="755"/>
      <c r="AJ246" s="755"/>
      <c r="AK246" s="755"/>
      <c r="AL246" s="755"/>
      <c r="AM246" s="755"/>
      <c r="AN246" s="755"/>
      <c r="AO246" s="755"/>
      <c r="AP246" s="755"/>
    </row>
    <row r="247" spans="1:42">
      <c r="A247" s="753"/>
      <c r="B247" s="753"/>
      <c r="C247" s="753"/>
      <c r="D247" s="753"/>
      <c r="E247" s="753"/>
      <c r="F247" s="753"/>
      <c r="G247" s="753"/>
      <c r="H247" s="753"/>
      <c r="I247" s="755"/>
      <c r="J247" s="755"/>
      <c r="K247" s="755"/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  <c r="AF247" s="755"/>
      <c r="AG247" s="755"/>
      <c r="AH247" s="755"/>
      <c r="AI247" s="755"/>
      <c r="AJ247" s="755"/>
      <c r="AK247" s="755"/>
      <c r="AL247" s="755"/>
      <c r="AM247" s="755"/>
      <c r="AN247" s="755"/>
      <c r="AO247" s="755"/>
      <c r="AP247" s="755"/>
    </row>
    <row r="248" spans="1:42">
      <c r="A248" s="753"/>
      <c r="B248" s="753"/>
      <c r="C248" s="753"/>
      <c r="D248" s="753"/>
      <c r="E248" s="753"/>
      <c r="F248" s="753"/>
      <c r="G248" s="753"/>
      <c r="H248" s="753"/>
      <c r="I248" s="755"/>
      <c r="J248" s="755"/>
      <c r="K248" s="755"/>
      <c r="L248" s="755"/>
      <c r="M248" s="755"/>
      <c r="N248" s="755"/>
      <c r="O248" s="755"/>
      <c r="P248" s="75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  <c r="AF248" s="755"/>
      <c r="AG248" s="755"/>
      <c r="AH248" s="755"/>
      <c r="AI248" s="755"/>
      <c r="AJ248" s="755"/>
      <c r="AK248" s="755"/>
      <c r="AL248" s="755"/>
      <c r="AM248" s="755"/>
      <c r="AN248" s="755"/>
      <c r="AO248" s="755"/>
      <c r="AP248" s="755"/>
    </row>
    <row r="249" spans="1:42">
      <c r="A249" s="753"/>
      <c r="B249" s="753"/>
      <c r="C249" s="753"/>
      <c r="D249" s="753"/>
      <c r="E249" s="753"/>
      <c r="F249" s="753"/>
      <c r="G249" s="753"/>
      <c r="H249" s="753"/>
      <c r="I249" s="755"/>
      <c r="J249" s="755"/>
      <c r="K249" s="755"/>
      <c r="L249" s="755"/>
      <c r="M249" s="755"/>
      <c r="N249" s="755"/>
      <c r="O249" s="755"/>
      <c r="P249" s="755"/>
      <c r="Q249" s="75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  <c r="AF249" s="755"/>
      <c r="AG249" s="755"/>
      <c r="AH249" s="755"/>
      <c r="AI249" s="755"/>
      <c r="AJ249" s="755"/>
      <c r="AK249" s="755"/>
      <c r="AL249" s="755"/>
      <c r="AM249" s="755"/>
      <c r="AN249" s="755"/>
      <c r="AO249" s="755"/>
      <c r="AP249" s="755"/>
    </row>
    <row r="250" spans="1:42">
      <c r="A250" s="753"/>
      <c r="B250" s="753"/>
      <c r="C250" s="753"/>
      <c r="D250" s="753"/>
      <c r="E250" s="753"/>
      <c r="F250" s="753"/>
      <c r="G250" s="753"/>
      <c r="H250" s="753"/>
      <c r="I250" s="755"/>
      <c r="J250" s="755"/>
      <c r="K250" s="755"/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  <c r="AF250" s="755"/>
      <c r="AG250" s="755"/>
      <c r="AH250" s="755"/>
      <c r="AI250" s="755"/>
      <c r="AJ250" s="755"/>
      <c r="AK250" s="755"/>
      <c r="AL250" s="755"/>
      <c r="AM250" s="755"/>
      <c r="AN250" s="755"/>
      <c r="AO250" s="755"/>
      <c r="AP250" s="755"/>
    </row>
    <row r="251" spans="1:42">
      <c r="A251" s="753"/>
      <c r="B251" s="753"/>
      <c r="C251" s="753"/>
      <c r="D251" s="753"/>
      <c r="E251" s="753"/>
      <c r="F251" s="753"/>
      <c r="G251" s="753"/>
      <c r="H251" s="753"/>
      <c r="I251" s="755"/>
      <c r="J251" s="755"/>
      <c r="K251" s="755"/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  <c r="AF251" s="755"/>
      <c r="AG251" s="755"/>
      <c r="AH251" s="755"/>
      <c r="AI251" s="755"/>
      <c r="AJ251" s="755"/>
      <c r="AK251" s="755"/>
      <c r="AL251" s="755"/>
      <c r="AM251" s="755"/>
      <c r="AN251" s="755"/>
      <c r="AO251" s="755"/>
      <c r="AP251" s="755"/>
    </row>
    <row r="252" spans="1:42">
      <c r="A252" s="753"/>
      <c r="B252" s="753"/>
      <c r="C252" s="753"/>
      <c r="D252" s="753"/>
      <c r="E252" s="753"/>
      <c r="F252" s="753"/>
      <c r="G252" s="753"/>
      <c r="H252" s="753"/>
      <c r="I252" s="755"/>
      <c r="J252" s="755"/>
      <c r="K252" s="755"/>
      <c r="L252" s="755"/>
      <c r="M252" s="755"/>
      <c r="N252" s="755"/>
      <c r="O252" s="755"/>
      <c r="P252" s="755"/>
      <c r="Q252" s="755"/>
      <c r="R252" s="75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  <c r="AF252" s="755"/>
      <c r="AG252" s="755"/>
      <c r="AH252" s="755"/>
      <c r="AI252" s="755"/>
      <c r="AJ252" s="755"/>
      <c r="AK252" s="755"/>
      <c r="AL252" s="755"/>
      <c r="AM252" s="755"/>
      <c r="AN252" s="755"/>
      <c r="AO252" s="755"/>
      <c r="AP252" s="755"/>
    </row>
    <row r="253" spans="1:42">
      <c r="A253" s="753"/>
      <c r="B253" s="753"/>
      <c r="C253" s="753"/>
      <c r="D253" s="753"/>
      <c r="E253" s="753"/>
      <c r="F253" s="753"/>
      <c r="G253" s="753"/>
      <c r="H253" s="753"/>
      <c r="I253" s="755"/>
      <c r="J253" s="755"/>
      <c r="K253" s="755"/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  <c r="AF253" s="755"/>
      <c r="AG253" s="755"/>
      <c r="AH253" s="755"/>
      <c r="AI253" s="755"/>
      <c r="AJ253" s="755"/>
      <c r="AK253" s="755"/>
      <c r="AL253" s="755"/>
      <c r="AM253" s="755"/>
      <c r="AN253" s="755"/>
      <c r="AO253" s="755"/>
      <c r="AP253" s="755"/>
    </row>
    <row r="254" spans="1:42">
      <c r="A254" s="753"/>
      <c r="B254" s="753"/>
      <c r="C254" s="753"/>
      <c r="D254" s="753"/>
      <c r="E254" s="753"/>
      <c r="F254" s="753"/>
      <c r="G254" s="753"/>
      <c r="H254" s="753"/>
      <c r="I254" s="755"/>
      <c r="J254" s="755"/>
      <c r="K254" s="755"/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  <c r="AF254" s="755"/>
      <c r="AG254" s="755"/>
      <c r="AH254" s="755"/>
      <c r="AI254" s="755"/>
      <c r="AJ254" s="755"/>
      <c r="AK254" s="755"/>
      <c r="AL254" s="755"/>
      <c r="AM254" s="755"/>
      <c r="AN254" s="755"/>
      <c r="AO254" s="755"/>
      <c r="AP254" s="755"/>
    </row>
    <row r="255" spans="1:42">
      <c r="A255" s="753"/>
      <c r="B255" s="753"/>
      <c r="C255" s="753"/>
      <c r="D255" s="753"/>
      <c r="E255" s="753"/>
      <c r="F255" s="753"/>
      <c r="G255" s="753"/>
      <c r="H255" s="753"/>
      <c r="I255" s="755"/>
      <c r="J255" s="755"/>
      <c r="K255" s="755"/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  <c r="AF255" s="755"/>
      <c r="AG255" s="755"/>
      <c r="AH255" s="755"/>
      <c r="AI255" s="755"/>
      <c r="AJ255" s="755"/>
      <c r="AK255" s="755"/>
      <c r="AL255" s="755"/>
      <c r="AM255" s="755"/>
      <c r="AN255" s="755"/>
      <c r="AO255" s="755"/>
      <c r="AP255" s="755"/>
    </row>
    <row r="256" spans="1:42">
      <c r="A256" s="753"/>
      <c r="B256" s="753"/>
      <c r="C256" s="753"/>
      <c r="D256" s="753"/>
      <c r="E256" s="753"/>
      <c r="F256" s="753"/>
      <c r="G256" s="753"/>
      <c r="H256" s="753"/>
      <c r="I256" s="755"/>
      <c r="J256" s="755"/>
      <c r="K256" s="755"/>
      <c r="L256" s="755"/>
      <c r="M256" s="755"/>
      <c r="N256" s="755"/>
      <c r="O256" s="755"/>
      <c r="P256" s="755"/>
      <c r="Q256" s="755"/>
      <c r="R256" s="75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</row>
    <row r="257" spans="1:42">
      <c r="A257" s="753"/>
      <c r="B257" s="753"/>
      <c r="C257" s="753"/>
      <c r="D257" s="753"/>
      <c r="E257" s="753"/>
      <c r="F257" s="753"/>
      <c r="G257" s="753"/>
      <c r="H257" s="753"/>
      <c r="I257" s="755"/>
      <c r="J257" s="755"/>
      <c r="K257" s="755"/>
      <c r="L257" s="755"/>
      <c r="M257" s="755"/>
      <c r="N257" s="755"/>
      <c r="O257" s="755"/>
      <c r="P257" s="755"/>
      <c r="Q257" s="755"/>
      <c r="R257" s="755"/>
      <c r="S257" s="75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</row>
    <row r="258" spans="1:42">
      <c r="A258" s="753"/>
      <c r="B258" s="753"/>
      <c r="C258" s="753"/>
      <c r="D258" s="753"/>
      <c r="E258" s="753"/>
      <c r="F258" s="753"/>
      <c r="G258" s="753"/>
      <c r="H258" s="753"/>
      <c r="I258" s="755"/>
      <c r="J258" s="755"/>
      <c r="K258" s="755"/>
      <c r="L258" s="755"/>
      <c r="M258" s="755"/>
      <c r="N258" s="755"/>
      <c r="O258" s="755"/>
      <c r="P258" s="755"/>
      <c r="Q258" s="755"/>
      <c r="R258" s="755"/>
      <c r="S258" s="755"/>
      <c r="T258" s="75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</row>
    <row r="259" spans="1:42">
      <c r="A259" s="753"/>
      <c r="B259" s="753"/>
      <c r="C259" s="753"/>
      <c r="D259" s="753"/>
      <c r="E259" s="753"/>
      <c r="F259" s="753"/>
      <c r="G259" s="753"/>
      <c r="H259" s="753"/>
      <c r="I259" s="755"/>
      <c r="J259" s="755"/>
      <c r="K259" s="755"/>
      <c r="L259" s="755"/>
      <c r="M259" s="755"/>
      <c r="N259" s="755"/>
      <c r="O259" s="755"/>
      <c r="P259" s="755"/>
      <c r="Q259" s="755"/>
      <c r="R259" s="755"/>
      <c r="S259" s="755"/>
      <c r="T259" s="75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</row>
    <row r="260" spans="1:42">
      <c r="A260" s="753"/>
      <c r="B260" s="753"/>
      <c r="C260" s="753"/>
      <c r="D260" s="753"/>
      <c r="E260" s="753"/>
      <c r="F260" s="753"/>
      <c r="G260" s="753"/>
      <c r="H260" s="753"/>
      <c r="I260" s="755"/>
      <c r="J260" s="755"/>
      <c r="K260" s="755"/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</row>
    <row r="261" spans="1:42">
      <c r="A261" s="753"/>
      <c r="B261" s="753"/>
      <c r="C261" s="753"/>
      <c r="D261" s="753"/>
      <c r="E261" s="753"/>
      <c r="F261" s="753"/>
      <c r="G261" s="753"/>
      <c r="H261" s="753"/>
      <c r="I261" s="755"/>
      <c r="J261" s="755"/>
      <c r="K261" s="755"/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/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</row>
    <row r="262" spans="1:42">
      <c r="A262" s="753"/>
      <c r="B262" s="753"/>
      <c r="C262" s="753"/>
      <c r="D262" s="753"/>
      <c r="E262" s="753"/>
      <c r="F262" s="753"/>
      <c r="G262" s="753"/>
      <c r="H262" s="753"/>
      <c r="I262" s="755"/>
      <c r="J262" s="755"/>
      <c r="K262" s="755"/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/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</row>
    <row r="263" spans="1:42">
      <c r="A263" s="753"/>
      <c r="B263" s="753"/>
      <c r="C263" s="753"/>
      <c r="D263" s="753"/>
      <c r="E263" s="753"/>
      <c r="F263" s="753"/>
      <c r="G263" s="753"/>
      <c r="H263" s="753"/>
      <c r="I263" s="755"/>
      <c r="J263" s="755"/>
      <c r="K263" s="755"/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/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</row>
    <row r="264" spans="1:42">
      <c r="A264" s="753"/>
      <c r="B264" s="753"/>
      <c r="C264" s="753"/>
      <c r="D264" s="753"/>
      <c r="E264" s="753"/>
      <c r="F264" s="753"/>
      <c r="G264" s="753"/>
      <c r="H264" s="753"/>
      <c r="I264" s="755"/>
      <c r="J264" s="755"/>
      <c r="K264" s="755"/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</row>
    <row r="265" spans="1:42">
      <c r="A265" s="753"/>
      <c r="B265" s="753"/>
      <c r="C265" s="753"/>
      <c r="D265" s="753"/>
      <c r="E265" s="753"/>
      <c r="F265" s="753"/>
      <c r="G265" s="753"/>
      <c r="H265" s="753"/>
      <c r="I265" s="755"/>
      <c r="J265" s="755"/>
      <c r="K265" s="755"/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</row>
    <row r="266" spans="1:42">
      <c r="A266" s="753"/>
      <c r="B266" s="753"/>
      <c r="C266" s="753"/>
      <c r="D266" s="753"/>
      <c r="E266" s="753"/>
      <c r="F266" s="753"/>
      <c r="G266" s="753"/>
      <c r="H266" s="753"/>
      <c r="I266" s="755"/>
      <c r="J266" s="755"/>
      <c r="K266" s="755"/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</row>
    <row r="267" spans="1:42">
      <c r="A267" s="753"/>
      <c r="B267" s="753"/>
      <c r="C267" s="753"/>
      <c r="D267" s="753"/>
      <c r="E267" s="753"/>
      <c r="F267" s="753"/>
      <c r="G267" s="753"/>
      <c r="H267" s="753"/>
      <c r="I267" s="755"/>
      <c r="J267" s="755"/>
      <c r="K267" s="755"/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</row>
    <row r="268" spans="1:42">
      <c r="A268" s="753"/>
      <c r="B268" s="753"/>
      <c r="C268" s="753"/>
      <c r="D268" s="753"/>
      <c r="E268" s="753"/>
      <c r="F268" s="753"/>
      <c r="G268" s="753"/>
      <c r="H268" s="753"/>
      <c r="I268" s="755"/>
      <c r="J268" s="755"/>
      <c r="K268" s="755"/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</row>
    <row r="269" spans="1:42">
      <c r="A269" s="753"/>
      <c r="B269" s="753"/>
      <c r="C269" s="753"/>
      <c r="D269" s="753"/>
      <c r="E269" s="753"/>
      <c r="F269" s="753"/>
      <c r="G269" s="753"/>
      <c r="H269" s="753"/>
      <c r="I269" s="755"/>
      <c r="J269" s="755"/>
      <c r="K269" s="755"/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</row>
    <row r="270" spans="1:42">
      <c r="A270" s="753"/>
      <c r="B270" s="753"/>
      <c r="C270" s="753"/>
      <c r="D270" s="753"/>
      <c r="E270" s="753"/>
      <c r="F270" s="753"/>
      <c r="G270" s="753"/>
      <c r="H270" s="753"/>
      <c r="I270" s="755"/>
      <c r="J270" s="755"/>
      <c r="K270" s="755"/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</row>
    <row r="271" spans="1:42">
      <c r="A271" s="753"/>
      <c r="B271" s="753"/>
      <c r="C271" s="753"/>
      <c r="D271" s="753"/>
      <c r="E271" s="753"/>
      <c r="F271" s="753"/>
      <c r="G271" s="753"/>
      <c r="H271" s="753"/>
      <c r="I271" s="755"/>
      <c r="J271" s="755"/>
      <c r="K271" s="755"/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</row>
    <row r="272" spans="1:42">
      <c r="A272" s="753"/>
      <c r="B272" s="753"/>
      <c r="C272" s="753"/>
      <c r="D272" s="753"/>
      <c r="E272" s="753"/>
      <c r="F272" s="753"/>
      <c r="G272" s="753"/>
      <c r="H272" s="753"/>
      <c r="I272" s="755"/>
      <c r="J272" s="755"/>
      <c r="K272" s="755"/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</row>
    <row r="273" spans="1:42">
      <c r="A273" s="753"/>
      <c r="B273" s="753"/>
      <c r="C273" s="753"/>
      <c r="D273" s="753"/>
      <c r="E273" s="753"/>
      <c r="F273" s="753"/>
      <c r="G273" s="753"/>
      <c r="H273" s="753"/>
      <c r="I273" s="755"/>
      <c r="J273" s="755"/>
      <c r="K273" s="755"/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</row>
    <row r="274" spans="1:42">
      <c r="A274" s="753"/>
      <c r="B274" s="753"/>
      <c r="C274" s="753"/>
      <c r="D274" s="753"/>
      <c r="E274" s="753"/>
      <c r="F274" s="753"/>
      <c r="G274" s="753"/>
      <c r="H274" s="753"/>
      <c r="I274" s="755"/>
      <c r="J274" s="755"/>
      <c r="K274" s="755"/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</row>
    <row r="275" spans="1:42">
      <c r="A275" s="753"/>
      <c r="B275" s="753"/>
      <c r="C275" s="753"/>
      <c r="D275" s="753"/>
      <c r="E275" s="753"/>
      <c r="F275" s="753"/>
      <c r="G275" s="753"/>
      <c r="H275" s="753"/>
      <c r="I275" s="755"/>
      <c r="J275" s="755"/>
      <c r="K275" s="755"/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</row>
    <row r="276" spans="1:42">
      <c r="A276" s="753"/>
      <c r="B276" s="753"/>
      <c r="C276" s="753"/>
      <c r="D276" s="753"/>
      <c r="E276" s="753"/>
      <c r="F276" s="753"/>
      <c r="G276" s="753"/>
      <c r="H276" s="753"/>
      <c r="I276" s="755"/>
      <c r="J276" s="755"/>
      <c r="K276" s="755"/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</row>
    <row r="277" spans="1:42">
      <c r="A277" s="753"/>
      <c r="B277" s="753"/>
      <c r="C277" s="753"/>
      <c r="D277" s="753"/>
      <c r="E277" s="753"/>
      <c r="F277" s="753"/>
      <c r="G277" s="753"/>
      <c r="H277" s="753"/>
      <c r="I277" s="755"/>
      <c r="J277" s="755"/>
      <c r="K277" s="755"/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</row>
    <row r="278" spans="1:42">
      <c r="A278" s="753"/>
      <c r="B278" s="753"/>
      <c r="C278" s="753"/>
      <c r="D278" s="753"/>
      <c r="E278" s="753"/>
      <c r="F278" s="753"/>
      <c r="G278" s="753"/>
      <c r="H278" s="753"/>
      <c r="I278" s="755"/>
      <c r="J278" s="755"/>
      <c r="K278" s="755"/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</row>
    <row r="279" spans="1:42">
      <c r="A279" s="753"/>
      <c r="B279" s="753"/>
      <c r="C279" s="753"/>
      <c r="D279" s="753"/>
      <c r="E279" s="753"/>
      <c r="F279" s="753"/>
      <c r="G279" s="753"/>
      <c r="H279" s="753"/>
      <c r="I279" s="755"/>
      <c r="J279" s="755"/>
      <c r="K279" s="755"/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</row>
    <row r="280" spans="1:42">
      <c r="A280" s="753"/>
      <c r="B280" s="753"/>
      <c r="C280" s="753"/>
      <c r="D280" s="753"/>
      <c r="E280" s="753"/>
      <c r="F280" s="753"/>
      <c r="G280" s="753"/>
      <c r="H280" s="753"/>
      <c r="I280" s="755"/>
      <c r="J280" s="755"/>
      <c r="K280" s="755"/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</row>
    <row r="281" spans="1:42">
      <c r="A281" s="753"/>
      <c r="B281" s="753"/>
      <c r="C281" s="753"/>
      <c r="D281" s="753"/>
      <c r="E281" s="753"/>
      <c r="F281" s="753"/>
      <c r="G281" s="753"/>
      <c r="H281" s="753"/>
      <c r="I281" s="755"/>
      <c r="J281" s="755"/>
      <c r="K281" s="755"/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</row>
    <row r="282" spans="1:42">
      <c r="A282" s="753"/>
      <c r="B282" s="753"/>
      <c r="C282" s="753"/>
      <c r="D282" s="753"/>
      <c r="E282" s="753"/>
      <c r="F282" s="753"/>
      <c r="G282" s="753"/>
      <c r="H282" s="753"/>
      <c r="I282" s="755"/>
      <c r="J282" s="755"/>
      <c r="K282" s="755"/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</row>
    <row r="283" spans="1:42">
      <c r="A283" s="753"/>
      <c r="B283" s="753"/>
      <c r="C283" s="753"/>
      <c r="D283" s="753"/>
      <c r="E283" s="753"/>
      <c r="F283" s="753"/>
      <c r="G283" s="753"/>
      <c r="H283" s="753"/>
      <c r="I283" s="755"/>
      <c r="J283" s="755"/>
      <c r="K283" s="755"/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</row>
    <row r="284" spans="1:42">
      <c r="A284" s="753"/>
      <c r="B284" s="753"/>
      <c r="C284" s="753"/>
      <c r="D284" s="753"/>
      <c r="E284" s="753"/>
      <c r="F284" s="753"/>
      <c r="G284" s="753"/>
      <c r="H284" s="753"/>
      <c r="I284" s="755"/>
      <c r="J284" s="755"/>
      <c r="K284" s="755"/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</row>
    <row r="285" spans="1:42">
      <c r="A285" s="753"/>
      <c r="B285" s="753"/>
      <c r="C285" s="753"/>
      <c r="D285" s="753"/>
      <c r="E285" s="753"/>
      <c r="F285" s="753"/>
      <c r="G285" s="753"/>
      <c r="H285" s="753"/>
      <c r="I285" s="755"/>
      <c r="J285" s="755"/>
      <c r="K285" s="755"/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</row>
    <row r="286" spans="1:42">
      <c r="A286" s="753"/>
      <c r="B286" s="753"/>
      <c r="C286" s="753"/>
      <c r="D286" s="753"/>
      <c r="E286" s="753"/>
      <c r="F286" s="753"/>
      <c r="G286" s="753"/>
      <c r="H286" s="753"/>
      <c r="I286" s="755"/>
      <c r="J286" s="755"/>
      <c r="K286" s="755"/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</row>
    <row r="287" spans="1:42">
      <c r="A287" s="753"/>
      <c r="B287" s="753"/>
      <c r="C287" s="753"/>
      <c r="D287" s="753"/>
      <c r="E287" s="753"/>
      <c r="F287" s="753"/>
      <c r="G287" s="753"/>
      <c r="H287" s="753"/>
      <c r="I287" s="755"/>
      <c r="J287" s="755"/>
      <c r="K287" s="755"/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</row>
    <row r="288" spans="1:42">
      <c r="A288" s="753"/>
      <c r="B288" s="753"/>
      <c r="C288" s="753"/>
      <c r="D288" s="753"/>
      <c r="E288" s="753"/>
      <c r="F288" s="753"/>
      <c r="G288" s="753"/>
      <c r="H288" s="753"/>
      <c r="I288" s="755"/>
      <c r="J288" s="755"/>
      <c r="K288" s="755"/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</row>
    <row r="289" spans="1:42">
      <c r="A289" s="753"/>
      <c r="B289" s="753"/>
      <c r="C289" s="753"/>
      <c r="D289" s="753"/>
      <c r="E289" s="753"/>
      <c r="F289" s="753"/>
      <c r="G289" s="753"/>
      <c r="H289" s="753"/>
      <c r="I289" s="755"/>
      <c r="J289" s="755"/>
      <c r="K289" s="755"/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</row>
    <row r="290" spans="1:42">
      <c r="A290" s="753"/>
      <c r="B290" s="753"/>
      <c r="C290" s="753"/>
      <c r="D290" s="753"/>
      <c r="E290" s="753"/>
      <c r="F290" s="753"/>
      <c r="G290" s="753"/>
      <c r="H290" s="753"/>
      <c r="I290" s="755"/>
      <c r="J290" s="755"/>
      <c r="K290" s="755"/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</row>
    <row r="291" spans="1:42">
      <c r="A291" s="753"/>
      <c r="B291" s="753"/>
      <c r="C291" s="753"/>
      <c r="D291" s="753"/>
      <c r="E291" s="753"/>
      <c r="F291" s="753"/>
      <c r="G291" s="753"/>
      <c r="H291" s="753"/>
      <c r="I291" s="755"/>
      <c r="J291" s="755"/>
      <c r="K291" s="755"/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</row>
    <row r="292" spans="1:42">
      <c r="A292" s="753"/>
      <c r="B292" s="753"/>
      <c r="C292" s="753"/>
      <c r="D292" s="753"/>
      <c r="E292" s="753"/>
      <c r="F292" s="753"/>
      <c r="G292" s="753"/>
      <c r="H292" s="753"/>
      <c r="I292" s="755"/>
      <c r="J292" s="755"/>
      <c r="K292" s="755"/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</row>
    <row r="293" spans="1:42">
      <c r="A293" s="753"/>
      <c r="B293" s="753"/>
      <c r="C293" s="753"/>
      <c r="D293" s="753"/>
      <c r="E293" s="753"/>
      <c r="F293" s="753"/>
      <c r="G293" s="753"/>
      <c r="H293" s="753"/>
      <c r="I293" s="755"/>
      <c r="J293" s="755"/>
      <c r="K293" s="755"/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</row>
    <row r="294" spans="1:42">
      <c r="A294" s="753"/>
      <c r="B294" s="753"/>
      <c r="C294" s="753"/>
      <c r="D294" s="753"/>
      <c r="E294" s="753"/>
      <c r="F294" s="753"/>
      <c r="G294" s="753"/>
      <c r="H294" s="753"/>
      <c r="I294" s="755"/>
      <c r="J294" s="755"/>
      <c r="K294" s="755"/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</row>
    <row r="295" spans="1:42">
      <c r="A295" s="753"/>
      <c r="B295" s="753"/>
      <c r="C295" s="753"/>
      <c r="D295" s="753"/>
      <c r="E295" s="753"/>
      <c r="F295" s="753"/>
      <c r="G295" s="753"/>
      <c r="H295" s="753"/>
      <c r="I295" s="755"/>
      <c r="J295" s="755"/>
      <c r="K295" s="755"/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</row>
    <row r="296" spans="1:42">
      <c r="A296" s="753"/>
      <c r="B296" s="753"/>
      <c r="C296" s="753"/>
      <c r="D296" s="753"/>
      <c r="E296" s="753"/>
      <c r="F296" s="753"/>
      <c r="G296" s="753"/>
      <c r="H296" s="753"/>
      <c r="I296" s="755"/>
      <c r="J296" s="755"/>
      <c r="K296" s="755"/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</row>
    <row r="297" spans="1:42">
      <c r="A297" s="753"/>
      <c r="B297" s="753"/>
      <c r="C297" s="753"/>
      <c r="D297" s="753"/>
      <c r="E297" s="753"/>
      <c r="F297" s="753"/>
      <c r="G297" s="753"/>
      <c r="H297" s="753"/>
      <c r="I297" s="755"/>
      <c r="J297" s="755"/>
      <c r="K297" s="755"/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</row>
    <row r="298" spans="1:42">
      <c r="A298" s="753"/>
      <c r="B298" s="753"/>
      <c r="C298" s="753"/>
      <c r="D298" s="753"/>
      <c r="E298" s="753"/>
      <c r="F298" s="753"/>
      <c r="G298" s="753"/>
      <c r="H298" s="753"/>
      <c r="I298" s="755"/>
      <c r="J298" s="755"/>
      <c r="K298" s="755"/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</row>
    <row r="299" spans="1:42">
      <c r="A299" s="753"/>
      <c r="B299" s="753"/>
      <c r="C299" s="753"/>
      <c r="D299" s="753"/>
      <c r="E299" s="753"/>
      <c r="F299" s="753"/>
      <c r="G299" s="753"/>
      <c r="H299" s="753"/>
      <c r="I299" s="755"/>
      <c r="J299" s="755"/>
      <c r="K299" s="755"/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</row>
    <row r="300" spans="1:42">
      <c r="A300" s="753"/>
      <c r="B300" s="753"/>
      <c r="C300" s="753"/>
      <c r="D300" s="753"/>
      <c r="E300" s="753"/>
      <c r="F300" s="753"/>
      <c r="G300" s="753"/>
      <c r="H300" s="753"/>
      <c r="I300" s="755"/>
      <c r="J300" s="755"/>
      <c r="K300" s="755"/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</row>
    <row r="301" spans="1:42">
      <c r="A301" s="753"/>
      <c r="B301" s="753"/>
      <c r="C301" s="753"/>
      <c r="D301" s="753"/>
      <c r="E301" s="753"/>
      <c r="F301" s="753"/>
      <c r="G301" s="753"/>
      <c r="H301" s="753"/>
      <c r="I301" s="755"/>
      <c r="J301" s="755"/>
      <c r="K301" s="755"/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</row>
    <row r="302" spans="1:42">
      <c r="A302" s="753"/>
      <c r="B302" s="753"/>
      <c r="C302" s="753"/>
      <c r="D302" s="753"/>
      <c r="E302" s="753"/>
      <c r="F302" s="753"/>
      <c r="G302" s="753"/>
      <c r="H302" s="753"/>
      <c r="I302" s="755"/>
      <c r="J302" s="755"/>
      <c r="K302" s="755"/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</row>
    <row r="303" spans="1:42">
      <c r="A303" s="753"/>
      <c r="B303" s="753"/>
      <c r="C303" s="753"/>
      <c r="D303" s="753"/>
      <c r="E303" s="753"/>
      <c r="F303" s="753"/>
      <c r="G303" s="753"/>
      <c r="H303" s="753"/>
      <c r="I303" s="755"/>
      <c r="J303" s="755"/>
      <c r="K303" s="755"/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</row>
    <row r="304" spans="1:42">
      <c r="A304" s="753"/>
      <c r="B304" s="753"/>
      <c r="C304" s="753"/>
      <c r="D304" s="753"/>
      <c r="E304" s="753"/>
      <c r="F304" s="753"/>
      <c r="G304" s="753"/>
      <c r="H304" s="753"/>
      <c r="I304" s="755"/>
      <c r="J304" s="755"/>
      <c r="K304" s="755"/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</row>
    <row r="305" spans="1:42">
      <c r="A305" s="753"/>
      <c r="B305" s="753"/>
      <c r="C305" s="753"/>
      <c r="D305" s="753"/>
      <c r="E305" s="753"/>
      <c r="F305" s="753"/>
      <c r="G305" s="753"/>
      <c r="H305" s="753"/>
      <c r="I305" s="755"/>
      <c r="J305" s="755"/>
      <c r="K305" s="755"/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</row>
    <row r="306" spans="1:42">
      <c r="A306" s="753"/>
      <c r="B306" s="753"/>
      <c r="C306" s="753"/>
      <c r="D306" s="753"/>
      <c r="E306" s="753"/>
      <c r="F306" s="753"/>
      <c r="G306" s="753"/>
      <c r="H306" s="753"/>
      <c r="I306" s="755"/>
      <c r="J306" s="755"/>
      <c r="K306" s="755"/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</row>
    <row r="307" spans="1:42">
      <c r="A307" s="753"/>
      <c r="B307" s="753"/>
      <c r="C307" s="753"/>
      <c r="D307" s="753"/>
      <c r="E307" s="753"/>
      <c r="F307" s="753"/>
      <c r="G307" s="753"/>
      <c r="H307" s="753"/>
      <c r="I307" s="755"/>
      <c r="J307" s="755"/>
      <c r="K307" s="755"/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</row>
    <row r="308" spans="1:42">
      <c r="A308" s="753"/>
      <c r="B308" s="753"/>
      <c r="C308" s="753"/>
      <c r="D308" s="753"/>
      <c r="E308" s="753"/>
      <c r="F308" s="753"/>
      <c r="G308" s="753"/>
      <c r="H308" s="753"/>
      <c r="I308" s="755"/>
      <c r="J308" s="755"/>
      <c r="K308" s="755"/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</row>
    <row r="309" spans="1:42">
      <c r="A309" s="753"/>
      <c r="B309" s="753"/>
      <c r="C309" s="753"/>
      <c r="D309" s="753"/>
      <c r="E309" s="753"/>
      <c r="F309" s="753"/>
      <c r="G309" s="753"/>
      <c r="H309" s="753"/>
      <c r="I309" s="755"/>
      <c r="J309" s="755"/>
      <c r="K309" s="755"/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</row>
    <row r="310" spans="1:42">
      <c r="A310" s="753"/>
      <c r="B310" s="753"/>
      <c r="C310" s="753"/>
      <c r="D310" s="753"/>
      <c r="E310" s="753"/>
      <c r="F310" s="753"/>
      <c r="G310" s="753"/>
      <c r="H310" s="753"/>
      <c r="I310" s="755"/>
      <c r="J310" s="755"/>
      <c r="K310" s="755"/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</row>
    <row r="311" spans="1:42">
      <c r="A311" s="753"/>
      <c r="B311" s="753"/>
      <c r="C311" s="753"/>
      <c r="D311" s="753"/>
      <c r="E311" s="753"/>
      <c r="F311" s="753"/>
      <c r="G311" s="753"/>
      <c r="H311" s="753"/>
      <c r="I311" s="755"/>
      <c r="J311" s="755"/>
      <c r="K311" s="755"/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</row>
    <row r="312" spans="1:42">
      <c r="A312" s="753"/>
      <c r="B312" s="753"/>
      <c r="C312" s="753"/>
      <c r="D312" s="753"/>
      <c r="E312" s="753"/>
      <c r="F312" s="753"/>
      <c r="G312" s="753"/>
      <c r="H312" s="753"/>
      <c r="I312" s="755"/>
      <c r="J312" s="755"/>
      <c r="K312" s="755"/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</row>
    <row r="313" spans="1:42">
      <c r="A313" s="753"/>
      <c r="B313" s="753"/>
      <c r="C313" s="753"/>
      <c r="D313" s="753"/>
      <c r="E313" s="753"/>
      <c r="F313" s="753"/>
      <c r="G313" s="753"/>
      <c r="H313" s="753"/>
      <c r="I313" s="755"/>
      <c r="J313" s="755"/>
      <c r="K313" s="755"/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</row>
    <row r="314" spans="1:42">
      <c r="A314" s="753"/>
      <c r="B314" s="753"/>
      <c r="C314" s="753"/>
      <c r="D314" s="753"/>
      <c r="E314" s="753"/>
      <c r="F314" s="753"/>
      <c r="G314" s="753"/>
      <c r="H314" s="753"/>
      <c r="I314" s="755"/>
      <c r="J314" s="755"/>
      <c r="K314" s="755"/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</row>
    <row r="315" spans="1:42">
      <c r="A315" s="753"/>
      <c r="B315" s="753"/>
      <c r="C315" s="753"/>
      <c r="D315" s="753"/>
      <c r="E315" s="753"/>
      <c r="F315" s="753"/>
      <c r="G315" s="753"/>
      <c r="H315" s="753"/>
      <c r="I315" s="755"/>
      <c r="J315" s="755"/>
      <c r="K315" s="755"/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</row>
    <row r="316" spans="1:42">
      <c r="A316" s="753"/>
      <c r="B316" s="753"/>
      <c r="C316" s="753"/>
      <c r="D316" s="753"/>
      <c r="E316" s="753"/>
      <c r="F316" s="753"/>
      <c r="G316" s="753"/>
      <c r="H316" s="753"/>
      <c r="I316" s="755"/>
      <c r="J316" s="755"/>
      <c r="K316" s="755"/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</row>
    <row r="317" spans="1:42">
      <c r="A317" s="753"/>
      <c r="B317" s="753"/>
      <c r="C317" s="753"/>
      <c r="D317" s="753"/>
      <c r="E317" s="753"/>
      <c r="F317" s="753"/>
      <c r="G317" s="753"/>
      <c r="H317" s="753"/>
      <c r="I317" s="755"/>
      <c r="J317" s="755"/>
      <c r="K317" s="755"/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</row>
    <row r="318" spans="1:42">
      <c r="A318" s="753"/>
      <c r="B318" s="753"/>
      <c r="C318" s="753"/>
      <c r="D318" s="753"/>
      <c r="E318" s="753"/>
      <c r="F318" s="753"/>
      <c r="G318" s="753"/>
      <c r="H318" s="753"/>
      <c r="I318" s="755"/>
      <c r="J318" s="755"/>
      <c r="K318" s="755"/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</row>
    <row r="319" spans="1:42">
      <c r="A319" s="753"/>
      <c r="B319" s="753"/>
      <c r="C319" s="753"/>
      <c r="D319" s="753"/>
      <c r="E319" s="753"/>
      <c r="F319" s="753"/>
      <c r="G319" s="753"/>
      <c r="H319" s="753"/>
      <c r="I319" s="755"/>
      <c r="J319" s="755"/>
      <c r="K319" s="755"/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</row>
    <row r="320" spans="1:42">
      <c r="A320" s="753"/>
      <c r="B320" s="753"/>
      <c r="C320" s="753"/>
      <c r="D320" s="753"/>
      <c r="E320" s="753"/>
      <c r="F320" s="753"/>
      <c r="G320" s="753"/>
      <c r="H320" s="753"/>
      <c r="I320" s="755"/>
      <c r="J320" s="755"/>
      <c r="K320" s="755"/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</row>
    <row r="321" spans="1:42">
      <c r="A321" s="753"/>
      <c r="B321" s="753"/>
      <c r="C321" s="753"/>
      <c r="D321" s="753"/>
      <c r="E321" s="753"/>
      <c r="F321" s="753"/>
      <c r="G321" s="753"/>
      <c r="H321" s="753"/>
      <c r="I321" s="755"/>
      <c r="J321" s="755"/>
      <c r="K321" s="755"/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</row>
    <row r="322" spans="1:42">
      <c r="A322" s="753"/>
      <c r="B322" s="753"/>
      <c r="C322" s="753"/>
      <c r="D322" s="753"/>
      <c r="E322" s="753"/>
      <c r="F322" s="753"/>
      <c r="G322" s="753"/>
      <c r="H322" s="753"/>
      <c r="I322" s="755"/>
      <c r="J322" s="755"/>
      <c r="K322" s="755"/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</row>
    <row r="323" spans="1:42">
      <c r="A323" s="753"/>
      <c r="B323" s="753"/>
      <c r="C323" s="753"/>
      <c r="D323" s="753"/>
      <c r="E323" s="753"/>
      <c r="F323" s="753"/>
      <c r="G323" s="753"/>
      <c r="H323" s="753"/>
      <c r="I323" s="755"/>
      <c r="J323" s="755"/>
      <c r="K323" s="755"/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</row>
    <row r="324" spans="1:42">
      <c r="A324" s="753"/>
      <c r="B324" s="753"/>
      <c r="C324" s="753"/>
      <c r="D324" s="753"/>
      <c r="E324" s="753"/>
      <c r="F324" s="753"/>
      <c r="G324" s="753"/>
      <c r="H324" s="753"/>
      <c r="I324" s="755"/>
      <c r="J324" s="755"/>
      <c r="K324" s="755"/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</row>
    <row r="325" spans="1:42">
      <c r="A325" s="753"/>
      <c r="B325" s="753"/>
      <c r="C325" s="753"/>
      <c r="D325" s="753"/>
      <c r="E325" s="753"/>
      <c r="F325" s="753"/>
      <c r="G325" s="753"/>
      <c r="H325" s="753"/>
      <c r="I325" s="755"/>
      <c r="J325" s="755"/>
      <c r="K325" s="755"/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</row>
    <row r="326" spans="1:42">
      <c r="A326" s="753"/>
      <c r="B326" s="753"/>
      <c r="C326" s="753"/>
      <c r="D326" s="753"/>
      <c r="E326" s="753"/>
      <c r="F326" s="753"/>
      <c r="G326" s="753"/>
      <c r="H326" s="753"/>
      <c r="I326" s="755"/>
      <c r="J326" s="755"/>
      <c r="K326" s="755"/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</row>
    <row r="327" spans="1:42">
      <c r="A327" s="753"/>
      <c r="B327" s="753"/>
      <c r="C327" s="753"/>
      <c r="D327" s="753"/>
      <c r="E327" s="753"/>
      <c r="F327" s="753"/>
      <c r="G327" s="753"/>
      <c r="H327" s="753"/>
      <c r="I327" s="755"/>
      <c r="J327" s="755"/>
      <c r="K327" s="755"/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</row>
    <row r="328" spans="1:42">
      <c r="A328" s="753"/>
      <c r="B328" s="753"/>
      <c r="C328" s="753"/>
      <c r="D328" s="753"/>
      <c r="E328" s="753"/>
      <c r="F328" s="753"/>
      <c r="G328" s="753"/>
      <c r="H328" s="753"/>
      <c r="I328" s="755"/>
      <c r="J328" s="755"/>
      <c r="K328" s="755"/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</row>
    <row r="329" spans="1:42">
      <c r="A329" s="753"/>
      <c r="B329" s="753"/>
      <c r="C329" s="753"/>
      <c r="D329" s="753"/>
      <c r="E329" s="753"/>
      <c r="F329" s="753"/>
      <c r="G329" s="753"/>
      <c r="H329" s="753"/>
      <c r="I329" s="755"/>
      <c r="J329" s="755"/>
      <c r="K329" s="755"/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</row>
    <row r="330" spans="1:42">
      <c r="A330" s="753"/>
      <c r="B330" s="753"/>
      <c r="C330" s="753"/>
      <c r="D330" s="753"/>
      <c r="E330" s="753"/>
      <c r="F330" s="753"/>
      <c r="G330" s="753"/>
      <c r="H330" s="753"/>
      <c r="I330" s="755"/>
      <c r="J330" s="755"/>
      <c r="K330" s="755"/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</row>
    <row r="331" spans="1:42">
      <c r="A331" s="753"/>
      <c r="B331" s="753"/>
      <c r="C331" s="753"/>
      <c r="D331" s="753"/>
      <c r="E331" s="753"/>
      <c r="F331" s="753"/>
      <c r="G331" s="753"/>
      <c r="H331" s="753"/>
      <c r="I331" s="755"/>
      <c r="J331" s="755"/>
      <c r="K331" s="755"/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</row>
    <row r="332" spans="1:42">
      <c r="A332" s="753"/>
      <c r="B332" s="753"/>
      <c r="C332" s="753"/>
      <c r="D332" s="753"/>
      <c r="E332" s="753"/>
      <c r="F332" s="753"/>
      <c r="G332" s="753"/>
      <c r="H332" s="753"/>
      <c r="I332" s="755"/>
      <c r="J332" s="755"/>
      <c r="K332" s="755"/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</row>
    <row r="333" spans="1:42">
      <c r="A333" s="753"/>
      <c r="B333" s="753"/>
      <c r="C333" s="753"/>
      <c r="D333" s="753"/>
      <c r="E333" s="753"/>
      <c r="F333" s="753"/>
      <c r="G333" s="753"/>
      <c r="H333" s="753"/>
      <c r="I333" s="755"/>
      <c r="J333" s="755"/>
      <c r="K333" s="755"/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</row>
    <row r="334" spans="1:42">
      <c r="A334" s="753"/>
      <c r="B334" s="753"/>
      <c r="C334" s="753"/>
      <c r="D334" s="753"/>
      <c r="E334" s="753"/>
      <c r="F334" s="753"/>
      <c r="G334" s="753"/>
      <c r="H334" s="753"/>
      <c r="I334" s="755"/>
      <c r="J334" s="755"/>
      <c r="K334" s="755"/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</row>
    <row r="335" spans="1:42">
      <c r="A335" s="753"/>
      <c r="B335" s="753"/>
      <c r="C335" s="753"/>
      <c r="D335" s="753"/>
      <c r="E335" s="753"/>
      <c r="F335" s="753"/>
      <c r="G335" s="753"/>
      <c r="H335" s="753"/>
      <c r="I335" s="755"/>
      <c r="J335" s="755"/>
      <c r="K335" s="755"/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</row>
    <row r="336" spans="1:42">
      <c r="A336" s="753"/>
      <c r="B336" s="753"/>
      <c r="C336" s="753"/>
      <c r="D336" s="753"/>
      <c r="E336" s="753"/>
      <c r="F336" s="753"/>
      <c r="G336" s="753"/>
      <c r="H336" s="753"/>
      <c r="I336" s="755"/>
      <c r="J336" s="755"/>
      <c r="K336" s="755"/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</row>
    <row r="337" spans="1:42">
      <c r="A337" s="753"/>
      <c r="B337" s="753"/>
      <c r="C337" s="753"/>
      <c r="D337" s="753"/>
      <c r="E337" s="753"/>
      <c r="F337" s="753"/>
      <c r="G337" s="753"/>
      <c r="H337" s="753"/>
      <c r="I337" s="755"/>
      <c r="J337" s="755"/>
      <c r="K337" s="755"/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</row>
    <row r="338" spans="1:42">
      <c r="A338" s="753"/>
      <c r="B338" s="753"/>
      <c r="C338" s="753"/>
      <c r="D338" s="753"/>
      <c r="E338" s="753"/>
      <c r="F338" s="753"/>
      <c r="G338" s="753"/>
      <c r="H338" s="753"/>
      <c r="I338" s="755"/>
      <c r="J338" s="755"/>
      <c r="K338" s="755"/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</row>
    <row r="339" spans="1:42">
      <c r="A339" s="753"/>
      <c r="B339" s="753"/>
      <c r="C339" s="753"/>
      <c r="D339" s="753"/>
      <c r="E339" s="753"/>
      <c r="F339" s="753"/>
      <c r="G339" s="753"/>
      <c r="H339" s="753"/>
      <c r="I339" s="755"/>
      <c r="J339" s="755"/>
      <c r="K339" s="755"/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</row>
    <row r="340" spans="1:42">
      <c r="A340" s="753"/>
      <c r="B340" s="753"/>
      <c r="C340" s="753"/>
      <c r="D340" s="753"/>
      <c r="E340" s="753"/>
      <c r="F340" s="753"/>
      <c r="G340" s="753"/>
      <c r="H340" s="753"/>
      <c r="I340" s="755"/>
      <c r="J340" s="755"/>
      <c r="K340" s="755"/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</row>
    <row r="341" spans="1:42">
      <c r="A341" s="753"/>
      <c r="B341" s="753"/>
      <c r="C341" s="753"/>
      <c r="D341" s="753"/>
      <c r="E341" s="753"/>
      <c r="F341" s="753"/>
      <c r="G341" s="753"/>
      <c r="H341" s="753"/>
      <c r="I341" s="755"/>
      <c r="J341" s="755"/>
      <c r="K341" s="755"/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</row>
    <row r="342" spans="1:42">
      <c r="A342" s="753"/>
      <c r="B342" s="753"/>
      <c r="C342" s="753"/>
      <c r="D342" s="753"/>
      <c r="E342" s="753"/>
      <c r="F342" s="753"/>
      <c r="G342" s="753"/>
      <c r="H342" s="753"/>
      <c r="I342" s="755"/>
      <c r="J342" s="755"/>
      <c r="K342" s="755"/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</row>
    <row r="343" spans="1:42">
      <c r="A343" s="753"/>
      <c r="B343" s="753"/>
      <c r="C343" s="753"/>
      <c r="D343" s="753"/>
      <c r="E343" s="753"/>
      <c r="F343" s="753"/>
      <c r="G343" s="753"/>
      <c r="H343" s="753"/>
      <c r="I343" s="755"/>
      <c r="J343" s="755"/>
      <c r="K343" s="755"/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</row>
    <row r="344" spans="1:42">
      <c r="A344" s="753"/>
      <c r="B344" s="753"/>
      <c r="C344" s="753"/>
      <c r="D344" s="753"/>
      <c r="E344" s="753"/>
      <c r="F344" s="753"/>
      <c r="G344" s="753"/>
      <c r="H344" s="753"/>
      <c r="I344" s="755"/>
      <c r="J344" s="755"/>
      <c r="K344" s="755"/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</row>
    <row r="345" spans="1:42">
      <c r="A345" s="753"/>
      <c r="B345" s="753"/>
      <c r="C345" s="753"/>
      <c r="D345" s="753"/>
      <c r="E345" s="753"/>
      <c r="F345" s="753"/>
      <c r="G345" s="753"/>
      <c r="H345" s="753"/>
      <c r="I345" s="755"/>
      <c r="J345" s="755"/>
      <c r="K345" s="755"/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</row>
    <row r="346" spans="1:42">
      <c r="A346" s="753"/>
      <c r="B346" s="753"/>
      <c r="C346" s="753"/>
      <c r="D346" s="753"/>
      <c r="E346" s="753"/>
      <c r="F346" s="753"/>
      <c r="G346" s="753"/>
      <c r="H346" s="753"/>
      <c r="I346" s="755"/>
      <c r="J346" s="755"/>
      <c r="K346" s="755"/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</row>
    <row r="347" spans="1:42">
      <c r="A347" s="753"/>
      <c r="B347" s="753"/>
      <c r="C347" s="753"/>
      <c r="D347" s="753"/>
      <c r="E347" s="753"/>
      <c r="F347" s="753"/>
      <c r="G347" s="753"/>
      <c r="H347" s="753"/>
      <c r="I347" s="755"/>
      <c r="J347" s="755"/>
      <c r="K347" s="755"/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</row>
    <row r="348" spans="1:42">
      <c r="A348" s="753"/>
      <c r="B348" s="753"/>
      <c r="C348" s="753"/>
      <c r="D348" s="753"/>
      <c r="E348" s="753"/>
      <c r="F348" s="753"/>
      <c r="G348" s="753"/>
      <c r="H348" s="753"/>
      <c r="I348" s="755"/>
      <c r="J348" s="755"/>
      <c r="K348" s="755"/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</row>
    <row r="349" spans="1:42">
      <c r="A349" s="753"/>
      <c r="B349" s="753"/>
      <c r="C349" s="753"/>
      <c r="D349" s="753"/>
      <c r="E349" s="753"/>
      <c r="F349" s="753"/>
      <c r="G349" s="753"/>
      <c r="H349" s="753"/>
      <c r="I349" s="755"/>
      <c r="J349" s="755"/>
      <c r="K349" s="755"/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</row>
    <row r="350" spans="1:42">
      <c r="A350" s="753"/>
      <c r="B350" s="753"/>
      <c r="C350" s="753"/>
      <c r="D350" s="753"/>
      <c r="E350" s="753"/>
      <c r="F350" s="753"/>
      <c r="G350" s="753"/>
      <c r="H350" s="753"/>
      <c r="I350" s="755"/>
      <c r="J350" s="755"/>
      <c r="K350" s="755"/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</row>
    <row r="351" spans="1:42">
      <c r="A351" s="753"/>
      <c r="B351" s="753"/>
      <c r="C351" s="753"/>
      <c r="D351" s="753"/>
      <c r="E351" s="753"/>
      <c r="F351" s="753"/>
      <c r="G351" s="753"/>
      <c r="H351" s="753"/>
      <c r="I351" s="755"/>
      <c r="J351" s="755"/>
      <c r="K351" s="755"/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</row>
    <row r="352" spans="1:42">
      <c r="A352" s="753"/>
      <c r="B352" s="753"/>
      <c r="C352" s="753"/>
      <c r="D352" s="753"/>
      <c r="E352" s="753"/>
      <c r="F352" s="753"/>
      <c r="G352" s="753"/>
      <c r="H352" s="753"/>
      <c r="I352" s="755"/>
      <c r="J352" s="755"/>
      <c r="K352" s="755"/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</row>
    <row r="353" spans="1:42">
      <c r="A353" s="753"/>
      <c r="B353" s="753"/>
      <c r="C353" s="753"/>
      <c r="D353" s="753"/>
      <c r="E353" s="753"/>
      <c r="F353" s="753"/>
      <c r="G353" s="753"/>
      <c r="H353" s="753"/>
      <c r="I353" s="755"/>
      <c r="J353" s="755"/>
      <c r="K353" s="755"/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</row>
    <row r="354" spans="1:42">
      <c r="A354" s="753"/>
      <c r="B354" s="753"/>
      <c r="C354" s="753"/>
      <c r="D354" s="753"/>
      <c r="E354" s="753"/>
      <c r="F354" s="753"/>
      <c r="G354" s="753"/>
      <c r="H354" s="753"/>
      <c r="I354" s="755"/>
      <c r="J354" s="755"/>
      <c r="K354" s="755"/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</row>
    <row r="355" spans="1:42">
      <c r="A355" s="753"/>
      <c r="B355" s="753"/>
      <c r="C355" s="753"/>
      <c r="D355" s="753"/>
      <c r="E355" s="753"/>
      <c r="F355" s="753"/>
      <c r="G355" s="753"/>
      <c r="H355" s="753"/>
      <c r="I355" s="755"/>
      <c r="J355" s="755"/>
      <c r="K355" s="755"/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</row>
    <row r="356" spans="1:42">
      <c r="A356" s="753"/>
      <c r="B356" s="753"/>
      <c r="C356" s="753"/>
      <c r="D356" s="753"/>
      <c r="E356" s="753"/>
      <c r="F356" s="753"/>
      <c r="G356" s="753"/>
      <c r="H356" s="753"/>
      <c r="I356" s="755"/>
      <c r="J356" s="755"/>
      <c r="K356" s="755"/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</row>
    <row r="357" spans="1:42">
      <c r="A357" s="753"/>
      <c r="B357" s="753"/>
      <c r="C357" s="753"/>
      <c r="D357" s="753"/>
      <c r="E357" s="753"/>
      <c r="F357" s="753"/>
      <c r="G357" s="753"/>
      <c r="H357" s="753"/>
      <c r="I357" s="755"/>
      <c r="J357" s="755"/>
      <c r="K357" s="755"/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</row>
    <row r="358" spans="1:42">
      <c r="A358" s="753"/>
      <c r="B358" s="753"/>
      <c r="C358" s="753"/>
      <c r="D358" s="753"/>
      <c r="E358" s="753"/>
      <c r="F358" s="753"/>
      <c r="G358" s="753"/>
      <c r="H358" s="753"/>
      <c r="I358" s="755"/>
      <c r="J358" s="755"/>
      <c r="K358" s="755"/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</row>
    <row r="359" spans="1:42">
      <c r="A359" s="753"/>
      <c r="B359" s="753"/>
      <c r="C359" s="753"/>
      <c r="D359" s="753"/>
      <c r="E359" s="753"/>
      <c r="F359" s="753"/>
      <c r="G359" s="753"/>
      <c r="H359" s="753"/>
      <c r="I359" s="755"/>
      <c r="J359" s="755"/>
      <c r="K359" s="755"/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</row>
  </sheetData>
  <mergeCells count="3">
    <mergeCell ref="D4:G4"/>
    <mergeCell ref="A1:G1"/>
    <mergeCell ref="A2:G2"/>
  </mergeCells>
  <printOptions horizontalCentered="1"/>
  <pageMargins left="0.75" right="0.75" top="1" bottom="1" header="0.5" footer="0.5"/>
  <pageSetup scale="66" firstPageNumber="18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zoomScale="75" workbookViewId="0">
      <selection activeCell="C8" sqref="C8"/>
    </sheetView>
  </sheetViews>
  <sheetFormatPr defaultRowHeight="12.75"/>
  <cols>
    <col min="1" max="1" width="32.85546875" customWidth="1"/>
    <col min="2" max="2" width="11.28515625" style="887" customWidth="1"/>
    <col min="3" max="3" width="11.42578125" customWidth="1"/>
    <col min="4" max="4" width="15.140625" customWidth="1"/>
    <col min="5" max="5" width="15.42578125" customWidth="1"/>
    <col min="6" max="6" width="18" customWidth="1"/>
    <col min="7" max="7" width="15" customWidth="1"/>
    <col min="8" max="8" width="11.7109375" customWidth="1"/>
  </cols>
  <sheetData>
    <row r="1" spans="1:8" ht="15.75" customHeight="1">
      <c r="A1" s="731" t="str">
        <f>Scope!A1</f>
        <v>Plano, Illinois 6 x LM6000 Power Project, Rev 0</v>
      </c>
      <c r="B1" s="731"/>
      <c r="C1" s="731"/>
      <c r="D1" s="731"/>
      <c r="E1" s="731"/>
      <c r="F1" s="731"/>
      <c r="G1" s="731"/>
      <c r="H1" s="731"/>
    </row>
    <row r="2" spans="1:8" ht="15.75" customHeight="1">
      <c r="A2" s="876" t="s">
        <v>586</v>
      </c>
      <c r="B2" s="876"/>
      <c r="C2" s="876"/>
      <c r="D2" s="876"/>
      <c r="E2" s="876"/>
      <c r="F2" s="876"/>
      <c r="G2" s="876"/>
      <c r="H2" s="876"/>
    </row>
    <row r="3" spans="1:8" ht="15.75">
      <c r="A3" s="731" t="s">
        <v>587</v>
      </c>
      <c r="B3" s="731"/>
      <c r="C3" s="731"/>
      <c r="D3" s="731"/>
      <c r="E3" s="731"/>
      <c r="F3" s="731"/>
      <c r="G3" s="731"/>
      <c r="H3" s="731"/>
    </row>
    <row r="4" spans="1:8" ht="16.5" thickBot="1">
      <c r="B4" s="964"/>
    </row>
    <row r="5" spans="1:8" ht="15.75">
      <c r="A5" s="965"/>
      <c r="B5" s="966"/>
      <c r="C5" s="785" t="s">
        <v>588</v>
      </c>
      <c r="D5" s="785"/>
      <c r="E5" s="785" t="s">
        <v>589</v>
      </c>
      <c r="F5" s="967" t="s">
        <v>590</v>
      </c>
      <c r="G5" s="785" t="s">
        <v>590</v>
      </c>
      <c r="H5" s="956"/>
    </row>
    <row r="6" spans="1:8" ht="13.5" thickBot="1">
      <c r="A6" s="285"/>
      <c r="B6" s="968" t="s">
        <v>591</v>
      </c>
      <c r="C6" s="788" t="s">
        <v>592</v>
      </c>
      <c r="D6" s="788" t="s">
        <v>593</v>
      </c>
      <c r="E6" s="788" t="s">
        <v>594</v>
      </c>
      <c r="F6" s="969" t="s">
        <v>595</v>
      </c>
      <c r="G6" s="969" t="s">
        <v>596</v>
      </c>
      <c r="H6" s="970" t="s">
        <v>597</v>
      </c>
    </row>
    <row r="7" spans="1:8">
      <c r="A7" s="971"/>
      <c r="B7" s="972"/>
      <c r="C7" s="973"/>
      <c r="D7" s="973"/>
      <c r="E7" s="973"/>
      <c r="F7" s="973"/>
      <c r="G7" s="973"/>
      <c r="H7" s="973"/>
    </row>
    <row r="8" spans="1:8">
      <c r="A8" s="285" t="s">
        <v>1698</v>
      </c>
      <c r="B8" s="972">
        <v>1</v>
      </c>
      <c r="C8" s="974">
        <f>'Pay &amp; Benefits Calculations'!L28</f>
        <v>85280</v>
      </c>
      <c r="D8" s="974"/>
      <c r="E8" s="975">
        <f>'Pay &amp; Benefits Calculations'!R28</f>
        <v>2080</v>
      </c>
      <c r="F8" s="976">
        <f>C8*B8</f>
        <v>85280</v>
      </c>
      <c r="G8" s="977">
        <f>('Pay &amp; Benefits Calculations'!K28-'Pay &amp; Benefits Calculations'!B28)*'Pay &amp; Benefits Calculations'!R28*B8</f>
        <v>49923.471999999987</v>
      </c>
      <c r="H8" s="976">
        <f>SUM(F8:G8)</f>
        <v>135203.47199999998</v>
      </c>
    </row>
    <row r="9" spans="1:8">
      <c r="A9" s="285" t="s">
        <v>1703</v>
      </c>
      <c r="B9" s="972">
        <v>1</v>
      </c>
      <c r="D9" s="978"/>
      <c r="E9" s="978"/>
      <c r="F9" s="976"/>
      <c r="G9" s="977"/>
      <c r="H9" s="976"/>
    </row>
    <row r="10" spans="1:8">
      <c r="A10" s="285" t="s">
        <v>598</v>
      </c>
      <c r="B10" s="972"/>
      <c r="D10" s="978">
        <f>'Pay &amp; Benefits Calculations'!B31</f>
        <v>14.25</v>
      </c>
      <c r="E10" s="975">
        <f>'Pay &amp; Benefits Calculations'!R31</f>
        <v>2080</v>
      </c>
      <c r="F10" s="976">
        <f>E10*D10*B9</f>
        <v>29640</v>
      </c>
      <c r="G10" s="977">
        <f>('Pay &amp; Benefits Calculations'!K31-'Pay &amp; Benefits Calculations'!B31)*'Pay &amp; Benefits Calculations'!R31*B9</f>
        <v>20801.495999999996</v>
      </c>
      <c r="H10" s="976">
        <f>SUM(F10:G10)</f>
        <v>50441.495999999999</v>
      </c>
    </row>
    <row r="11" spans="1:8">
      <c r="A11" s="285" t="s">
        <v>599</v>
      </c>
      <c r="B11" s="972"/>
      <c r="D11" s="978">
        <f>'Pay &amp; Benefits Calculations'!B49</f>
        <v>21.375</v>
      </c>
      <c r="E11" s="975">
        <f>'Pay &amp; Benefits Calculations'!R49</f>
        <v>104</v>
      </c>
      <c r="F11" s="976">
        <f>E11*D11*B9</f>
        <v>2223</v>
      </c>
      <c r="G11" s="977">
        <f>('Pay &amp; Benefits Calculations'!K49-'Pay &amp; Benefits Calculations'!B49)*'Pay &amp; Benefits Calculations'!R49*B9</f>
        <v>874.52819999999997</v>
      </c>
      <c r="H11" s="976">
        <f>SUM(F11:G11)</f>
        <v>3097.5281999999997</v>
      </c>
    </row>
    <row r="12" spans="1:8" hidden="1">
      <c r="A12" s="285" t="s">
        <v>1704</v>
      </c>
      <c r="B12" s="972">
        <v>0</v>
      </c>
      <c r="C12" s="974"/>
      <c r="D12" s="974"/>
      <c r="E12" s="974"/>
      <c r="F12" s="976"/>
      <c r="G12" s="977"/>
      <c r="H12" s="976"/>
    </row>
    <row r="13" spans="1:8">
      <c r="A13" s="285" t="str">
        <f>Mob_Staffing!A13</f>
        <v>O&amp;M TECHNICIAN III</v>
      </c>
      <c r="B13" s="972">
        <v>2</v>
      </c>
      <c r="C13" s="974"/>
      <c r="D13" s="974"/>
      <c r="F13" s="976"/>
      <c r="G13" s="977"/>
      <c r="H13" s="976"/>
    </row>
    <row r="14" spans="1:8">
      <c r="A14" s="285" t="s">
        <v>598</v>
      </c>
      <c r="B14" s="972"/>
      <c r="C14" s="974"/>
      <c r="D14" s="978">
        <f>'Pay &amp; Benefits Calculations'!B34</f>
        <v>27</v>
      </c>
      <c r="E14" s="975">
        <f>'Pay &amp; Benefits Calculations'!R34</f>
        <v>2080</v>
      </c>
      <c r="F14" s="976">
        <f>E14*D14*B13</f>
        <v>112320</v>
      </c>
      <c r="G14" s="977">
        <f>('Pay &amp; Benefits Calculations'!K34-'Pay &amp; Benefits Calculations'!B34)*'Pay &amp; Benefits Calculations'!R34*B13</f>
        <v>69364.128000000012</v>
      </c>
      <c r="H14" s="976">
        <f>SUM(F14:G14)</f>
        <v>181684.12800000003</v>
      </c>
    </row>
    <row r="15" spans="1:8">
      <c r="A15" s="285" t="s">
        <v>599</v>
      </c>
      <c r="B15" s="972"/>
      <c r="C15" s="974"/>
      <c r="D15" s="978">
        <f>'Pay &amp; Benefits Calculations'!B52</f>
        <v>40.5</v>
      </c>
      <c r="E15" s="975">
        <f>'Pay &amp; Benefits Calculations'!R52</f>
        <v>416</v>
      </c>
      <c r="F15" s="976">
        <f>E15*D15*B13</f>
        <v>33696</v>
      </c>
      <c r="G15" s="977">
        <f>'Pay &amp; Benefits Calculations'!R52*('Pay &amp; Benefits Calculations'!K52-'Pay &amp; Benefits Calculations'!B52)*B13</f>
        <v>13256.006399999998</v>
      </c>
      <c r="H15" s="976">
        <f>SUM(F15:G15)</f>
        <v>46952.006399999998</v>
      </c>
    </row>
    <row r="16" spans="1:8">
      <c r="A16" s="285" t="str">
        <f>Mob_Staffing!A14</f>
        <v>O&amp;M TECHNICIAN II</v>
      </c>
      <c r="B16" s="979">
        <v>3</v>
      </c>
      <c r="C16" s="974"/>
      <c r="E16" s="975"/>
      <c r="F16" s="976"/>
      <c r="G16" s="977"/>
      <c r="H16" s="976"/>
    </row>
    <row r="17" spans="1:8">
      <c r="A17" s="285" t="s">
        <v>598</v>
      </c>
      <c r="B17" s="979"/>
      <c r="C17" s="974"/>
      <c r="D17" s="978">
        <f>'Pay &amp; Benefits Calculations'!B35</f>
        <v>24</v>
      </c>
      <c r="E17" s="975">
        <f>'Pay &amp; Benefits Calculations'!R35</f>
        <v>2080</v>
      </c>
      <c r="F17" s="976">
        <f>E17*D17*B16</f>
        <v>149760</v>
      </c>
      <c r="G17" s="977">
        <f>'Pay &amp; Benefits Calculations'!R35*('Pay &amp; Benefits Calculations'!K35-'Pay &amp; Benefits Calculations'!B35)*B16</f>
        <v>94248.144000000015</v>
      </c>
      <c r="H17" s="976">
        <f>SUM(F17:G17)</f>
        <v>244008.14400000003</v>
      </c>
    </row>
    <row r="18" spans="1:8">
      <c r="A18" s="285" t="s">
        <v>599</v>
      </c>
      <c r="B18" s="979"/>
      <c r="C18" s="974"/>
      <c r="D18" s="978">
        <f>'Pay &amp; Benefits Calculations'!B53</f>
        <v>36</v>
      </c>
      <c r="E18" s="975">
        <f>'Pay &amp; Benefits Calculations'!R53</f>
        <v>416</v>
      </c>
      <c r="F18" s="976">
        <f>E18*D18*B16</f>
        <v>44928</v>
      </c>
      <c r="G18" s="977">
        <f>'Pay &amp; Benefits Calculations'!R53*('Pay &amp; Benefits Calculations'!K53-'Pay &amp; Benefits Calculations'!B53)*B16</f>
        <v>17674.675199999998</v>
      </c>
      <c r="H18" s="976">
        <f>SUM(F18:G18)</f>
        <v>62602.675199999998</v>
      </c>
    </row>
    <row r="19" spans="1:8">
      <c r="B19" s="979"/>
      <c r="C19" s="977"/>
      <c r="D19" s="977"/>
      <c r="E19" s="980"/>
      <c r="F19" s="976"/>
      <c r="G19" s="977"/>
      <c r="H19" s="976"/>
    </row>
    <row r="20" spans="1:8">
      <c r="A20" s="981"/>
      <c r="B20" s="979"/>
      <c r="C20" s="977"/>
      <c r="D20" s="977"/>
      <c r="E20" s="980"/>
      <c r="F20" s="976"/>
      <c r="G20" s="977"/>
      <c r="H20" s="976"/>
    </row>
    <row r="21" spans="1:8" ht="13.5" thickBot="1">
      <c r="A21" s="981"/>
      <c r="B21" s="982"/>
      <c r="C21" s="983"/>
      <c r="D21" s="983"/>
      <c r="E21" s="984"/>
      <c r="F21" s="976"/>
      <c r="G21" s="976"/>
      <c r="H21" s="985"/>
    </row>
    <row r="22" spans="1:8" ht="13.5" thickBot="1">
      <c r="A22" s="986" t="s">
        <v>1637</v>
      </c>
      <c r="B22" s="987">
        <f>SUM(B8:B21)</f>
        <v>7</v>
      </c>
      <c r="C22" s="988"/>
      <c r="D22" s="988"/>
      <c r="E22" s="988"/>
      <c r="F22" s="989">
        <f>SUM(F8:F21)</f>
        <v>457847</v>
      </c>
      <c r="G22" s="989">
        <f>SUM(G8:G21)</f>
        <v>266142.4498</v>
      </c>
      <c r="H22" s="989">
        <f>SUM(H8:H21)</f>
        <v>723989.44980000006</v>
      </c>
    </row>
    <row r="23" spans="1:8" ht="25.5" customHeight="1">
      <c r="A23" s="285"/>
      <c r="B23" s="488"/>
      <c r="C23" s="285"/>
      <c r="D23" s="285"/>
      <c r="E23" s="285"/>
      <c r="F23" s="990"/>
      <c r="G23" s="991"/>
      <c r="H23" s="285"/>
    </row>
    <row r="25" spans="1:8">
      <c r="A25" t="s">
        <v>600</v>
      </c>
    </row>
    <row r="26" spans="1:8">
      <c r="A26" t="s">
        <v>601</v>
      </c>
    </row>
    <row r="27" spans="1:8">
      <c r="A27" s="885"/>
    </row>
    <row r="28" spans="1:8">
      <c r="A28" s="885"/>
    </row>
  </sheetData>
  <printOptions horizontalCentered="1"/>
  <pageMargins left="0.75" right="0.75" top="1" bottom="1" header="0.5" footer="0.5"/>
  <pageSetup scale="69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zoomScale="75" workbookViewId="0">
      <selection sqref="A1:W1"/>
    </sheetView>
  </sheetViews>
  <sheetFormatPr defaultRowHeight="12.75"/>
  <cols>
    <col min="1" max="1" width="42.28515625" customWidth="1"/>
    <col min="2" max="2" width="10.5703125" customWidth="1"/>
    <col min="3" max="3" width="10" customWidth="1"/>
    <col min="4" max="4" width="9.7109375" customWidth="1"/>
    <col min="5" max="5" width="8.28515625" customWidth="1"/>
    <col min="6" max="6" width="10.85546875" customWidth="1"/>
    <col min="8" max="8" width="9.7109375" customWidth="1"/>
    <col min="9" max="9" width="12.28515625" bestFit="1" customWidth="1"/>
    <col min="10" max="10" width="9.7109375" customWidth="1"/>
    <col min="11" max="11" width="10.85546875" customWidth="1"/>
    <col min="12" max="12" width="12.140625" customWidth="1"/>
    <col min="14" max="14" width="16.7109375" customWidth="1"/>
    <col min="15" max="15" width="18.7109375" customWidth="1"/>
    <col min="16" max="16" width="12.28515625" customWidth="1"/>
    <col min="17" max="17" width="14.85546875" customWidth="1"/>
    <col min="19" max="19" width="13.85546875" customWidth="1"/>
  </cols>
  <sheetData>
    <row r="1" spans="1:13" ht="15.75">
      <c r="A1" s="731" t="str">
        <f>Scope!A1</f>
        <v>Plano, Illinois 6 x LM6000 Power Project, Rev 0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  <c r="L1" s="731"/>
    </row>
    <row r="2" spans="1:13" ht="15.75">
      <c r="A2" s="992" t="s">
        <v>602</v>
      </c>
      <c r="B2" s="992"/>
      <c r="C2" s="992"/>
      <c r="D2" s="992"/>
      <c r="E2" s="992"/>
      <c r="F2" s="992"/>
      <c r="G2" s="992"/>
      <c r="H2" s="992"/>
      <c r="I2" s="992"/>
      <c r="J2" s="992"/>
      <c r="K2" s="992"/>
      <c r="L2" s="992"/>
    </row>
    <row r="3" spans="1:13">
      <c r="A3" s="993"/>
      <c r="B3" s="714"/>
      <c r="C3" s="714"/>
      <c r="D3" s="714"/>
      <c r="E3" s="714"/>
      <c r="F3" s="714"/>
    </row>
    <row r="4" spans="1:13" ht="27.75" customHeight="1">
      <c r="A4" s="993"/>
      <c r="B4" s="714"/>
      <c r="C4" s="714"/>
      <c r="D4" s="714"/>
      <c r="E4" s="714"/>
      <c r="F4" s="714"/>
    </row>
    <row r="5" spans="1:13" hidden="1">
      <c r="A5" s="816"/>
      <c r="B5" s="856"/>
      <c r="C5" s="816"/>
      <c r="D5" s="816"/>
      <c r="E5" s="856"/>
      <c r="F5" s="816"/>
      <c r="G5" s="816"/>
      <c r="H5" s="816"/>
      <c r="I5" s="816"/>
      <c r="J5" s="816"/>
      <c r="K5" s="816"/>
      <c r="L5" s="816"/>
      <c r="M5" s="753"/>
    </row>
    <row r="6" spans="1:13" hidden="1">
      <c r="A6" s="816"/>
      <c r="B6" s="856"/>
      <c r="C6" s="816"/>
      <c r="D6" s="816"/>
      <c r="E6" s="856"/>
      <c r="F6" s="816"/>
      <c r="G6" s="816"/>
      <c r="H6" s="816"/>
      <c r="I6" s="816"/>
      <c r="J6" s="816"/>
      <c r="K6" s="816"/>
      <c r="L6" s="816"/>
      <c r="M6" s="753"/>
    </row>
    <row r="7" spans="1:13" hidden="1">
      <c r="A7" s="816" t="s">
        <v>603</v>
      </c>
      <c r="B7" s="856" t="s">
        <v>604</v>
      </c>
      <c r="C7" s="816" t="s">
        <v>1286</v>
      </c>
      <c r="D7" s="816"/>
      <c r="E7" s="856"/>
      <c r="F7" s="816"/>
      <c r="G7" s="816"/>
      <c r="H7" s="816"/>
      <c r="I7" s="816"/>
      <c r="J7" s="816"/>
      <c r="K7" s="816"/>
      <c r="L7" s="816"/>
      <c r="M7" s="753"/>
    </row>
    <row r="8" spans="1:13" hidden="1">
      <c r="A8" s="816"/>
      <c r="B8" s="856" t="s">
        <v>592</v>
      </c>
      <c r="C8" s="816" t="s">
        <v>605</v>
      </c>
      <c r="D8" s="816"/>
      <c r="E8" s="856"/>
      <c r="F8" s="816"/>
      <c r="G8" s="816"/>
      <c r="H8" s="816"/>
      <c r="I8" s="816"/>
      <c r="J8" s="816"/>
      <c r="K8" s="816"/>
      <c r="L8" s="816"/>
      <c r="M8" s="753"/>
    </row>
    <row r="9" spans="1:13" ht="17.25" hidden="1" customHeight="1">
      <c r="A9" s="816" t="s">
        <v>606</v>
      </c>
      <c r="B9" s="856" t="s">
        <v>607</v>
      </c>
      <c r="C9" s="994">
        <v>2080</v>
      </c>
      <c r="D9" s="816"/>
      <c r="E9" s="856"/>
      <c r="F9" s="816"/>
      <c r="G9" s="816"/>
      <c r="H9" s="816"/>
      <c r="I9" s="816"/>
      <c r="J9" s="816"/>
      <c r="K9" s="816"/>
      <c r="L9" s="816"/>
      <c r="M9" s="753"/>
    </row>
    <row r="10" spans="1:13" ht="18" hidden="1" customHeight="1">
      <c r="A10" s="816"/>
      <c r="B10" s="856"/>
      <c r="C10" s="816"/>
      <c r="D10" s="816"/>
      <c r="E10" s="856"/>
      <c r="F10" s="816"/>
      <c r="G10" s="816"/>
      <c r="H10" s="816"/>
      <c r="I10" s="816"/>
      <c r="J10" s="816"/>
      <c r="K10" s="816"/>
      <c r="L10" s="816"/>
      <c r="M10" s="753"/>
    </row>
    <row r="11" spans="1:13" ht="20.25" hidden="1" customHeight="1">
      <c r="A11" s="816" t="s">
        <v>1698</v>
      </c>
      <c r="B11" s="995">
        <f>K28*C$9</f>
        <v>135203.47199999998</v>
      </c>
      <c r="C11" s="816"/>
      <c r="D11" s="816"/>
      <c r="E11" s="856"/>
      <c r="F11" s="816"/>
      <c r="G11" s="816"/>
      <c r="H11" s="816"/>
      <c r="I11" s="816"/>
      <c r="J11" s="816"/>
      <c r="K11" s="816"/>
      <c r="L11" s="816"/>
      <c r="M11" s="753"/>
    </row>
    <row r="12" spans="1:13" ht="15.75" hidden="1" customHeight="1">
      <c r="A12" s="816" t="s">
        <v>1700</v>
      </c>
      <c r="B12" s="995">
        <f>K29*C$9</f>
        <v>127159.91999999997</v>
      </c>
      <c r="C12" s="816"/>
      <c r="D12" s="816"/>
      <c r="E12" s="856"/>
      <c r="F12" s="816"/>
      <c r="G12" s="816"/>
      <c r="H12" s="816"/>
      <c r="I12" s="816"/>
      <c r="J12" s="816"/>
      <c r="K12" s="816"/>
      <c r="L12" s="816"/>
      <c r="M12" s="753"/>
    </row>
    <row r="13" spans="1:13" ht="20.25" hidden="1" customHeight="1">
      <c r="A13" s="816" t="s">
        <v>1702</v>
      </c>
      <c r="B13" s="995">
        <f>K30*C$9</f>
        <v>84504.72</v>
      </c>
      <c r="C13" s="816"/>
      <c r="D13" s="816"/>
      <c r="E13" s="816"/>
      <c r="F13" s="816"/>
      <c r="G13" s="816"/>
      <c r="H13" s="816"/>
      <c r="I13" s="816"/>
      <c r="J13" s="816"/>
      <c r="K13" s="816"/>
      <c r="L13" s="816"/>
      <c r="M13" s="753"/>
    </row>
    <row r="14" spans="1:13" ht="15" hidden="1" customHeight="1">
      <c r="A14" s="816" t="s">
        <v>1703</v>
      </c>
      <c r="B14" s="995">
        <f>K31*C$9</f>
        <v>50441.495999999992</v>
      </c>
      <c r="C14" s="816"/>
      <c r="D14" s="816"/>
      <c r="E14" s="816"/>
      <c r="F14" s="816"/>
      <c r="G14" s="816"/>
      <c r="H14" s="816"/>
      <c r="I14" s="816"/>
      <c r="J14" s="816"/>
      <c r="K14" s="816"/>
      <c r="L14" s="816"/>
      <c r="M14" s="753"/>
    </row>
    <row r="15" spans="1:13" ht="17.25" hidden="1" customHeight="1">
      <c r="A15" s="816" t="s">
        <v>608</v>
      </c>
      <c r="B15" s="995">
        <f>K33*C$9</f>
        <v>104308.92</v>
      </c>
      <c r="C15" s="816"/>
      <c r="D15" s="816"/>
      <c r="E15" s="816"/>
      <c r="F15" s="816"/>
      <c r="G15" s="816"/>
      <c r="H15" s="816"/>
      <c r="I15" s="816"/>
      <c r="J15" s="816"/>
      <c r="K15" s="816"/>
      <c r="L15" s="816"/>
      <c r="M15" s="753"/>
    </row>
    <row r="16" spans="1:13" ht="20.25" hidden="1" customHeight="1">
      <c r="A16" s="816" t="s">
        <v>609</v>
      </c>
      <c r="B16" s="995">
        <f>K34*C$9</f>
        <v>90842.064000000013</v>
      </c>
      <c r="C16" s="816"/>
      <c r="D16" s="816"/>
      <c r="E16" s="816"/>
      <c r="F16" s="816"/>
      <c r="G16" s="816"/>
      <c r="H16" s="816"/>
      <c r="I16" s="816"/>
      <c r="J16" s="816"/>
      <c r="K16" s="816"/>
      <c r="L16" s="816"/>
      <c r="M16" s="753"/>
    </row>
    <row r="17" spans="1:19" ht="14.25" hidden="1" customHeight="1">
      <c r="A17" s="816" t="s">
        <v>610</v>
      </c>
      <c r="B17" s="995">
        <f>K35*C$9</f>
        <v>81336.04800000001</v>
      </c>
      <c r="C17" s="816"/>
      <c r="D17" s="816"/>
      <c r="E17" s="816"/>
      <c r="F17" s="816"/>
      <c r="G17" s="816"/>
      <c r="H17" s="816"/>
      <c r="I17" s="816"/>
      <c r="J17" s="816"/>
      <c r="K17" s="816"/>
      <c r="L17" s="816"/>
      <c r="M17" s="762"/>
    </row>
    <row r="18" spans="1:19" ht="15" customHeight="1">
      <c r="A18" s="996"/>
      <c r="B18" s="744"/>
      <c r="C18" s="744"/>
      <c r="D18" s="744"/>
      <c r="E18" s="816"/>
      <c r="F18" s="744"/>
      <c r="G18" s="744"/>
      <c r="H18" s="816"/>
      <c r="I18" s="816"/>
      <c r="J18" s="816"/>
      <c r="K18" s="816"/>
      <c r="L18" s="816"/>
      <c r="M18" s="753"/>
    </row>
    <row r="19" spans="1:19" ht="15.75">
      <c r="A19" s="996" t="s">
        <v>611</v>
      </c>
      <c r="B19" s="744"/>
      <c r="C19" s="744"/>
      <c r="D19" s="744"/>
      <c r="E19" s="816"/>
      <c r="F19" s="744"/>
      <c r="G19" s="744"/>
      <c r="H19" s="816"/>
      <c r="I19" s="816"/>
      <c r="J19" s="816"/>
      <c r="K19" s="816"/>
      <c r="L19" s="816"/>
      <c r="M19" s="753"/>
    </row>
    <row r="20" spans="1:19" ht="16.5" thickBot="1">
      <c r="A20" s="996" t="s">
        <v>612</v>
      </c>
      <c r="B20" s="744"/>
      <c r="C20" s="744"/>
      <c r="D20" s="744"/>
      <c r="E20" s="816"/>
      <c r="F20" s="744"/>
      <c r="G20" s="744"/>
      <c r="H20" s="744"/>
      <c r="I20" s="744"/>
      <c r="J20" s="744"/>
      <c r="K20" s="816"/>
      <c r="L20" s="816"/>
      <c r="M20" s="753"/>
    </row>
    <row r="21" spans="1:19">
      <c r="A21" s="997"/>
      <c r="B21" s="997"/>
      <c r="C21" s="997"/>
      <c r="D21" s="997"/>
      <c r="E21" s="998"/>
      <c r="F21" s="997"/>
      <c r="G21" s="745"/>
      <c r="H21" s="745"/>
      <c r="I21" s="745"/>
      <c r="J21" s="745"/>
      <c r="K21" s="816"/>
      <c r="L21" s="816"/>
      <c r="M21" s="753"/>
      <c r="N21" s="1165" t="s">
        <v>613</v>
      </c>
      <c r="O21" s="1175"/>
      <c r="P21" s="1166"/>
      <c r="Q21" s="1165" t="s">
        <v>614</v>
      </c>
      <c r="R21" s="1175"/>
      <c r="S21" s="1166"/>
    </row>
    <row r="22" spans="1:19">
      <c r="A22" s="999"/>
      <c r="B22" s="1000"/>
      <c r="C22" s="1001"/>
      <c r="D22" s="1001"/>
      <c r="E22" s="1001"/>
      <c r="F22" s="1001" t="s">
        <v>615</v>
      </c>
      <c r="G22" s="1002"/>
      <c r="H22" s="1003"/>
      <c r="I22" s="1002"/>
      <c r="J22" s="1003"/>
      <c r="K22" s="1002"/>
      <c r="L22" s="1003"/>
      <c r="M22" s="753"/>
      <c r="N22" s="1004" t="s">
        <v>616</v>
      </c>
      <c r="O22" s="877" t="s">
        <v>605</v>
      </c>
      <c r="P22" s="1005" t="s">
        <v>978</v>
      </c>
      <c r="Q22" s="1004" t="s">
        <v>616</v>
      </c>
      <c r="R22" s="877" t="s">
        <v>605</v>
      </c>
      <c r="S22" s="1005" t="s">
        <v>978</v>
      </c>
    </row>
    <row r="23" spans="1:19">
      <c r="A23" s="1006"/>
      <c r="B23" s="1007" t="s">
        <v>959</v>
      </c>
      <c r="C23" s="1008" t="s">
        <v>617</v>
      </c>
      <c r="D23" s="1008" t="s">
        <v>618</v>
      </c>
      <c r="E23" s="1008"/>
      <c r="F23" s="1007" t="s">
        <v>619</v>
      </c>
      <c r="G23" s="1009" t="s">
        <v>620</v>
      </c>
      <c r="H23" s="1010" t="s">
        <v>1257</v>
      </c>
      <c r="I23" s="1009"/>
      <c r="J23" s="1011"/>
      <c r="K23" s="1012"/>
      <c r="L23" s="1011"/>
      <c r="M23" s="753"/>
      <c r="N23" s="1013"/>
      <c r="O23" s="488"/>
      <c r="P23" s="1014"/>
      <c r="Q23" s="1013"/>
      <c r="R23" s="285"/>
      <c r="S23" s="543"/>
    </row>
    <row r="24" spans="1:19">
      <c r="A24" s="1006" t="s">
        <v>621</v>
      </c>
      <c r="B24" s="1007" t="s">
        <v>626</v>
      </c>
      <c r="C24" s="1015" t="s">
        <v>211</v>
      </c>
      <c r="D24" s="1015" t="s">
        <v>627</v>
      </c>
      <c r="E24" s="1015" t="s">
        <v>628</v>
      </c>
      <c r="F24" s="1007" t="s">
        <v>629</v>
      </c>
      <c r="G24" s="1012" t="s">
        <v>630</v>
      </c>
      <c r="H24" s="1016" t="s">
        <v>631</v>
      </c>
      <c r="I24" s="1012" t="s">
        <v>632</v>
      </c>
      <c r="J24" s="1016" t="s">
        <v>633</v>
      </c>
      <c r="K24" s="1012" t="s">
        <v>634</v>
      </c>
      <c r="L24" s="1011" t="s">
        <v>959</v>
      </c>
      <c r="M24" s="753"/>
      <c r="N24" s="1013"/>
      <c r="O24" s="488"/>
      <c r="P24" s="1014"/>
      <c r="Q24" s="1013"/>
      <c r="R24" s="285"/>
      <c r="S24" s="543"/>
    </row>
    <row r="25" spans="1:19">
      <c r="A25" s="1006" t="s">
        <v>635</v>
      </c>
      <c r="B25" s="1007" t="s">
        <v>636</v>
      </c>
      <c r="C25" s="1007" t="s">
        <v>637</v>
      </c>
      <c r="D25" s="1007" t="s">
        <v>629</v>
      </c>
      <c r="E25" s="1007" t="s">
        <v>638</v>
      </c>
      <c r="F25" s="1007" t="s">
        <v>639</v>
      </c>
      <c r="G25" s="1009" t="s">
        <v>629</v>
      </c>
      <c r="H25" s="1011"/>
      <c r="I25" s="1009"/>
      <c r="J25" s="1011"/>
      <c r="K25" s="1012" t="s">
        <v>978</v>
      </c>
      <c r="L25" s="1011" t="s">
        <v>1286</v>
      </c>
      <c r="M25" s="753"/>
      <c r="N25" s="1013"/>
      <c r="O25" s="488"/>
      <c r="P25" s="1014"/>
      <c r="Q25" s="1013"/>
      <c r="R25" s="285"/>
      <c r="S25" s="543"/>
    </row>
    <row r="26" spans="1:19">
      <c r="A26" s="1006"/>
      <c r="B26" s="1017"/>
      <c r="C26" s="1018">
        <v>0.1434</v>
      </c>
      <c r="D26" s="1018">
        <v>0</v>
      </c>
      <c r="E26" s="1018">
        <v>0.25</v>
      </c>
      <c r="F26" s="1019">
        <v>440.66</v>
      </c>
      <c r="G26" s="1020">
        <v>0</v>
      </c>
      <c r="H26" s="1021">
        <v>0.05</v>
      </c>
      <c r="I26" s="1022">
        <v>0.05</v>
      </c>
      <c r="J26" s="1021">
        <v>0.03</v>
      </c>
      <c r="K26" s="1023"/>
      <c r="L26" s="1024" t="s">
        <v>640</v>
      </c>
      <c r="M26" s="753"/>
      <c r="N26" s="1013"/>
      <c r="O26" s="488"/>
      <c r="P26" s="1014"/>
      <c r="Q26" s="1013"/>
      <c r="R26" s="285"/>
      <c r="S26" s="543"/>
    </row>
    <row r="27" spans="1:19" ht="15.75">
      <c r="A27" s="1025" t="s">
        <v>278</v>
      </c>
      <c r="B27" s="1026"/>
      <c r="C27" s="1026"/>
      <c r="D27" s="1027"/>
      <c r="E27" s="1027"/>
      <c r="F27" s="1026"/>
      <c r="G27" s="1027"/>
      <c r="H27" s="1028"/>
      <c r="I27" s="1027"/>
      <c r="J27" s="1028"/>
      <c r="K27" s="1027"/>
      <c r="L27" s="1028"/>
      <c r="M27" s="753"/>
      <c r="N27" s="1013"/>
      <c r="O27" s="488"/>
      <c r="P27" s="1014"/>
      <c r="Q27" s="1013"/>
      <c r="R27" s="285"/>
      <c r="S27" s="543"/>
    </row>
    <row r="28" spans="1:19">
      <c r="A28" s="1029" t="s">
        <v>641</v>
      </c>
      <c r="B28" s="1030">
        <v>41</v>
      </c>
      <c r="C28" s="1031">
        <f t="shared" ref="C28:E31" si="0">$B28*C$26</f>
        <v>5.8794000000000004</v>
      </c>
      <c r="D28" s="1031">
        <f t="shared" si="0"/>
        <v>0</v>
      </c>
      <c r="E28" s="1031">
        <f t="shared" si="0"/>
        <v>10.25</v>
      </c>
      <c r="F28" s="1031">
        <f>$F$26*12/2080</f>
        <v>2.5422692307692309</v>
      </c>
      <c r="G28" s="1031">
        <f>SUM(B28:F28)*G$26</f>
        <v>0</v>
      </c>
      <c r="H28" s="1031">
        <f t="shared" ref="H28:J31" si="1">$B28*H$26</f>
        <v>2.0500000000000003</v>
      </c>
      <c r="I28" s="1031">
        <f t="shared" si="1"/>
        <v>2.0500000000000003</v>
      </c>
      <c r="J28" s="1031">
        <f t="shared" si="1"/>
        <v>1.23</v>
      </c>
      <c r="K28" s="1031">
        <f>SUM(B28:J28)</f>
        <v>65.001669230769224</v>
      </c>
      <c r="L28" s="1032">
        <f>B28*2080</f>
        <v>85280</v>
      </c>
      <c r="M28" s="753"/>
      <c r="N28" s="1013">
        <v>1</v>
      </c>
      <c r="O28" s="1033">
        <f>6*160</f>
        <v>960</v>
      </c>
      <c r="P28" s="1034">
        <f>N28*O28*K28</f>
        <v>62401.602461538452</v>
      </c>
      <c r="Q28" s="1013">
        <v>1</v>
      </c>
      <c r="R28" s="488">
        <v>2080</v>
      </c>
      <c r="S28" s="1034">
        <f>Q28*R28*K28</f>
        <v>135203.47199999998</v>
      </c>
    </row>
    <row r="29" spans="1:19">
      <c r="A29" s="1035" t="s">
        <v>642</v>
      </c>
      <c r="B29" s="1036">
        <f>80000/2080</f>
        <v>38.46153846153846</v>
      </c>
      <c r="C29" s="1031">
        <f t="shared" si="0"/>
        <v>5.5153846153846153</v>
      </c>
      <c r="D29" s="1031">
        <f t="shared" si="0"/>
        <v>0</v>
      </c>
      <c r="E29" s="1031">
        <f t="shared" si="0"/>
        <v>9.615384615384615</v>
      </c>
      <c r="F29" s="1031">
        <f>$F$26*12/2080</f>
        <v>2.5422692307692309</v>
      </c>
      <c r="G29" s="1031">
        <f>SUM(B29:F29)*G$26</f>
        <v>0</v>
      </c>
      <c r="H29" s="1031">
        <f t="shared" si="1"/>
        <v>1.9230769230769231</v>
      </c>
      <c r="I29" s="1031">
        <f t="shared" si="1"/>
        <v>1.9230769230769231</v>
      </c>
      <c r="J29" s="1031">
        <f t="shared" si="1"/>
        <v>1.1538461538461537</v>
      </c>
      <c r="K29" s="1031">
        <f>SUM(B29:J29)</f>
        <v>61.134576923076906</v>
      </c>
      <c r="L29" s="1032">
        <f>B29*2080</f>
        <v>80000</v>
      </c>
      <c r="M29" s="753"/>
      <c r="N29" s="1013"/>
      <c r="O29" s="1033">
        <f>7*160</f>
        <v>1120</v>
      </c>
      <c r="P29" s="1034">
        <f>N29*O29*K29</f>
        <v>0</v>
      </c>
      <c r="Q29" s="1013"/>
      <c r="R29" s="488"/>
      <c r="S29" s="1034">
        <f>Q29*R29*K29</f>
        <v>0</v>
      </c>
    </row>
    <row r="30" spans="1:19">
      <c r="A30" s="1029" t="s">
        <v>643</v>
      </c>
      <c r="B30" s="1030">
        <v>25</v>
      </c>
      <c r="C30" s="1031">
        <f t="shared" si="0"/>
        <v>3.585</v>
      </c>
      <c r="D30" s="1031">
        <f t="shared" si="0"/>
        <v>0</v>
      </c>
      <c r="E30" s="1031">
        <f t="shared" si="0"/>
        <v>6.25</v>
      </c>
      <c r="F30" s="1031">
        <f>$F$26*12/2080</f>
        <v>2.5422692307692309</v>
      </c>
      <c r="G30" s="1031">
        <f>SUM(B30:F30)*G$26</f>
        <v>0</v>
      </c>
      <c r="H30" s="1031">
        <f t="shared" si="1"/>
        <v>1.25</v>
      </c>
      <c r="I30" s="1031">
        <f t="shared" si="1"/>
        <v>1.25</v>
      </c>
      <c r="J30" s="1031">
        <f t="shared" si="1"/>
        <v>0.75</v>
      </c>
      <c r="K30" s="1031">
        <f>SUM(B30:J30)</f>
        <v>40.62726923076923</v>
      </c>
      <c r="L30" s="1032">
        <f>B30*2080</f>
        <v>52000</v>
      </c>
      <c r="M30" s="753"/>
      <c r="N30" s="1013"/>
      <c r="O30" s="1033">
        <f>7*160</f>
        <v>1120</v>
      </c>
      <c r="P30" s="1034">
        <f>N30*O30*K30</f>
        <v>0</v>
      </c>
      <c r="Q30" s="1013"/>
      <c r="R30" s="488"/>
      <c r="S30" s="1034">
        <f>Q30*R30*K30</f>
        <v>0</v>
      </c>
    </row>
    <row r="31" spans="1:19">
      <c r="A31" s="1029" t="s">
        <v>644</v>
      </c>
      <c r="B31" s="1030">
        <v>14.25</v>
      </c>
      <c r="C31" s="1031">
        <f t="shared" si="0"/>
        <v>2.04345</v>
      </c>
      <c r="D31" s="1031">
        <f t="shared" si="0"/>
        <v>0</v>
      </c>
      <c r="E31" s="1031">
        <f t="shared" si="0"/>
        <v>3.5625</v>
      </c>
      <c r="F31" s="1031">
        <f>$F$26*12/2080</f>
        <v>2.5422692307692309</v>
      </c>
      <c r="G31" s="1031">
        <f>SUM(B31:F31)*G$26</f>
        <v>0</v>
      </c>
      <c r="H31" s="1031">
        <f t="shared" si="1"/>
        <v>0.71250000000000002</v>
      </c>
      <c r="I31" s="1031">
        <f t="shared" si="1"/>
        <v>0.71250000000000002</v>
      </c>
      <c r="J31" s="1031">
        <f t="shared" si="1"/>
        <v>0.42749999999999999</v>
      </c>
      <c r="K31" s="1031">
        <f>SUM(B31:J31)</f>
        <v>24.250719230769228</v>
      </c>
      <c r="L31" s="1032">
        <f>B31*2080</f>
        <v>29640</v>
      </c>
      <c r="M31" s="753"/>
      <c r="N31" s="1013">
        <v>1</v>
      </c>
      <c r="O31" s="1033">
        <f>5*160</f>
        <v>800</v>
      </c>
      <c r="P31" s="1034">
        <f>N31*O31*K31</f>
        <v>19400.575384615382</v>
      </c>
      <c r="Q31" s="1013">
        <v>1</v>
      </c>
      <c r="R31" s="488">
        <v>2080</v>
      </c>
      <c r="S31" s="1034">
        <f>Q31*R31*K31</f>
        <v>50441.495999999992</v>
      </c>
    </row>
    <row r="32" spans="1:19" ht="15.75">
      <c r="A32" s="1025" t="s">
        <v>645</v>
      </c>
      <c r="B32" s="1037"/>
      <c r="C32" s="744"/>
      <c r="D32" s="744"/>
      <c r="E32" s="744"/>
      <c r="F32" s="744"/>
      <c r="G32" s="744"/>
      <c r="H32" s="744"/>
      <c r="I32" s="1031"/>
      <c r="J32" s="1031"/>
      <c r="K32" s="1031"/>
      <c r="L32" s="744"/>
      <c r="M32" s="753"/>
      <c r="N32" s="1013"/>
      <c r="O32" s="1033"/>
      <c r="P32" s="1034"/>
      <c r="Q32" s="1013"/>
      <c r="R32" s="488"/>
      <c r="S32" s="1034"/>
    </row>
    <row r="33" spans="1:22">
      <c r="A33" s="1029" t="s">
        <v>646</v>
      </c>
      <c r="B33" s="1030">
        <f>65000/2080</f>
        <v>31.25</v>
      </c>
      <c r="C33" s="1031">
        <f t="shared" ref="C33:E35" si="2">$B33*C$26</f>
        <v>4.4812500000000002</v>
      </c>
      <c r="D33" s="1031">
        <f t="shared" si="2"/>
        <v>0</v>
      </c>
      <c r="E33" s="1031">
        <f t="shared" si="2"/>
        <v>7.8125</v>
      </c>
      <c r="F33" s="1031">
        <f>$F$26*12/2080</f>
        <v>2.5422692307692309</v>
      </c>
      <c r="G33" s="1031">
        <f>SUM(B33:F33)*G$26</f>
        <v>0</v>
      </c>
      <c r="H33" s="1031">
        <f t="shared" ref="H33:J35" si="3">$B33*H$26</f>
        <v>1.5625</v>
      </c>
      <c r="I33" s="1031">
        <f t="shared" si="3"/>
        <v>1.5625</v>
      </c>
      <c r="J33" s="1031">
        <f t="shared" si="3"/>
        <v>0.9375</v>
      </c>
      <c r="K33" s="1031">
        <f>SUM(B33:J33)</f>
        <v>50.148519230769232</v>
      </c>
      <c r="L33" s="1032">
        <f>B33*2080</f>
        <v>65000</v>
      </c>
      <c r="M33" s="753"/>
      <c r="N33" s="1013"/>
      <c r="O33" s="1033"/>
      <c r="P33" s="1034">
        <f>N33*O33*K33</f>
        <v>0</v>
      </c>
      <c r="Q33" s="1013"/>
      <c r="R33" s="488"/>
      <c r="S33" s="1034">
        <f>Q33*R33*K33</f>
        <v>0</v>
      </c>
    </row>
    <row r="34" spans="1:22">
      <c r="A34" s="1029" t="str">
        <f>Mob_Staffing!A13</f>
        <v>O&amp;M TECHNICIAN III</v>
      </c>
      <c r="B34" s="1030">
        <v>27</v>
      </c>
      <c r="C34" s="1031">
        <f t="shared" si="2"/>
        <v>3.8717999999999999</v>
      </c>
      <c r="D34" s="1031">
        <f t="shared" si="2"/>
        <v>0</v>
      </c>
      <c r="E34" s="1031">
        <f t="shared" si="2"/>
        <v>6.75</v>
      </c>
      <c r="F34" s="1031">
        <f>$F$26*12/R34</f>
        <v>2.5422692307692309</v>
      </c>
      <c r="G34" s="1031">
        <f>SUM(B34:F34)*G$26</f>
        <v>0</v>
      </c>
      <c r="H34" s="1031">
        <f t="shared" si="3"/>
        <v>1.35</v>
      </c>
      <c r="I34" s="1031">
        <f t="shared" si="3"/>
        <v>1.35</v>
      </c>
      <c r="J34" s="1031">
        <f t="shared" si="3"/>
        <v>0.80999999999999994</v>
      </c>
      <c r="K34" s="1031">
        <f>SUM(B34:J34)</f>
        <v>43.674069230769234</v>
      </c>
      <c r="L34" s="1032">
        <f>B34*2080</f>
        <v>56160</v>
      </c>
      <c r="M34" s="753"/>
      <c r="N34" s="1013">
        <v>2</v>
      </c>
      <c r="O34" s="1033">
        <f>3*160</f>
        <v>480</v>
      </c>
      <c r="P34" s="1034">
        <f>N34*O34*K34</f>
        <v>41927.106461538468</v>
      </c>
      <c r="Q34" s="1013">
        <v>2</v>
      </c>
      <c r="R34" s="488">
        <v>2080</v>
      </c>
      <c r="S34" s="1034">
        <f>Q34*R34*K34</f>
        <v>181684.12800000003</v>
      </c>
    </row>
    <row r="35" spans="1:22">
      <c r="A35" s="1029" t="str">
        <f>Mob_Staffing!A14</f>
        <v>O&amp;M TECHNICIAN II</v>
      </c>
      <c r="B35" s="1030">
        <v>24</v>
      </c>
      <c r="C35" s="1031">
        <f t="shared" si="2"/>
        <v>3.4416000000000002</v>
      </c>
      <c r="D35" s="1031">
        <f t="shared" si="2"/>
        <v>0</v>
      </c>
      <c r="E35" s="1031">
        <f t="shared" si="2"/>
        <v>6</v>
      </c>
      <c r="F35" s="1031">
        <f>$F$26*12/R35</f>
        <v>2.5422692307692309</v>
      </c>
      <c r="G35" s="1031">
        <f>SUM(B35:F35)*G$26</f>
        <v>0</v>
      </c>
      <c r="H35" s="1031">
        <f t="shared" si="3"/>
        <v>1.2000000000000002</v>
      </c>
      <c r="I35" s="1031">
        <f t="shared" si="3"/>
        <v>1.2000000000000002</v>
      </c>
      <c r="J35" s="1031">
        <f t="shared" si="3"/>
        <v>0.72</v>
      </c>
      <c r="K35" s="1031">
        <f>SUM(B35:J35)</f>
        <v>39.103869230769234</v>
      </c>
      <c r="L35" s="1032">
        <f>B35*2080</f>
        <v>49920</v>
      </c>
      <c r="M35" s="753"/>
      <c r="N35" s="1013">
        <v>3</v>
      </c>
      <c r="O35" s="1033">
        <v>480</v>
      </c>
      <c r="P35" s="1034">
        <f>N35*O35*K35</f>
        <v>56309.571692307698</v>
      </c>
      <c r="Q35" s="1013">
        <v>3</v>
      </c>
      <c r="R35" s="488">
        <v>2080</v>
      </c>
      <c r="S35" s="1034">
        <f>Q35*R35*K35</f>
        <v>244008.14400000003</v>
      </c>
    </row>
    <row r="36" spans="1:22">
      <c r="A36" s="816"/>
      <c r="B36" s="816"/>
      <c r="C36" s="816"/>
      <c r="D36" s="816"/>
      <c r="E36" s="816"/>
      <c r="F36" s="816"/>
      <c r="G36" s="816"/>
      <c r="H36" s="816"/>
      <c r="I36" s="816"/>
      <c r="J36" s="816"/>
      <c r="K36" s="816"/>
      <c r="L36" s="816"/>
      <c r="M36" s="753"/>
      <c r="N36" s="1013"/>
      <c r="O36" s="1033"/>
      <c r="P36" s="1014"/>
      <c r="Q36" s="1013"/>
      <c r="R36" s="488"/>
      <c r="S36" s="1034"/>
    </row>
    <row r="37" spans="1:22" ht="15.75">
      <c r="A37" s="996" t="s">
        <v>647</v>
      </c>
      <c r="B37" s="744"/>
      <c r="C37" s="744"/>
      <c r="D37" s="744"/>
      <c r="E37" s="816"/>
      <c r="F37" s="744"/>
      <c r="G37" s="816"/>
      <c r="H37" s="744"/>
      <c r="I37" s="1038"/>
      <c r="J37" s="744"/>
      <c r="K37" s="1039"/>
      <c r="L37" s="816"/>
      <c r="M37" s="753"/>
      <c r="N37" s="704"/>
      <c r="O37" s="1040"/>
      <c r="P37" s="543"/>
      <c r="Q37" s="704"/>
      <c r="R37" s="285"/>
      <c r="S37" s="1041"/>
    </row>
    <row r="38" spans="1:22" ht="15.75">
      <c r="A38" s="996" t="s">
        <v>612</v>
      </c>
      <c r="B38" s="744"/>
      <c r="C38" s="744"/>
      <c r="D38" s="744"/>
      <c r="E38" s="816"/>
      <c r="F38" s="744"/>
      <c r="G38" s="816"/>
      <c r="H38" s="744"/>
      <c r="I38" s="1038"/>
      <c r="J38" s="1042"/>
      <c r="K38" s="744"/>
      <c r="L38" s="816"/>
      <c r="M38" s="753"/>
      <c r="N38" s="704"/>
      <c r="O38" s="1040"/>
      <c r="P38" s="543"/>
      <c r="Q38" s="704"/>
      <c r="R38" s="285"/>
      <c r="S38" s="1041"/>
    </row>
    <row r="39" spans="1:22">
      <c r="A39" s="997"/>
      <c r="B39" s="997"/>
      <c r="C39" s="997"/>
      <c r="D39" s="997"/>
      <c r="E39" s="998"/>
      <c r="F39" s="997"/>
      <c r="G39" s="816"/>
      <c r="H39" s="745"/>
      <c r="I39" s="816"/>
      <c r="J39" s="745"/>
      <c r="K39" s="745"/>
      <c r="L39" s="816"/>
      <c r="M39" s="753"/>
      <c r="N39" s="704"/>
      <c r="O39" s="1040"/>
      <c r="P39" s="543"/>
      <c r="Q39" s="704"/>
      <c r="R39" s="285"/>
      <c r="S39" s="1041"/>
    </row>
    <row r="40" spans="1:22">
      <c r="A40" s="999"/>
      <c r="B40" s="1000"/>
      <c r="C40" s="1001"/>
      <c r="D40" s="1001"/>
      <c r="E40" s="1001"/>
      <c r="F40" s="1001"/>
      <c r="G40" s="1002"/>
      <c r="H40" s="1003"/>
      <c r="I40" s="1002"/>
      <c r="J40" s="1003"/>
      <c r="K40" s="1043"/>
      <c r="L40" s="816"/>
      <c r="M40" s="753"/>
      <c r="N40" s="704"/>
      <c r="O40" s="1040"/>
      <c r="P40" s="543"/>
      <c r="Q40" s="704"/>
      <c r="R40" s="285"/>
      <c r="S40" s="1041"/>
    </row>
    <row r="41" spans="1:22">
      <c r="A41" s="1006"/>
      <c r="B41" s="1007" t="s">
        <v>959</v>
      </c>
      <c r="C41" s="1008" t="s">
        <v>617</v>
      </c>
      <c r="D41" s="1008" t="s">
        <v>618</v>
      </c>
      <c r="E41" s="1008"/>
      <c r="F41" s="1007" t="s">
        <v>619</v>
      </c>
      <c r="G41" s="1009" t="s">
        <v>620</v>
      </c>
      <c r="H41" s="1011"/>
      <c r="I41" s="1009"/>
      <c r="J41" s="1011"/>
      <c r="K41" s="1010"/>
      <c r="L41" s="816"/>
      <c r="M41" s="753"/>
      <c r="N41" s="704"/>
      <c r="O41" s="1040"/>
      <c r="P41" s="543"/>
      <c r="Q41" s="704"/>
      <c r="R41" s="285"/>
      <c r="S41" s="1041"/>
    </row>
    <row r="42" spans="1:22">
      <c r="A42" s="1006" t="s">
        <v>621</v>
      </c>
      <c r="B42" s="1007" t="s">
        <v>626</v>
      </c>
      <c r="C42" s="1015" t="s">
        <v>211</v>
      </c>
      <c r="D42" s="1015" t="s">
        <v>627</v>
      </c>
      <c r="E42" s="1015" t="s">
        <v>628</v>
      </c>
      <c r="F42" s="1007" t="s">
        <v>629</v>
      </c>
      <c r="G42" s="1012" t="s">
        <v>630</v>
      </c>
      <c r="H42" s="1016" t="s">
        <v>648</v>
      </c>
      <c r="I42" s="1012" t="s">
        <v>632</v>
      </c>
      <c r="J42" s="1016" t="s">
        <v>633</v>
      </c>
      <c r="K42" s="1010" t="s">
        <v>634</v>
      </c>
      <c r="L42" s="816"/>
      <c r="M42" s="753"/>
      <c r="N42" s="704"/>
      <c r="O42" s="1040"/>
      <c r="P42" s="543"/>
      <c r="Q42" s="704"/>
      <c r="R42" s="285"/>
      <c r="S42" s="1041"/>
    </row>
    <row r="43" spans="1:22">
      <c r="A43" s="1006" t="s">
        <v>635</v>
      </c>
      <c r="B43" s="1007" t="s">
        <v>636</v>
      </c>
      <c r="C43" s="1007" t="s">
        <v>637</v>
      </c>
      <c r="D43" s="1007" t="s">
        <v>629</v>
      </c>
      <c r="E43" s="1007" t="s">
        <v>638</v>
      </c>
      <c r="F43" s="1007" t="s">
        <v>639</v>
      </c>
      <c r="G43" s="1009" t="s">
        <v>629</v>
      </c>
      <c r="H43" s="1011"/>
      <c r="I43" s="1009"/>
      <c r="J43" s="1011"/>
      <c r="K43" s="1010" t="s">
        <v>978</v>
      </c>
      <c r="L43" s="816"/>
      <c r="M43" s="753"/>
      <c r="N43" s="704"/>
      <c r="O43" s="1040"/>
      <c r="P43" s="543"/>
      <c r="Q43" s="704"/>
      <c r="R43" s="285"/>
      <c r="S43" s="1041"/>
    </row>
    <row r="44" spans="1:22">
      <c r="A44" s="1006"/>
      <c r="B44" s="1007"/>
      <c r="C44" s="1044">
        <f>C26</f>
        <v>0.1434</v>
      </c>
      <c r="D44" s="1044">
        <f>D26</f>
        <v>0</v>
      </c>
      <c r="E44" s="1044">
        <f>E26</f>
        <v>0.25</v>
      </c>
      <c r="F44" s="1045">
        <v>0</v>
      </c>
      <c r="G44" s="1044">
        <f>G26</f>
        <v>0</v>
      </c>
      <c r="H44" s="1044">
        <f>H26</f>
        <v>0.05</v>
      </c>
      <c r="I44" s="1044">
        <v>0</v>
      </c>
      <c r="J44" s="1044">
        <v>0</v>
      </c>
      <c r="K44" s="1046"/>
      <c r="L44" s="816"/>
      <c r="M44" s="753"/>
      <c r="N44" s="704"/>
      <c r="O44" s="1040"/>
      <c r="P44" s="543"/>
      <c r="Q44" s="704"/>
      <c r="R44" s="285"/>
      <c r="S44" s="1041"/>
    </row>
    <row r="45" spans="1:22" ht="15.75">
      <c r="A45" s="1025" t="s">
        <v>278</v>
      </c>
      <c r="B45" s="1026"/>
      <c r="C45" s="1026"/>
      <c r="D45" s="1027"/>
      <c r="E45" s="1027"/>
      <c r="F45" s="1026"/>
      <c r="G45" s="1027"/>
      <c r="H45" s="1028"/>
      <c r="I45" s="1027"/>
      <c r="J45" s="1028"/>
      <c r="K45" s="1027"/>
      <c r="L45" s="816"/>
      <c r="M45" s="753"/>
      <c r="N45" s="1013"/>
      <c r="O45" s="1033"/>
      <c r="P45" s="1014"/>
      <c r="Q45" s="1013"/>
      <c r="R45" s="488"/>
      <c r="S45" s="1034"/>
      <c r="U45" s="887"/>
      <c r="V45" s="887"/>
    </row>
    <row r="46" spans="1:22">
      <c r="A46" s="1029" t="str">
        <f>+A28</f>
        <v>Plant Manager</v>
      </c>
      <c r="B46" s="1047">
        <f>B28*1.5</f>
        <v>61.5</v>
      </c>
      <c r="C46" s="1031">
        <f t="shared" ref="C46:E49" si="4">$B46*C$44</f>
        <v>8.8191000000000006</v>
      </c>
      <c r="D46" s="1031">
        <f t="shared" si="4"/>
        <v>0</v>
      </c>
      <c r="E46" s="1031">
        <f t="shared" si="4"/>
        <v>15.375</v>
      </c>
      <c r="F46" s="1031">
        <f>$F$44*12/2080</f>
        <v>0</v>
      </c>
      <c r="G46" s="1031">
        <f>SUM(B46:F46)*G$44</f>
        <v>0</v>
      </c>
      <c r="H46" s="1031"/>
      <c r="I46" s="1031"/>
      <c r="J46" s="1031"/>
      <c r="K46" s="1031">
        <f>SUM(B46:J46)</f>
        <v>85.694100000000006</v>
      </c>
      <c r="L46" s="816"/>
      <c r="M46" s="753"/>
      <c r="N46" s="1013">
        <v>1</v>
      </c>
      <c r="O46" s="1033">
        <v>0</v>
      </c>
      <c r="P46" s="1034">
        <f>N46*O46*K46</f>
        <v>0</v>
      </c>
      <c r="Q46" s="1013">
        <v>1</v>
      </c>
      <c r="R46" s="488">
        <v>0</v>
      </c>
      <c r="S46" s="1034">
        <f>Q46*R46*K46</f>
        <v>0</v>
      </c>
      <c r="U46" s="887"/>
      <c r="V46" s="887"/>
    </row>
    <row r="47" spans="1:22">
      <c r="A47" s="1035" t="str">
        <f>+A29</f>
        <v>Maintenance Manager</v>
      </c>
      <c r="B47" s="1047">
        <f>B29*1.5</f>
        <v>57.692307692307693</v>
      </c>
      <c r="C47" s="1031">
        <f t="shared" si="4"/>
        <v>8.273076923076923</v>
      </c>
      <c r="D47" s="1031">
        <f t="shared" si="4"/>
        <v>0</v>
      </c>
      <c r="E47" s="1031">
        <f t="shared" si="4"/>
        <v>14.423076923076923</v>
      </c>
      <c r="F47" s="1031">
        <f>$F$44*12/2080</f>
        <v>0</v>
      </c>
      <c r="G47" s="1031">
        <f>SUM(B47:F47)*G$44</f>
        <v>0</v>
      </c>
      <c r="H47" s="1031"/>
      <c r="I47" s="1031"/>
      <c r="J47" s="1031"/>
      <c r="K47" s="1031">
        <f>SUM(B47:J47)</f>
        <v>80.388461538461542</v>
      </c>
      <c r="L47" s="816"/>
      <c r="M47" s="753"/>
      <c r="N47" s="1013"/>
      <c r="O47" s="1033"/>
      <c r="P47" s="1034">
        <f>N47*O47*K47</f>
        <v>0</v>
      </c>
      <c r="Q47" s="1013"/>
      <c r="R47" s="488"/>
      <c r="S47" s="1034">
        <f>Q47*R47*K47</f>
        <v>0</v>
      </c>
      <c r="U47" s="887"/>
      <c r="V47" s="887"/>
    </row>
    <row r="48" spans="1:22">
      <c r="A48" s="1029" t="str">
        <f>+A30</f>
        <v>Purchasing / Warehouse</v>
      </c>
      <c r="B48" s="1047">
        <f>B30*1.5</f>
        <v>37.5</v>
      </c>
      <c r="C48" s="1031">
        <f t="shared" si="4"/>
        <v>5.3775000000000004</v>
      </c>
      <c r="D48" s="1031">
        <f t="shared" si="4"/>
        <v>0</v>
      </c>
      <c r="E48" s="1031">
        <f t="shared" si="4"/>
        <v>9.375</v>
      </c>
      <c r="F48" s="1031">
        <f>$F$44*12/2080</f>
        <v>0</v>
      </c>
      <c r="G48" s="1031">
        <f>SUM(B48:F48)*G$44</f>
        <v>0</v>
      </c>
      <c r="H48" s="1031"/>
      <c r="I48" s="1031"/>
      <c r="J48" s="1031"/>
      <c r="K48" s="1031">
        <f>SUM(B48:J48)</f>
        <v>52.252499999999998</v>
      </c>
      <c r="L48" s="816"/>
      <c r="M48" s="753"/>
      <c r="N48" s="1013"/>
      <c r="O48" s="1033"/>
      <c r="P48" s="1034">
        <f>N48*O48*K48</f>
        <v>0</v>
      </c>
      <c r="Q48" s="1013"/>
      <c r="R48" s="488"/>
      <c r="S48" s="1034">
        <f>Q48*R48*K48</f>
        <v>0</v>
      </c>
      <c r="U48" s="887"/>
      <c r="V48" s="887"/>
    </row>
    <row r="49" spans="1:22">
      <c r="A49" s="1029" t="str">
        <f>+A31</f>
        <v>Clerk</v>
      </c>
      <c r="B49" s="1047">
        <f>B31*1.5</f>
        <v>21.375</v>
      </c>
      <c r="C49" s="1031">
        <f t="shared" si="4"/>
        <v>3.065175</v>
      </c>
      <c r="D49" s="1031">
        <f t="shared" si="4"/>
        <v>0</v>
      </c>
      <c r="E49" s="1031">
        <f t="shared" si="4"/>
        <v>5.34375</v>
      </c>
      <c r="F49" s="1031">
        <f>$F$44*12/2080</f>
        <v>0</v>
      </c>
      <c r="G49" s="1031">
        <f>SUM(B49:F49)*G$44</f>
        <v>0</v>
      </c>
      <c r="H49" s="1031"/>
      <c r="I49" s="1031"/>
      <c r="J49" s="1031"/>
      <c r="K49" s="1031">
        <f>SUM(B49:J49)</f>
        <v>29.783925</v>
      </c>
      <c r="L49" s="816"/>
      <c r="M49" s="753"/>
      <c r="N49" s="1013">
        <v>1</v>
      </c>
      <c r="O49" s="1033">
        <f>O31*0.05</f>
        <v>40</v>
      </c>
      <c r="P49" s="1034">
        <f>N49*O49*K49</f>
        <v>1191.357</v>
      </c>
      <c r="Q49" s="1013">
        <v>1</v>
      </c>
      <c r="R49" s="488">
        <f>0.05*R31</f>
        <v>104</v>
      </c>
      <c r="S49" s="1034">
        <f>Q49*R49*K49</f>
        <v>3097.5282000000002</v>
      </c>
      <c r="U49" s="887"/>
      <c r="V49" s="887"/>
    </row>
    <row r="50" spans="1:22" ht="15.75">
      <c r="A50" s="1025" t="s">
        <v>645</v>
      </c>
      <c r="B50" s="1047"/>
      <c r="C50" s="1031"/>
      <c r="D50" s="1031"/>
      <c r="E50" s="1031"/>
      <c r="F50" s="1031"/>
      <c r="G50" s="1031"/>
      <c r="H50" s="1031"/>
      <c r="I50" s="1031"/>
      <c r="J50" s="1031"/>
      <c r="K50" s="1031"/>
      <c r="L50" s="816"/>
      <c r="M50" s="753"/>
      <c r="N50" s="1013"/>
      <c r="O50" s="1033"/>
      <c r="P50" s="1034"/>
      <c r="Q50" s="1013"/>
      <c r="R50" s="488"/>
      <c r="S50" s="1034"/>
      <c r="U50" s="887"/>
      <c r="V50" s="887"/>
    </row>
    <row r="51" spans="1:22">
      <c r="A51" s="1029" t="str">
        <f>+A33</f>
        <v>Supervisor</v>
      </c>
      <c r="B51" s="1047">
        <f>B33*1.5</f>
        <v>46.875</v>
      </c>
      <c r="C51" s="1031">
        <f t="shared" ref="C51:E53" si="5">$B51*C$44</f>
        <v>6.7218749999999998</v>
      </c>
      <c r="D51" s="1031">
        <f t="shared" si="5"/>
        <v>0</v>
      </c>
      <c r="E51" s="1031">
        <f t="shared" si="5"/>
        <v>11.71875</v>
      </c>
      <c r="F51" s="1031">
        <f>$F$44*12/2080</f>
        <v>0</v>
      </c>
      <c r="G51" s="1031">
        <f>SUM(B51:F51)*G$44</f>
        <v>0</v>
      </c>
      <c r="H51" s="1031"/>
      <c r="I51" s="1031"/>
      <c r="J51" s="1031"/>
      <c r="K51" s="1031">
        <f>SUM(B51:J51)</f>
        <v>65.315624999999997</v>
      </c>
      <c r="L51" s="816"/>
      <c r="M51" s="753"/>
      <c r="N51" s="1013"/>
      <c r="O51" s="1033"/>
      <c r="P51" s="1034">
        <f>N51*O51*K51</f>
        <v>0</v>
      </c>
      <c r="Q51" s="1013"/>
      <c r="R51" s="488"/>
      <c r="S51" s="1034">
        <f>Q51*R51*K51</f>
        <v>0</v>
      </c>
      <c r="U51" s="887"/>
      <c r="V51" s="887"/>
    </row>
    <row r="52" spans="1:22">
      <c r="A52" s="1029" t="str">
        <f>+A34</f>
        <v>O&amp;M TECHNICIAN III</v>
      </c>
      <c r="B52" s="1047">
        <f>B34*1.5</f>
        <v>40.5</v>
      </c>
      <c r="C52" s="1031">
        <f t="shared" si="5"/>
        <v>5.8076999999999996</v>
      </c>
      <c r="D52" s="1031">
        <f t="shared" si="5"/>
        <v>0</v>
      </c>
      <c r="E52" s="1031">
        <f t="shared" si="5"/>
        <v>10.125</v>
      </c>
      <c r="F52" s="1031">
        <f>$F$44*12/2080</f>
        <v>0</v>
      </c>
      <c r="G52" s="1031">
        <f>SUM(B52:F52)*G$44</f>
        <v>0</v>
      </c>
      <c r="H52" s="1031"/>
      <c r="I52" s="1031"/>
      <c r="J52" s="1031"/>
      <c r="K52" s="1031">
        <f>SUM(B52:J52)</f>
        <v>56.432699999999997</v>
      </c>
      <c r="L52" s="816"/>
      <c r="M52" s="753"/>
      <c r="N52" s="1013">
        <v>2</v>
      </c>
      <c r="O52" s="1033">
        <f>0.2*O34</f>
        <v>96</v>
      </c>
      <c r="P52" s="1034">
        <f>N52*O52*K52</f>
        <v>10835.078399999999</v>
      </c>
      <c r="Q52" s="1013">
        <v>2</v>
      </c>
      <c r="R52" s="488">
        <f>0.2*R34</f>
        <v>416</v>
      </c>
      <c r="S52" s="1034">
        <f>Q52*R52*K52</f>
        <v>46952.006399999998</v>
      </c>
      <c r="U52" s="887"/>
      <c r="V52" s="887"/>
    </row>
    <row r="53" spans="1:22">
      <c r="A53" s="1029" t="str">
        <f>+A35</f>
        <v>O&amp;M TECHNICIAN II</v>
      </c>
      <c r="B53" s="1047">
        <f>B35*1.5</f>
        <v>36</v>
      </c>
      <c r="C53" s="1031">
        <f t="shared" si="5"/>
        <v>5.1623999999999999</v>
      </c>
      <c r="D53" s="1031">
        <f t="shared" si="5"/>
        <v>0</v>
      </c>
      <c r="E53" s="1031">
        <f t="shared" si="5"/>
        <v>9</v>
      </c>
      <c r="F53" s="1031">
        <f>$F$44*12/2080</f>
        <v>0</v>
      </c>
      <c r="G53" s="1031">
        <f>SUM(B53:F53)*G$44</f>
        <v>0</v>
      </c>
      <c r="H53" s="1031"/>
      <c r="I53" s="1031"/>
      <c r="J53" s="1031"/>
      <c r="K53" s="1031">
        <f>SUM(B53:J53)</f>
        <v>50.162399999999998</v>
      </c>
      <c r="L53" s="816"/>
      <c r="M53" s="753"/>
      <c r="N53" s="1013">
        <v>3</v>
      </c>
      <c r="O53" s="1033">
        <f>0.2*O35</f>
        <v>96</v>
      </c>
      <c r="P53" s="1034">
        <f>N53*O53*K53</f>
        <v>14446.771199999999</v>
      </c>
      <c r="Q53" s="1013">
        <v>3</v>
      </c>
      <c r="R53" s="488">
        <f>0.2*R35</f>
        <v>416</v>
      </c>
      <c r="S53" s="1034">
        <f>Q53*R53*K53</f>
        <v>62602.675199999998</v>
      </c>
      <c r="U53" s="887"/>
      <c r="V53" s="887"/>
    </row>
    <row r="54" spans="1:22" ht="13.5" thickBot="1">
      <c r="A54" s="816"/>
      <c r="B54" s="816"/>
      <c r="C54" s="816"/>
      <c r="D54" s="816"/>
      <c r="E54" s="816"/>
      <c r="F54" s="816"/>
      <c r="G54" s="816"/>
      <c r="H54" s="816"/>
      <c r="I54" s="816"/>
      <c r="J54" s="816"/>
      <c r="K54" s="816"/>
      <c r="L54" s="816"/>
      <c r="M54" s="753"/>
      <c r="N54" s="704"/>
      <c r="O54" s="285"/>
      <c r="P54" s="543"/>
      <c r="Q54" s="704"/>
      <c r="R54" s="285"/>
      <c r="S54" s="543"/>
    </row>
    <row r="55" spans="1:22" ht="13.5" thickBot="1">
      <c r="A55" s="753"/>
      <c r="B55" s="753"/>
      <c r="C55" s="753"/>
      <c r="D55" s="753"/>
      <c r="E55" s="753"/>
      <c r="F55" s="753"/>
      <c r="G55" s="753"/>
      <c r="H55" s="753"/>
      <c r="I55" s="753"/>
      <c r="J55" s="753"/>
      <c r="K55" s="753"/>
      <c r="L55" s="753"/>
      <c r="M55" s="753"/>
      <c r="N55" s="1048"/>
      <c r="O55" s="1049" t="s">
        <v>649</v>
      </c>
      <c r="P55" s="1050">
        <f>SUM(P28:P53)</f>
        <v>206512.06259999998</v>
      </c>
      <c r="Q55" s="1048"/>
      <c r="R55" s="1049"/>
      <c r="S55" s="1050">
        <f>SUM(S28:S53)</f>
        <v>723989.44979999983</v>
      </c>
    </row>
    <row r="56" spans="1:22">
      <c r="L56" s="753"/>
    </row>
    <row r="58" spans="1:22">
      <c r="C58" s="1051"/>
    </row>
  </sheetData>
  <mergeCells count="2">
    <mergeCell ref="N21:P21"/>
    <mergeCell ref="Q21:S21"/>
  </mergeCells>
  <printOptions horizontalCentered="1"/>
  <pageMargins left="0.75" right="0.75" top="1" bottom="1" header="0.5" footer="0.5"/>
  <pageSetup scale="49" orientation="landscape" horizontalDpi="4294967292" verticalDpi="4294967292" r:id="rId1"/>
  <headerFooter alignWithMargins="0">
    <oddHeader>&amp;C&amp;"Arial,Bold"PROPRIETARY 
AND  CONFIDENTIAL INFORMATION</oddHeader>
    <oddFooter>&amp;LScot Chambers
&amp;D&amp;CPage _____&amp;R&amp;F
&amp;A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  <pageSetUpPr fitToPage="1"/>
  </sheetPr>
  <dimension ref="A1:J878"/>
  <sheetViews>
    <sheetView zoomScale="80" workbookViewId="0">
      <pane ySplit="2" topLeftCell="A3" activePane="bottomLeft" state="frozen"/>
      <selection sqref="A1:W1"/>
      <selection pane="bottomLeft" sqref="A1:W1"/>
    </sheetView>
  </sheetViews>
  <sheetFormatPr defaultRowHeight="12.75" outlineLevelRow="2"/>
  <cols>
    <col min="1" max="1" width="32.140625" style="741" customWidth="1"/>
    <col min="2" max="2" width="42.5703125" style="741" customWidth="1"/>
    <col min="3" max="3" width="19.5703125" style="741" customWidth="1"/>
    <col min="4" max="4" width="15.7109375" style="741" customWidth="1"/>
    <col min="5" max="5" width="2.5703125" style="741" customWidth="1"/>
    <col min="6" max="7" width="9.42578125" style="1057" customWidth="1"/>
    <col min="8" max="16384" width="9.140625" style="741"/>
  </cols>
  <sheetData>
    <row r="1" spans="1:7" ht="18" customHeight="1" thickBot="1">
      <c r="A1" s="1052"/>
      <c r="F1" s="741"/>
      <c r="G1" s="741"/>
    </row>
    <row r="2" spans="1:7" ht="17.25" customHeight="1" thickBot="1">
      <c r="A2" s="1053" t="s">
        <v>150</v>
      </c>
      <c r="B2" s="1054" t="s">
        <v>151</v>
      </c>
      <c r="C2" s="1055"/>
      <c r="D2" s="894" t="s">
        <v>152</v>
      </c>
      <c r="F2" s="1056" t="s">
        <v>155</v>
      </c>
    </row>
    <row r="3" spans="1:7" s="1061" customFormat="1" ht="20.25" customHeight="1" outlineLevel="1">
      <c r="A3" s="1058" t="str">
        <f>Scope!A1</f>
        <v>Plano, Illinois 6 x LM6000 Power Project, Rev 0</v>
      </c>
      <c r="B3" s="1059"/>
      <c r="C3" s="1060"/>
      <c r="D3" s="898"/>
    </row>
    <row r="4" spans="1:7" s="1061" customFormat="1" ht="18.75" outlineLevel="1" thickBot="1">
      <c r="A4" s="1062" t="s">
        <v>650</v>
      </c>
      <c r="B4" s="1063"/>
      <c r="C4" s="1064"/>
      <c r="D4" s="901"/>
    </row>
    <row r="5" spans="1:7" s="1061" customFormat="1" ht="13.5" outlineLevel="1" thickBot="1">
      <c r="A5" s="1065" t="s">
        <v>651</v>
      </c>
      <c r="B5" s="1066"/>
      <c r="C5" s="1067"/>
      <c r="D5" s="1068"/>
    </row>
    <row r="6" spans="1:7" ht="13.5" outlineLevel="2" thickBot="1">
      <c r="A6" s="923"/>
      <c r="B6" s="740" t="s">
        <v>652</v>
      </c>
      <c r="C6" s="1069"/>
      <c r="D6" s="925">
        <f>Plt_Staff!H22</f>
        <v>723989.44980000006</v>
      </c>
      <c r="F6" s="741"/>
      <c r="G6" s="741"/>
    </row>
    <row r="7" spans="1:7" ht="13.5" outlineLevel="2" thickBot="1">
      <c r="A7" s="923"/>
      <c r="B7" s="740"/>
      <c r="C7" s="1070"/>
      <c r="D7" s="925">
        <f>17*C7</f>
        <v>0</v>
      </c>
      <c r="F7" s="741"/>
      <c r="G7" s="741"/>
    </row>
    <row r="8" spans="1:7" ht="13.5" outlineLevel="2" thickBot="1">
      <c r="A8" s="923"/>
      <c r="B8" s="740"/>
      <c r="C8" s="1069"/>
      <c r="D8" s="925">
        <f>C10*C8</f>
        <v>0</v>
      </c>
      <c r="F8" s="741"/>
      <c r="G8" s="741"/>
    </row>
    <row r="9" spans="1:7" ht="13.5" outlineLevel="2" thickBot="1">
      <c r="A9" s="923"/>
      <c r="B9" s="740"/>
      <c r="C9" s="1069"/>
      <c r="D9" s="925">
        <f>(C11-C10)*C9</f>
        <v>0</v>
      </c>
      <c r="F9" s="741"/>
      <c r="G9" s="741"/>
    </row>
    <row r="10" spans="1:7" ht="13.5" outlineLevel="2" thickBot="1">
      <c r="A10" s="923"/>
      <c r="B10" s="740"/>
      <c r="C10" s="924"/>
      <c r="D10" s="925"/>
      <c r="F10" s="741"/>
      <c r="G10" s="741"/>
    </row>
    <row r="11" spans="1:7" ht="13.5" outlineLevel="2" thickBot="1">
      <c r="A11" s="923"/>
      <c r="B11" s="740"/>
      <c r="C11" s="924"/>
      <c r="D11" s="925"/>
      <c r="F11" s="741"/>
      <c r="G11" s="741"/>
    </row>
    <row r="12" spans="1:7" ht="13.5" outlineLevel="2" thickBot="1">
      <c r="A12" s="923"/>
      <c r="B12" s="740"/>
      <c r="C12" s="924"/>
      <c r="D12" s="925"/>
      <c r="F12" s="741"/>
      <c r="G12" s="741"/>
    </row>
    <row r="13" spans="1:7" s="1061" customFormat="1" ht="13.5" outlineLevel="1" thickBot="1">
      <c r="A13" s="923" t="s">
        <v>653</v>
      </c>
      <c r="B13" s="740"/>
      <c r="C13" s="927" t="s">
        <v>169</v>
      </c>
      <c r="D13" s="928">
        <f>SUBTOTAL(9,D6:D10)</f>
        <v>723989.44980000006</v>
      </c>
    </row>
    <row r="14" spans="1:7" s="1061" customFormat="1" ht="13.5" outlineLevel="1" thickBot="1">
      <c r="A14" s="1071" t="s">
        <v>1663</v>
      </c>
      <c r="B14" s="1072"/>
      <c r="C14" s="1073"/>
      <c r="D14" s="1068"/>
    </row>
    <row r="15" spans="1:7" ht="13.5" outlineLevel="2" thickBot="1">
      <c r="A15" s="923" t="s">
        <v>654</v>
      </c>
      <c r="B15" s="740" t="s">
        <v>655</v>
      </c>
      <c r="C15" s="924"/>
      <c r="D15" s="925">
        <f>6000+30*150</f>
        <v>10500</v>
      </c>
      <c r="F15" s="741"/>
      <c r="G15" s="741"/>
    </row>
    <row r="16" spans="1:7" ht="13.5" outlineLevel="2" thickBot="1">
      <c r="A16" s="923" t="s">
        <v>656</v>
      </c>
      <c r="B16" s="740" t="s">
        <v>657</v>
      </c>
      <c r="C16" s="924"/>
      <c r="D16" s="925">
        <f>6*1500</f>
        <v>9000</v>
      </c>
      <c r="F16" s="741"/>
      <c r="G16" s="741"/>
    </row>
    <row r="17" spans="1:7" ht="13.5" outlineLevel="2" thickBot="1">
      <c r="A17" s="923" t="s">
        <v>658</v>
      </c>
      <c r="B17" s="740"/>
      <c r="C17" s="924"/>
      <c r="D17" s="925">
        <v>1000</v>
      </c>
      <c r="F17" s="741"/>
      <c r="G17" s="741"/>
    </row>
    <row r="18" spans="1:7" ht="13.5" outlineLevel="2" thickBot="1">
      <c r="A18" s="923" t="s">
        <v>659</v>
      </c>
      <c r="B18" s="740" t="s">
        <v>660</v>
      </c>
      <c r="C18" s="924"/>
      <c r="D18" s="925">
        <f>250*12</f>
        <v>3000</v>
      </c>
      <c r="F18" s="741"/>
      <c r="G18" s="741"/>
    </row>
    <row r="19" spans="1:7" ht="13.5" outlineLevel="2" thickBot="1">
      <c r="A19" s="923" t="s">
        <v>661</v>
      </c>
      <c r="B19" s="740" t="s">
        <v>662</v>
      </c>
      <c r="C19" s="924"/>
      <c r="D19" s="925">
        <f>150*Plt_Staff!B22</f>
        <v>1050</v>
      </c>
      <c r="F19" s="741"/>
      <c r="G19" s="741"/>
    </row>
    <row r="20" spans="1:7" ht="13.5" outlineLevel="2" thickBot="1">
      <c r="A20" s="923" t="s">
        <v>663</v>
      </c>
      <c r="B20" s="740"/>
      <c r="C20" s="924"/>
      <c r="D20" s="925">
        <v>1200</v>
      </c>
      <c r="F20" s="741"/>
      <c r="G20" s="741"/>
    </row>
    <row r="21" spans="1:7" ht="13.5" outlineLevel="2" thickBot="1">
      <c r="A21" s="923"/>
      <c r="B21" s="740"/>
      <c r="C21" s="924"/>
      <c r="D21" s="925"/>
      <c r="F21" s="741"/>
      <c r="G21" s="741"/>
    </row>
    <row r="22" spans="1:7" s="1061" customFormat="1" ht="13.5" outlineLevel="1" thickBot="1">
      <c r="A22" s="923" t="s">
        <v>664</v>
      </c>
      <c r="B22" s="740"/>
      <c r="C22" s="927" t="s">
        <v>169</v>
      </c>
      <c r="D22" s="928">
        <f>SUBTOTAL(9,D15:D20)</f>
        <v>25750</v>
      </c>
    </row>
    <row r="23" spans="1:7" s="1061" customFormat="1" ht="13.5" outlineLevel="1" thickBot="1">
      <c r="A23" s="1071" t="s">
        <v>665</v>
      </c>
      <c r="B23" s="1072"/>
      <c r="C23" s="1073"/>
      <c r="D23" s="1068"/>
    </row>
    <row r="24" spans="1:7" s="1061" customFormat="1" ht="13.5" outlineLevel="1" thickBot="1">
      <c r="A24" s="923" t="s">
        <v>666</v>
      </c>
      <c r="B24" s="740" t="s">
        <v>667</v>
      </c>
      <c r="C24" s="924"/>
      <c r="D24" s="925">
        <f>43*300</f>
        <v>12900</v>
      </c>
    </row>
    <row r="25" spans="1:7" s="1061" customFormat="1" ht="13.5" outlineLevel="1" thickBot="1">
      <c r="A25" s="923" t="s">
        <v>668</v>
      </c>
      <c r="B25" s="740" t="s">
        <v>669</v>
      </c>
      <c r="C25" s="924"/>
      <c r="D25" s="925">
        <f>800*12</f>
        <v>9600</v>
      </c>
    </row>
    <row r="26" spans="1:7" s="1061" customFormat="1" ht="13.5" outlineLevel="1" thickBot="1">
      <c r="A26" s="923" t="s">
        <v>670</v>
      </c>
      <c r="B26" s="740" t="s">
        <v>671</v>
      </c>
      <c r="C26" s="924"/>
      <c r="D26" s="925">
        <f>400*12</f>
        <v>4800</v>
      </c>
    </row>
    <row r="27" spans="1:7" s="1061" customFormat="1" ht="13.5" outlineLevel="1" thickBot="1">
      <c r="A27" s="923" t="s">
        <v>672</v>
      </c>
      <c r="B27" s="740" t="s">
        <v>673</v>
      </c>
      <c r="C27" s="924"/>
      <c r="D27" s="925">
        <v>3600</v>
      </c>
    </row>
    <row r="28" spans="1:7" s="1061" customFormat="1" ht="13.5" outlineLevel="1" thickBot="1">
      <c r="A28" s="923" t="s">
        <v>674</v>
      </c>
      <c r="B28" s="740" t="s">
        <v>675</v>
      </c>
      <c r="C28" s="924"/>
      <c r="D28" s="925"/>
    </row>
    <row r="29" spans="1:7" s="1061" customFormat="1" ht="13.5" outlineLevel="1" thickBot="1">
      <c r="A29" s="923"/>
      <c r="B29" s="740"/>
      <c r="C29" s="924"/>
      <c r="D29" s="928"/>
    </row>
    <row r="30" spans="1:7" s="1061" customFormat="1" ht="13.5" outlineLevel="1" thickBot="1">
      <c r="A30" s="923" t="s">
        <v>676</v>
      </c>
      <c r="B30" s="740"/>
      <c r="C30" s="927" t="s">
        <v>169</v>
      </c>
      <c r="D30" s="928">
        <f>SUBTOTAL(9,D24:D29)</f>
        <v>30900</v>
      </c>
    </row>
    <row r="31" spans="1:7" s="1061" customFormat="1" ht="13.5" outlineLevel="1" thickBot="1">
      <c r="A31" s="1071" t="s">
        <v>677</v>
      </c>
      <c r="B31" s="1072"/>
      <c r="C31" s="1073"/>
      <c r="D31" s="1068"/>
    </row>
    <row r="32" spans="1:7" ht="13.5" outlineLevel="2" thickBot="1">
      <c r="A32" s="923" t="s">
        <v>678</v>
      </c>
      <c r="B32" s="740"/>
      <c r="C32" s="924"/>
      <c r="D32" s="925">
        <v>2500</v>
      </c>
      <c r="F32" s="741"/>
      <c r="G32" s="741"/>
    </row>
    <row r="33" spans="1:7" ht="13.5" outlineLevel="2" thickBot="1">
      <c r="A33" s="923" t="s">
        <v>1672</v>
      </c>
      <c r="B33" s="740" t="s">
        <v>679</v>
      </c>
      <c r="C33" s="924"/>
      <c r="D33" s="925">
        <v>30000</v>
      </c>
      <c r="F33" s="741"/>
      <c r="G33" s="741"/>
    </row>
    <row r="34" spans="1:7" ht="13.5" outlineLevel="2" thickBot="1">
      <c r="A34" s="923" t="s">
        <v>680</v>
      </c>
      <c r="B34" s="740" t="s">
        <v>681</v>
      </c>
      <c r="C34" s="924"/>
      <c r="D34" s="925">
        <v>30000</v>
      </c>
      <c r="F34" s="741"/>
      <c r="G34" s="741"/>
    </row>
    <row r="35" spans="1:7" ht="13.5" outlineLevel="2" thickBot="1">
      <c r="A35" s="923" t="s">
        <v>682</v>
      </c>
      <c r="B35" s="740" t="s">
        <v>683</v>
      </c>
      <c r="C35" s="924"/>
      <c r="D35" s="925">
        <f>2000+4*125</f>
        <v>2500</v>
      </c>
      <c r="F35" s="741"/>
      <c r="G35" s="741"/>
    </row>
    <row r="36" spans="1:7" ht="13.5" outlineLevel="2" thickBot="1">
      <c r="A36" s="923" t="s">
        <v>682</v>
      </c>
      <c r="B36" s="740" t="s">
        <v>684</v>
      </c>
      <c r="C36" s="924" t="s">
        <v>685</v>
      </c>
      <c r="D36" s="925">
        <v>0</v>
      </c>
      <c r="F36" s="741"/>
      <c r="G36" s="741"/>
    </row>
    <row r="37" spans="1:7" ht="13.5" outlineLevel="2" thickBot="1">
      <c r="A37" s="923" t="s">
        <v>686</v>
      </c>
      <c r="B37" s="740"/>
      <c r="C37" s="924"/>
      <c r="D37" s="925">
        <v>0</v>
      </c>
      <c r="F37" s="741"/>
      <c r="G37" s="741"/>
    </row>
    <row r="38" spans="1:7" ht="13.5" outlineLevel="2" thickBot="1">
      <c r="A38" s="923" t="s">
        <v>687</v>
      </c>
      <c r="D38" s="925">
        <v>7500</v>
      </c>
      <c r="F38" s="741"/>
      <c r="G38" s="741"/>
    </row>
    <row r="39" spans="1:7" ht="13.5" outlineLevel="2" thickBot="1">
      <c r="A39" s="923" t="s">
        <v>1234</v>
      </c>
      <c r="B39" s="740"/>
      <c r="C39" s="924"/>
      <c r="D39" s="925">
        <v>2000</v>
      </c>
      <c r="F39" s="741"/>
      <c r="G39" s="741"/>
    </row>
    <row r="40" spans="1:7" ht="13.5" outlineLevel="2" thickBot="1">
      <c r="A40" s="923"/>
      <c r="B40" s="740"/>
      <c r="C40" s="924"/>
      <c r="D40" s="925"/>
      <c r="F40" s="741"/>
      <c r="G40" s="741"/>
    </row>
    <row r="41" spans="1:7" s="1061" customFormat="1" ht="13.5" outlineLevel="1" thickBot="1">
      <c r="A41" s="923" t="s">
        <v>664</v>
      </c>
      <c r="B41" s="740"/>
      <c r="C41" s="927" t="s">
        <v>169</v>
      </c>
      <c r="D41" s="928">
        <f>SUBTOTAL(9,D32:D40)</f>
        <v>74500</v>
      </c>
    </row>
    <row r="42" spans="1:7" s="1061" customFormat="1" ht="13.5" outlineLevel="1" thickBot="1">
      <c r="A42" s="1071" t="s">
        <v>688</v>
      </c>
      <c r="B42" s="1072"/>
      <c r="C42" s="1073"/>
      <c r="D42" s="1068"/>
    </row>
    <row r="43" spans="1:7" ht="13.5" outlineLevel="2" thickBot="1">
      <c r="A43" s="923" t="s">
        <v>678</v>
      </c>
      <c r="B43" s="740"/>
      <c r="C43" s="924"/>
      <c r="D43" s="925">
        <v>2500</v>
      </c>
      <c r="F43" s="741"/>
      <c r="G43" s="741"/>
    </row>
    <row r="44" spans="1:7" ht="13.5" outlineLevel="2" thickBot="1">
      <c r="A44" s="923" t="s">
        <v>1672</v>
      </c>
      <c r="B44" s="740"/>
      <c r="C44" s="924"/>
      <c r="D44" s="925"/>
      <c r="F44" s="741"/>
      <c r="G44" s="741"/>
    </row>
    <row r="45" spans="1:7" ht="13.5" outlineLevel="2" thickBot="1">
      <c r="A45" s="923" t="s">
        <v>689</v>
      </c>
      <c r="B45" s="740"/>
      <c r="C45" s="924"/>
      <c r="D45" s="925">
        <v>1000</v>
      </c>
      <c r="F45" s="741"/>
      <c r="G45" s="741"/>
    </row>
    <row r="46" spans="1:7" ht="13.5" outlineLevel="2" thickBot="1">
      <c r="A46" s="923" t="s">
        <v>690</v>
      </c>
      <c r="B46" s="740"/>
      <c r="C46" s="924"/>
      <c r="D46" s="925">
        <v>4000</v>
      </c>
      <c r="F46" s="741"/>
      <c r="G46" s="741"/>
    </row>
    <row r="47" spans="1:7" ht="13.5" outlineLevel="2" thickBot="1">
      <c r="A47" s="923" t="s">
        <v>682</v>
      </c>
      <c r="B47" s="740" t="s">
        <v>691</v>
      </c>
      <c r="C47" s="924"/>
      <c r="D47" s="925">
        <f>2000+4*125</f>
        <v>2500</v>
      </c>
      <c r="F47" s="741"/>
      <c r="G47" s="741"/>
    </row>
    <row r="48" spans="1:7" ht="13.5" outlineLevel="2" thickBot="1">
      <c r="A48" s="923" t="s">
        <v>682</v>
      </c>
      <c r="B48" s="740" t="s">
        <v>692</v>
      </c>
      <c r="C48" s="924"/>
      <c r="D48" s="925"/>
      <c r="F48" s="741"/>
      <c r="G48" s="741"/>
    </row>
    <row r="49" spans="1:7" ht="13.5" outlineLevel="2" thickBot="1">
      <c r="A49" s="923" t="s">
        <v>693</v>
      </c>
      <c r="B49" s="740"/>
      <c r="C49" s="924"/>
      <c r="D49" s="925"/>
      <c r="F49" s="741"/>
      <c r="G49" s="741"/>
    </row>
    <row r="50" spans="1:7" s="1061" customFormat="1" ht="13.5" outlineLevel="1" thickBot="1">
      <c r="A50" s="923" t="s">
        <v>664</v>
      </c>
      <c r="B50" s="740"/>
      <c r="C50" s="927" t="s">
        <v>169</v>
      </c>
      <c r="D50" s="928">
        <f>SUBTOTAL(9,D43:D49)</f>
        <v>10000</v>
      </c>
    </row>
    <row r="51" spans="1:7" s="1061" customFormat="1" ht="13.5" outlineLevel="1" thickBot="1">
      <c r="A51" s="1071" t="s">
        <v>694</v>
      </c>
      <c r="B51" s="1072"/>
      <c r="C51" s="1073"/>
      <c r="D51" s="1068"/>
    </row>
    <row r="52" spans="1:7" ht="13.5" outlineLevel="2" thickBot="1">
      <c r="A52" s="923" t="s">
        <v>695</v>
      </c>
      <c r="B52" s="740" t="s">
        <v>696</v>
      </c>
      <c r="C52" s="924"/>
      <c r="D52" s="925">
        <f>22900*(270/414)^0.6</f>
        <v>17719.584585820732</v>
      </c>
      <c r="F52" s="741"/>
      <c r="G52" s="741"/>
    </row>
    <row r="53" spans="1:7" ht="13.5" outlineLevel="2" thickBot="1">
      <c r="A53" s="923" t="s">
        <v>697</v>
      </c>
      <c r="B53" s="741" t="s">
        <v>698</v>
      </c>
      <c r="C53" s="924"/>
      <c r="D53" s="925"/>
      <c r="F53" s="741"/>
      <c r="G53" s="741"/>
    </row>
    <row r="54" spans="1:7" ht="13.5" outlineLevel="2" thickBot="1">
      <c r="A54" s="923" t="s">
        <v>699</v>
      </c>
      <c r="B54" s="740"/>
      <c r="C54" s="924"/>
      <c r="D54" s="925"/>
      <c r="F54" s="741"/>
      <c r="G54" s="741"/>
    </row>
    <row r="55" spans="1:7" ht="13.5" outlineLevel="2" thickBot="1">
      <c r="A55" s="923" t="s">
        <v>682</v>
      </c>
      <c r="B55" s="740"/>
      <c r="C55" s="924"/>
      <c r="D55" s="925"/>
      <c r="F55" s="741"/>
      <c r="G55" s="741"/>
    </row>
    <row r="56" spans="1:7" ht="13.5" outlineLevel="2" thickBot="1">
      <c r="A56" s="923" t="s">
        <v>700</v>
      </c>
      <c r="B56" s="740"/>
      <c r="C56" s="924"/>
      <c r="D56" s="925"/>
      <c r="F56" s="741"/>
      <c r="G56" s="741"/>
    </row>
    <row r="57" spans="1:7" ht="13.5" outlineLevel="2" thickBot="1">
      <c r="A57" s="923" t="s">
        <v>701</v>
      </c>
      <c r="B57" s="740"/>
      <c r="C57" s="924"/>
      <c r="D57" s="925"/>
      <c r="F57" s="741"/>
      <c r="G57" s="741"/>
    </row>
    <row r="58" spans="1:7" ht="13.5" outlineLevel="2" thickBot="1">
      <c r="A58" s="923" t="s">
        <v>702</v>
      </c>
      <c r="B58" s="740"/>
      <c r="C58" s="924"/>
      <c r="D58" s="925"/>
      <c r="F58" s="741"/>
      <c r="G58" s="741"/>
    </row>
    <row r="59" spans="1:7" ht="13.5" outlineLevel="2" thickBot="1">
      <c r="A59" s="923" t="s">
        <v>703</v>
      </c>
      <c r="B59" s="740"/>
      <c r="C59" s="924"/>
      <c r="D59" s="925"/>
      <c r="F59" s="741"/>
      <c r="G59" s="741"/>
    </row>
    <row r="60" spans="1:7" ht="13.5" outlineLevel="2" thickBot="1">
      <c r="A60" s="923"/>
      <c r="B60" s="740"/>
      <c r="C60" s="924"/>
      <c r="D60" s="925"/>
      <c r="F60" s="741"/>
      <c r="G60" s="741"/>
    </row>
    <row r="61" spans="1:7" s="1061" customFormat="1" ht="13.5" outlineLevel="1" thickBot="1">
      <c r="A61" s="923" t="s">
        <v>704</v>
      </c>
      <c r="B61" s="740"/>
      <c r="C61" s="927" t="s">
        <v>169</v>
      </c>
      <c r="D61" s="928">
        <f>SUBTOTAL(9,D52:D60)</f>
        <v>17719.584585820732</v>
      </c>
    </row>
    <row r="62" spans="1:7" s="1061" customFormat="1" ht="13.5" outlineLevel="1" thickBot="1">
      <c r="A62" s="1071" t="s">
        <v>1667</v>
      </c>
      <c r="B62" s="1072"/>
      <c r="C62" s="1073"/>
      <c r="D62" s="1068"/>
    </row>
    <row r="63" spans="1:7" ht="13.5" outlineLevel="2" thickBot="1">
      <c r="A63" s="923" t="s">
        <v>705</v>
      </c>
      <c r="B63" s="740" t="s">
        <v>706</v>
      </c>
      <c r="C63" s="924"/>
      <c r="D63" s="925">
        <v>6000</v>
      </c>
      <c r="F63" s="741"/>
      <c r="G63" s="741"/>
    </row>
    <row r="64" spans="1:7" ht="13.5" outlineLevel="2" thickBot="1">
      <c r="A64" s="923" t="s">
        <v>707</v>
      </c>
      <c r="B64" s="740" t="s">
        <v>708</v>
      </c>
      <c r="C64" s="924"/>
      <c r="D64" s="925">
        <v>3000</v>
      </c>
      <c r="F64" s="741"/>
      <c r="G64" s="741"/>
    </row>
    <row r="65" spans="1:7" ht="13.5" outlineLevel="2" thickBot="1">
      <c r="A65" s="923" t="s">
        <v>709</v>
      </c>
      <c r="B65" s="740" t="s">
        <v>710</v>
      </c>
      <c r="C65" s="924"/>
      <c r="D65" s="925">
        <f>120*12</f>
        <v>1440</v>
      </c>
      <c r="F65" s="741"/>
      <c r="G65" s="741"/>
    </row>
    <row r="66" spans="1:7" ht="13.5" outlineLevel="2" thickBot="1">
      <c r="A66" s="923" t="s">
        <v>682</v>
      </c>
      <c r="B66" s="741" t="s">
        <v>711</v>
      </c>
      <c r="C66" s="924"/>
      <c r="D66" s="925">
        <f>40*100</f>
        <v>4000</v>
      </c>
      <c r="F66" s="741"/>
      <c r="G66" s="741"/>
    </row>
    <row r="67" spans="1:7" ht="13.5" outlineLevel="2" thickBot="1">
      <c r="A67" s="740" t="s">
        <v>209</v>
      </c>
      <c r="B67" s="741" t="s">
        <v>712</v>
      </c>
      <c r="C67" s="924"/>
      <c r="D67" s="925">
        <v>0</v>
      </c>
      <c r="F67" s="741"/>
      <c r="G67" s="741"/>
    </row>
    <row r="68" spans="1:7" ht="13.5" outlineLevel="2" thickBot="1">
      <c r="A68" s="740" t="s">
        <v>212</v>
      </c>
      <c r="B68" s="741" t="s">
        <v>712</v>
      </c>
      <c r="C68" s="924"/>
      <c r="D68" s="925">
        <v>0</v>
      </c>
      <c r="F68" s="741"/>
      <c r="G68" s="741"/>
    </row>
    <row r="69" spans="1:7" ht="13.5" outlineLevel="2" thickBot="1">
      <c r="A69" s="740" t="s">
        <v>713</v>
      </c>
      <c r="C69" s="924"/>
      <c r="D69" s="925">
        <v>1200</v>
      </c>
      <c r="F69" s="741"/>
      <c r="G69" s="741"/>
    </row>
    <row r="70" spans="1:7" ht="13.5" outlineLevel="2" thickBot="1">
      <c r="A70" s="740" t="s">
        <v>211</v>
      </c>
      <c r="B70" s="741" t="s">
        <v>712</v>
      </c>
      <c r="C70" s="924"/>
      <c r="D70" s="925">
        <v>0</v>
      </c>
      <c r="F70" s="741"/>
      <c r="G70" s="741"/>
    </row>
    <row r="71" spans="1:7" ht="13.5" outlineLevel="2" thickBot="1">
      <c r="A71" s="741" t="s">
        <v>714</v>
      </c>
      <c r="B71" s="741" t="s">
        <v>715</v>
      </c>
      <c r="C71" s="924"/>
      <c r="D71" s="925">
        <f>4*1000+8*150</f>
        <v>5200</v>
      </c>
      <c r="F71" s="741"/>
      <c r="G71" s="741"/>
    </row>
    <row r="72" spans="1:7" ht="13.5" hidden="1" outlineLevel="2" thickBot="1">
      <c r="A72" s="923" t="s">
        <v>224</v>
      </c>
      <c r="B72" s="740"/>
      <c r="C72" s="924"/>
      <c r="D72" s="925"/>
      <c r="F72" s="741"/>
      <c r="G72" s="741"/>
    </row>
    <row r="73" spans="1:7" ht="13.5" outlineLevel="2" thickBot="1">
      <c r="A73" s="740" t="s">
        <v>716</v>
      </c>
      <c r="B73" s="740" t="s">
        <v>717</v>
      </c>
      <c r="C73" s="924"/>
      <c r="D73" s="925">
        <v>0</v>
      </c>
      <c r="F73" s="741"/>
      <c r="G73" s="741"/>
    </row>
    <row r="74" spans="1:7" ht="13.5" hidden="1" outlineLevel="2" thickBot="1">
      <c r="A74" s="740" t="s">
        <v>668</v>
      </c>
      <c r="B74" s="740"/>
      <c r="C74" s="924"/>
      <c r="D74" s="925"/>
      <c r="F74" s="741"/>
      <c r="G74" s="741"/>
    </row>
    <row r="75" spans="1:7" ht="13.5" outlineLevel="2" thickBot="1">
      <c r="A75" s="923" t="s">
        <v>686</v>
      </c>
      <c r="B75" s="740" t="s">
        <v>718</v>
      </c>
      <c r="C75" s="924"/>
      <c r="D75" s="925">
        <v>3000</v>
      </c>
      <c r="F75" s="741"/>
      <c r="G75" s="741"/>
    </row>
    <row r="76" spans="1:7" ht="13.5" outlineLevel="2" thickBot="1">
      <c r="A76" s="923" t="s">
        <v>719</v>
      </c>
      <c r="B76" s="740"/>
      <c r="C76" s="924"/>
      <c r="D76" s="925">
        <v>1200</v>
      </c>
      <c r="F76" s="741"/>
      <c r="G76" s="741"/>
    </row>
    <row r="77" spans="1:7" ht="13.5" outlineLevel="2" thickBot="1">
      <c r="A77" s="923" t="s">
        <v>702</v>
      </c>
      <c r="B77" s="740"/>
      <c r="C77" s="924"/>
      <c r="D77" s="925">
        <v>2000</v>
      </c>
      <c r="F77" s="741"/>
      <c r="G77" s="741"/>
    </row>
    <row r="78" spans="1:7" ht="13.5" outlineLevel="2" thickBot="1">
      <c r="A78" s="923" t="s">
        <v>720</v>
      </c>
      <c r="B78" s="740" t="s">
        <v>721</v>
      </c>
      <c r="C78" s="924"/>
      <c r="D78" s="925">
        <v>1800</v>
      </c>
      <c r="F78" s="741"/>
      <c r="G78" s="741"/>
    </row>
    <row r="79" spans="1:7" ht="13.5" outlineLevel="2" thickBot="1">
      <c r="A79" s="923" t="s">
        <v>722</v>
      </c>
      <c r="B79" s="740" t="s">
        <v>723</v>
      </c>
      <c r="C79" s="924"/>
      <c r="D79" s="925">
        <v>1000</v>
      </c>
      <c r="F79" s="741"/>
      <c r="G79" s="741"/>
    </row>
    <row r="80" spans="1:7" ht="13.5" outlineLevel="2" thickBot="1">
      <c r="A80" s="923" t="s">
        <v>724</v>
      </c>
      <c r="B80" s="740" t="s">
        <v>725</v>
      </c>
      <c r="C80" s="924"/>
      <c r="D80" s="925">
        <v>1500</v>
      </c>
      <c r="F80" s="741"/>
      <c r="G80" s="741"/>
    </row>
    <row r="81" spans="1:7" ht="13.5" outlineLevel="2" thickBot="1">
      <c r="A81" s="923" t="s">
        <v>726</v>
      </c>
      <c r="B81" s="740"/>
      <c r="C81" s="924"/>
      <c r="D81" s="925"/>
      <c r="F81" s="741"/>
      <c r="G81" s="741"/>
    </row>
    <row r="82" spans="1:7" ht="13.5" outlineLevel="2" thickBot="1">
      <c r="A82" s="923" t="s">
        <v>727</v>
      </c>
      <c r="B82" s="740"/>
      <c r="C82" s="924"/>
      <c r="D82" s="925">
        <v>2000</v>
      </c>
      <c r="F82" s="741"/>
      <c r="G82" s="741"/>
    </row>
    <row r="83" spans="1:7" ht="13.5" outlineLevel="2" thickBot="1">
      <c r="A83" s="923" t="s">
        <v>728</v>
      </c>
      <c r="B83" s="740"/>
      <c r="C83" s="924"/>
      <c r="D83" s="925">
        <v>2200</v>
      </c>
      <c r="F83" s="741"/>
      <c r="G83" s="741"/>
    </row>
    <row r="84" spans="1:7" ht="13.5" outlineLevel="2" thickBot="1">
      <c r="A84" s="923" t="s">
        <v>729</v>
      </c>
      <c r="B84" s="740" t="s">
        <v>730</v>
      </c>
      <c r="C84" s="924"/>
      <c r="D84" s="925">
        <v>0</v>
      </c>
      <c r="F84" s="741"/>
      <c r="G84" s="741"/>
    </row>
    <row r="85" spans="1:7" ht="13.5" outlineLevel="2" thickBot="1">
      <c r="A85" s="923" t="s">
        <v>731</v>
      </c>
      <c r="B85" s="740"/>
      <c r="C85" s="924"/>
      <c r="D85" s="925">
        <v>2500</v>
      </c>
      <c r="F85" s="741"/>
      <c r="G85" s="741"/>
    </row>
    <row r="86" spans="1:7" ht="13.5" outlineLevel="2" thickBot="1">
      <c r="A86" s="923" t="s">
        <v>732</v>
      </c>
      <c r="B86" s="740"/>
      <c r="C86" s="924"/>
      <c r="D86" s="925">
        <v>0</v>
      </c>
      <c r="F86" s="741"/>
      <c r="G86" s="741"/>
    </row>
    <row r="87" spans="1:7" ht="13.5" outlineLevel="2" thickBot="1">
      <c r="A87" s="923" t="s">
        <v>733</v>
      </c>
      <c r="B87" s="740" t="s">
        <v>734</v>
      </c>
      <c r="C87" s="924"/>
      <c r="D87" s="925">
        <f>2*600*12</f>
        <v>14400</v>
      </c>
      <c r="F87" s="741"/>
      <c r="G87" s="741"/>
    </row>
    <row r="88" spans="1:7" ht="13.5" outlineLevel="2" thickBot="1">
      <c r="A88" s="923" t="s">
        <v>735</v>
      </c>
      <c r="B88" s="740" t="s">
        <v>736</v>
      </c>
      <c r="C88" s="924"/>
      <c r="D88" s="925">
        <v>1000</v>
      </c>
      <c r="F88" s="741"/>
      <c r="G88" s="741"/>
    </row>
    <row r="89" spans="1:7" ht="13.5" outlineLevel="2" thickBot="1">
      <c r="A89" s="923" t="s">
        <v>737</v>
      </c>
      <c r="B89" s="740" t="s">
        <v>738</v>
      </c>
      <c r="C89" s="924"/>
      <c r="D89" s="925">
        <f>SUM(D290:D296)</f>
        <v>3140</v>
      </c>
      <c r="F89" s="741"/>
      <c r="G89" s="741"/>
    </row>
    <row r="90" spans="1:7" ht="13.5" outlineLevel="2" thickBot="1">
      <c r="A90" s="923" t="s">
        <v>739</v>
      </c>
      <c r="B90" s="740" t="s">
        <v>85</v>
      </c>
      <c r="C90" s="924"/>
      <c r="D90" s="925">
        <f>D298</f>
        <v>0</v>
      </c>
      <c r="F90" s="741"/>
      <c r="G90" s="741"/>
    </row>
    <row r="91" spans="1:7" ht="13.5" outlineLevel="2" thickBot="1">
      <c r="A91" s="923"/>
      <c r="B91" s="740"/>
      <c r="C91" s="924"/>
      <c r="D91" s="925"/>
      <c r="F91" s="741"/>
      <c r="G91" s="741"/>
    </row>
    <row r="92" spans="1:7" s="1061" customFormat="1" ht="13.5" outlineLevel="1" thickBot="1">
      <c r="A92" s="923"/>
      <c r="B92" s="740"/>
      <c r="C92" s="927" t="s">
        <v>169</v>
      </c>
      <c r="D92" s="928">
        <f>SUBTOTAL(9,D63:D91)</f>
        <v>56580</v>
      </c>
    </row>
    <row r="93" spans="1:7" s="1061" customFormat="1" ht="13.5" outlineLevel="1" thickBot="1">
      <c r="A93" s="1071" t="s">
        <v>1668</v>
      </c>
      <c r="B93" s="1072"/>
      <c r="C93" s="1073"/>
      <c r="D93" s="1068"/>
    </row>
    <row r="94" spans="1:7" ht="13.5" outlineLevel="2" thickBot="1">
      <c r="A94" s="923" t="s">
        <v>740</v>
      </c>
      <c r="B94" s="740" t="s">
        <v>706</v>
      </c>
      <c r="C94" s="924"/>
      <c r="D94" s="925">
        <v>6000</v>
      </c>
      <c r="F94" s="741"/>
      <c r="G94" s="741"/>
    </row>
    <row r="95" spans="1:7" ht="13.5" outlineLevel="2" thickBot="1">
      <c r="A95" s="923" t="s">
        <v>741</v>
      </c>
      <c r="B95" s="740" t="s">
        <v>742</v>
      </c>
      <c r="C95" s="924"/>
      <c r="D95" s="925">
        <v>3600</v>
      </c>
      <c r="F95" s="741"/>
      <c r="G95" s="741"/>
    </row>
    <row r="96" spans="1:7" ht="13.5" outlineLevel="2" thickBot="1">
      <c r="A96" s="923" t="s">
        <v>246</v>
      </c>
      <c r="B96" s="740" t="s">
        <v>743</v>
      </c>
      <c r="C96" s="924"/>
      <c r="D96" s="925">
        <f>6*5*12</f>
        <v>360</v>
      </c>
      <c r="F96" s="741"/>
      <c r="G96" s="741"/>
    </row>
    <row r="97" spans="1:10" s="1061" customFormat="1" ht="13.5" outlineLevel="1" thickBot="1">
      <c r="A97" s="923"/>
      <c r="B97" s="740"/>
      <c r="C97" s="927" t="s">
        <v>169</v>
      </c>
      <c r="D97" s="928">
        <f>SUBTOTAL(9,D94:D96)</f>
        <v>9960</v>
      </c>
    </row>
    <row r="98" spans="1:10" s="1061" customFormat="1" ht="13.5" outlineLevel="1" thickBot="1">
      <c r="A98" s="1071" t="s">
        <v>1008</v>
      </c>
      <c r="B98" s="1072"/>
      <c r="C98" s="1073"/>
      <c r="D98" s="1068"/>
    </row>
    <row r="99" spans="1:10" ht="13.5" outlineLevel="2" thickBot="1">
      <c r="A99" s="799" t="s">
        <v>304</v>
      </c>
      <c r="B99" s="762" t="s">
        <v>191</v>
      </c>
      <c r="C99" s="796"/>
      <c r="D99" s="908">
        <f>200*Plt_Staff!B22</f>
        <v>1400</v>
      </c>
      <c r="E99" s="753"/>
      <c r="F99" s="753"/>
      <c r="G99" s="741"/>
      <c r="H99" s="753"/>
      <c r="I99" s="753"/>
      <c r="J99" s="753"/>
    </row>
    <row r="100" spans="1:10" ht="13.5" outlineLevel="2" thickBot="1">
      <c r="A100" s="799" t="s">
        <v>307</v>
      </c>
      <c r="B100" s="762" t="s">
        <v>308</v>
      </c>
      <c r="C100" s="796"/>
      <c r="D100" s="908">
        <v>400</v>
      </c>
      <c r="E100" s="753"/>
      <c r="F100" s="753"/>
      <c r="G100" s="753"/>
      <c r="H100" s="753"/>
      <c r="I100" s="753"/>
      <c r="J100" s="753"/>
    </row>
    <row r="101" spans="1:10" ht="13.5" outlineLevel="2" thickBot="1">
      <c r="A101" s="799" t="s">
        <v>309</v>
      </c>
      <c r="B101" s="762" t="s">
        <v>310</v>
      </c>
      <c r="C101" s="796"/>
      <c r="D101" s="908">
        <f ca="1">F101*'O&amp;M_Estimate'!G47</f>
        <v>2737.1914240118986</v>
      </c>
      <c r="E101" s="753"/>
      <c r="F101" s="753">
        <f>1500/1000000</f>
        <v>1.5E-3</v>
      </c>
      <c r="G101" s="753" t="s">
        <v>306</v>
      </c>
      <c r="H101" s="753"/>
      <c r="I101" s="753"/>
      <c r="J101" s="753"/>
    </row>
    <row r="102" spans="1:10" ht="13.5" outlineLevel="2" thickBot="1">
      <c r="A102" s="923"/>
      <c r="B102" s="740"/>
      <c r="C102" s="924"/>
      <c r="D102" s="925"/>
      <c r="F102" s="741"/>
      <c r="G102" s="741"/>
    </row>
    <row r="103" spans="1:10" s="1061" customFormat="1" ht="13.5" outlineLevel="1" thickBot="1">
      <c r="A103" s="923" t="s">
        <v>744</v>
      </c>
      <c r="B103" s="740"/>
      <c r="C103" s="927" t="s">
        <v>169</v>
      </c>
      <c r="D103" s="928">
        <f ca="1">SUBTOTAL(9,D99:D102)</f>
        <v>4537.1914240118986</v>
      </c>
    </row>
    <row r="104" spans="1:10" s="1061" customFormat="1" ht="13.5" outlineLevel="1" thickBot="1">
      <c r="A104" s="1071" t="s">
        <v>745</v>
      </c>
      <c r="B104" s="1072"/>
      <c r="C104" s="1073"/>
      <c r="D104" s="1068"/>
    </row>
    <row r="105" spans="1:10" ht="13.5" outlineLevel="2" thickBot="1">
      <c r="A105" s="923" t="s">
        <v>682</v>
      </c>
      <c r="B105" s="740" t="s">
        <v>746</v>
      </c>
      <c r="C105" s="924"/>
      <c r="D105" s="925">
        <v>2400</v>
      </c>
      <c r="F105" s="741"/>
      <c r="G105" s="741"/>
    </row>
    <row r="106" spans="1:10" ht="13.5" outlineLevel="2" thickBot="1">
      <c r="A106" s="923" t="s">
        <v>747</v>
      </c>
      <c r="B106" s="740"/>
      <c r="C106" s="924"/>
      <c r="D106" s="925">
        <v>2000</v>
      </c>
      <c r="F106" s="741"/>
      <c r="G106" s="741"/>
    </row>
    <row r="107" spans="1:10" ht="13.5" outlineLevel="2" thickBot="1">
      <c r="A107" s="923" t="s">
        <v>748</v>
      </c>
      <c r="B107" s="740"/>
      <c r="C107" s="924"/>
      <c r="D107" s="925"/>
      <c r="F107" s="741"/>
      <c r="G107" s="741"/>
    </row>
    <row r="108" spans="1:10" ht="13.5" outlineLevel="2" thickBot="1">
      <c r="A108" s="923" t="s">
        <v>749</v>
      </c>
      <c r="B108" s="740"/>
      <c r="C108" s="924"/>
      <c r="D108" s="925">
        <v>1000</v>
      </c>
      <c r="F108" s="741"/>
      <c r="G108" s="741"/>
    </row>
    <row r="109" spans="1:10" ht="13.5" outlineLevel="2" thickBot="1">
      <c r="A109" s="923" t="s">
        <v>750</v>
      </c>
      <c r="B109" s="740"/>
      <c r="C109" s="924"/>
      <c r="D109" s="925"/>
      <c r="F109" s="741"/>
      <c r="G109" s="741"/>
    </row>
    <row r="110" spans="1:10" ht="13.5" outlineLevel="2" thickBot="1">
      <c r="A110" s="923" t="s">
        <v>686</v>
      </c>
      <c r="B110" s="740"/>
      <c r="C110" s="924"/>
      <c r="D110" s="925"/>
      <c r="F110" s="741"/>
      <c r="G110" s="741"/>
    </row>
    <row r="111" spans="1:10" ht="13.5" outlineLevel="2" thickBot="1">
      <c r="A111" s="923" t="s">
        <v>297</v>
      </c>
      <c r="B111" s="740" t="s">
        <v>751</v>
      </c>
      <c r="C111" s="924"/>
      <c r="D111" s="925">
        <f>0.05*0.75*D105</f>
        <v>90.000000000000014</v>
      </c>
      <c r="F111" s="741"/>
      <c r="G111" s="741"/>
    </row>
    <row r="112" spans="1:10" ht="13.5" outlineLevel="2" thickBot="1">
      <c r="A112" s="923"/>
      <c r="B112" s="740"/>
      <c r="C112" s="924"/>
      <c r="D112" s="925"/>
      <c r="F112" s="741"/>
      <c r="G112" s="741"/>
    </row>
    <row r="113" spans="1:7" s="1061" customFormat="1" ht="13.5" outlineLevel="1" thickBot="1">
      <c r="A113" s="923" t="s">
        <v>752</v>
      </c>
      <c r="B113" s="740"/>
      <c r="C113" s="927" t="s">
        <v>169</v>
      </c>
      <c r="D113" s="928">
        <f>SUBTOTAL(9,D105:D112)</f>
        <v>5490</v>
      </c>
    </row>
    <row r="114" spans="1:7" s="1061" customFormat="1" ht="13.5" outlineLevel="1" thickBot="1">
      <c r="A114" s="1071" t="s">
        <v>753</v>
      </c>
      <c r="B114" s="1072"/>
      <c r="C114" s="1073"/>
      <c r="D114" s="1068"/>
    </row>
    <row r="115" spans="1:7" ht="13.5" outlineLevel="2" thickBot="1">
      <c r="A115" s="923" t="s">
        <v>1674</v>
      </c>
      <c r="B115" s="740" t="s">
        <v>312</v>
      </c>
      <c r="C115" s="924"/>
      <c r="D115" s="925">
        <f>1*350*30</f>
        <v>10500</v>
      </c>
      <c r="F115" s="741"/>
      <c r="G115" s="741"/>
    </row>
    <row r="116" spans="1:7" ht="13.5" outlineLevel="2" thickBot="1">
      <c r="A116" s="923" t="s">
        <v>313</v>
      </c>
      <c r="B116" s="740" t="s">
        <v>754</v>
      </c>
      <c r="C116" s="924"/>
      <c r="D116" s="925">
        <f>1*125*30</f>
        <v>3750</v>
      </c>
      <c r="F116" s="741"/>
      <c r="G116" s="741"/>
    </row>
    <row r="117" spans="1:7" ht="13.5" outlineLevel="2" thickBot="1">
      <c r="A117" s="923" t="s">
        <v>315</v>
      </c>
      <c r="B117" s="740" t="s">
        <v>755</v>
      </c>
      <c r="C117" s="924"/>
      <c r="D117" s="925">
        <v>1000</v>
      </c>
      <c r="F117" s="741"/>
      <c r="G117" s="741"/>
    </row>
    <row r="118" spans="1:7" ht="13.5" outlineLevel="2" thickBot="1">
      <c r="A118" s="923" t="s">
        <v>756</v>
      </c>
      <c r="B118" s="740" t="s">
        <v>757</v>
      </c>
      <c r="C118" s="924"/>
      <c r="D118" s="925">
        <v>0</v>
      </c>
      <c r="F118" s="741"/>
      <c r="G118" s="741"/>
    </row>
    <row r="119" spans="1:7" ht="13.5" outlineLevel="2" thickBot="1">
      <c r="A119" s="923"/>
      <c r="B119" s="740"/>
      <c r="C119" s="924"/>
      <c r="D119" s="925"/>
      <c r="F119" s="741"/>
      <c r="G119" s="741"/>
    </row>
    <row r="120" spans="1:7" s="1061" customFormat="1" ht="13.5" outlineLevel="1" thickBot="1">
      <c r="A120" s="923" t="s">
        <v>758</v>
      </c>
      <c r="B120" s="740"/>
      <c r="C120" s="927" t="s">
        <v>169</v>
      </c>
      <c r="D120" s="928">
        <f>SUBTOTAL(9,D115:D118)</f>
        <v>15250</v>
      </c>
    </row>
    <row r="121" spans="1:7" s="1061" customFormat="1" ht="13.5" outlineLevel="1" thickBot="1">
      <c r="A121" s="1071" t="s">
        <v>759</v>
      </c>
      <c r="B121" s="1072"/>
      <c r="C121" s="1073"/>
      <c r="D121" s="1068"/>
    </row>
    <row r="122" spans="1:7" ht="13.5" outlineLevel="2" thickBot="1">
      <c r="A122" s="923" t="s">
        <v>682</v>
      </c>
      <c r="B122" s="740"/>
      <c r="C122" s="924"/>
      <c r="D122" s="925">
        <v>0</v>
      </c>
      <c r="F122" s="741"/>
      <c r="G122" s="741"/>
    </row>
    <row r="123" spans="1:7" ht="13.5" outlineLevel="2" thickBot="1">
      <c r="A123" s="923" t="s">
        <v>760</v>
      </c>
      <c r="B123" s="740"/>
      <c r="C123" s="1074"/>
      <c r="D123" s="925">
        <v>1870</v>
      </c>
      <c r="F123" s="742"/>
    </row>
    <row r="124" spans="1:7" ht="13.5" outlineLevel="2" thickBot="1">
      <c r="A124" s="923" t="s">
        <v>761</v>
      </c>
      <c r="B124" s="740" t="s">
        <v>762</v>
      </c>
      <c r="C124" s="1075"/>
      <c r="D124" s="925">
        <f>0.3/1000*6*60*60*1800</f>
        <v>11664</v>
      </c>
      <c r="F124" s="741"/>
      <c r="G124" s="741"/>
    </row>
    <row r="125" spans="1:7" ht="13.5" outlineLevel="2" thickBot="1">
      <c r="A125" s="923" t="s">
        <v>763</v>
      </c>
      <c r="C125" s="1075"/>
      <c r="D125" s="925"/>
      <c r="F125" s="741"/>
      <c r="G125" s="741"/>
    </row>
    <row r="126" spans="1:7" ht="13.5" outlineLevel="2" thickBot="1">
      <c r="A126" s="923" t="s">
        <v>764</v>
      </c>
      <c r="B126" s="740" t="s">
        <v>765</v>
      </c>
      <c r="C126" s="1075"/>
      <c r="D126" s="925">
        <v>31726</v>
      </c>
      <c r="F126" s="741"/>
      <c r="G126" s="741"/>
    </row>
    <row r="127" spans="1:7" ht="13.5" outlineLevel="2" thickBot="1">
      <c r="A127" s="923" t="s">
        <v>766</v>
      </c>
      <c r="B127" s="740"/>
      <c r="C127" s="1075"/>
      <c r="D127" s="925"/>
      <c r="F127" s="741"/>
      <c r="G127" s="741"/>
    </row>
    <row r="128" spans="1:7" ht="13.5" outlineLevel="2" thickBot="1">
      <c r="A128" s="923" t="s">
        <v>767</v>
      </c>
      <c r="B128" s="740"/>
      <c r="C128" s="924"/>
      <c r="D128" s="925">
        <v>41578</v>
      </c>
      <c r="F128" s="741"/>
      <c r="G128" s="741"/>
    </row>
    <row r="129" spans="1:7" ht="13.5" outlineLevel="2" thickBot="1">
      <c r="A129" s="923" t="s">
        <v>768</v>
      </c>
      <c r="B129" s="740" t="s">
        <v>757</v>
      </c>
      <c r="C129" s="924"/>
      <c r="D129" s="925"/>
      <c r="F129" s="741"/>
      <c r="G129" s="741"/>
    </row>
    <row r="130" spans="1:7" ht="13.5" outlineLevel="2" thickBot="1">
      <c r="A130" s="923" t="s">
        <v>769</v>
      </c>
      <c r="B130" s="740" t="s">
        <v>770</v>
      </c>
      <c r="C130" s="924"/>
      <c r="D130" s="925">
        <v>0</v>
      </c>
      <c r="F130" s="741"/>
      <c r="G130" s="741"/>
    </row>
    <row r="131" spans="1:7" ht="13.5" outlineLevel="2" thickBot="1">
      <c r="A131" s="923" t="s">
        <v>771</v>
      </c>
      <c r="B131" s="740" t="s">
        <v>772</v>
      </c>
      <c r="C131" s="924"/>
      <c r="D131" s="925"/>
      <c r="F131" s="741"/>
      <c r="G131" s="741"/>
    </row>
    <row r="132" spans="1:7" ht="13.5" outlineLevel="2" thickBot="1">
      <c r="A132" s="923" t="s">
        <v>773</v>
      </c>
      <c r="B132" s="740"/>
      <c r="C132" s="924"/>
      <c r="D132" s="925">
        <v>2000</v>
      </c>
      <c r="F132" s="741"/>
      <c r="G132" s="741"/>
    </row>
    <row r="133" spans="1:7" ht="13.5" outlineLevel="2" thickBot="1">
      <c r="A133" s="923" t="s">
        <v>774</v>
      </c>
      <c r="B133" s="740" t="s">
        <v>775</v>
      </c>
      <c r="C133" s="924"/>
      <c r="D133" s="925">
        <v>15000</v>
      </c>
      <c r="F133" s="741"/>
      <c r="G133" s="741"/>
    </row>
    <row r="134" spans="1:7" ht="13.5" outlineLevel="2" thickBot="1">
      <c r="A134" s="923" t="s">
        <v>776</v>
      </c>
      <c r="B134" s="740" t="s">
        <v>777</v>
      </c>
      <c r="C134" s="924"/>
      <c r="D134" s="925">
        <f>0.05*SUM(D123:D132)</f>
        <v>4441.9000000000005</v>
      </c>
      <c r="F134" s="741"/>
      <c r="G134" s="741"/>
    </row>
    <row r="135" spans="1:7" ht="13.5" outlineLevel="2" thickBot="1">
      <c r="A135" s="923"/>
      <c r="B135" s="740"/>
      <c r="C135" s="924"/>
      <c r="D135" s="925"/>
      <c r="F135" s="741"/>
      <c r="G135" s="741"/>
    </row>
    <row r="136" spans="1:7" s="1061" customFormat="1" ht="13.5" outlineLevel="1" thickBot="1">
      <c r="A136" s="923" t="s">
        <v>778</v>
      </c>
      <c r="B136" s="740"/>
      <c r="C136" s="927" t="s">
        <v>169</v>
      </c>
      <c r="D136" s="928">
        <f>SUBTOTAL(9,D122:D135)</f>
        <v>108279.9</v>
      </c>
    </row>
    <row r="137" spans="1:7" s="1061" customFormat="1" ht="13.5" outlineLevel="1" thickBot="1">
      <c r="A137" s="1071" t="s">
        <v>1333</v>
      </c>
      <c r="B137" s="1072"/>
      <c r="C137" s="1073"/>
      <c r="D137" s="1068"/>
    </row>
    <row r="138" spans="1:7" ht="13.5" outlineLevel="2" thickBot="1">
      <c r="A138" s="923" t="s">
        <v>779</v>
      </c>
      <c r="B138" s="741" t="s">
        <v>780</v>
      </c>
      <c r="C138" s="924"/>
      <c r="D138" s="925">
        <f>70000*(270/414)^0.6</f>
        <v>54164.669039626686</v>
      </c>
      <c r="F138" s="741"/>
      <c r="G138" s="741"/>
    </row>
    <row r="139" spans="1:7" ht="13.5" outlineLevel="2" thickBot="1">
      <c r="A139" s="923" t="s">
        <v>682</v>
      </c>
      <c r="B139" s="740" t="s">
        <v>696</v>
      </c>
      <c r="C139" s="924"/>
      <c r="D139" s="925"/>
      <c r="F139" s="741"/>
      <c r="G139" s="741"/>
    </row>
    <row r="140" spans="1:7" ht="13.5" outlineLevel="2" thickBot="1">
      <c r="A140" s="923" t="s">
        <v>781</v>
      </c>
      <c r="B140" s="285"/>
      <c r="C140" s="924"/>
      <c r="D140" s="925"/>
      <c r="F140" s="741"/>
      <c r="G140" s="741"/>
    </row>
    <row r="141" spans="1:7" ht="13.5" outlineLevel="2" thickBot="1">
      <c r="A141" s="923" t="s">
        <v>782</v>
      </c>
      <c r="B141" s="740"/>
      <c r="C141" s="924"/>
      <c r="D141" s="925"/>
      <c r="G141" s="741"/>
    </row>
    <row r="142" spans="1:7" ht="13.5" outlineLevel="2" thickBot="1">
      <c r="A142" s="923" t="s">
        <v>1449</v>
      </c>
      <c r="B142" s="740"/>
      <c r="C142" s="924"/>
      <c r="D142" s="925"/>
      <c r="F142" s="741"/>
      <c r="G142" s="741"/>
    </row>
    <row r="143" spans="1:7" ht="13.5" outlineLevel="2" thickBot="1">
      <c r="A143" s="923"/>
      <c r="B143" s="740"/>
      <c r="C143" s="924"/>
      <c r="D143" s="925"/>
      <c r="F143" s="741"/>
      <c r="G143" s="741"/>
    </row>
    <row r="144" spans="1:7" s="1061" customFormat="1" ht="13.5" outlineLevel="1" thickBot="1">
      <c r="A144" s="923" t="s">
        <v>783</v>
      </c>
      <c r="B144" s="740"/>
      <c r="C144" s="927" t="s">
        <v>169</v>
      </c>
      <c r="D144" s="928">
        <f>SUBTOTAL(9,D138:D143)</f>
        <v>54164.669039626686</v>
      </c>
      <c r="F144" s="741"/>
    </row>
    <row r="145" spans="1:7" s="1061" customFormat="1" ht="13.5" outlineLevel="1" thickBot="1">
      <c r="A145" s="1071" t="s">
        <v>784</v>
      </c>
      <c r="B145" s="1072"/>
      <c r="C145" s="1073"/>
      <c r="D145" s="1068"/>
    </row>
    <row r="146" spans="1:7" ht="13.5" outlineLevel="2" thickBot="1">
      <c r="A146" s="923" t="s">
        <v>785</v>
      </c>
      <c r="B146" s="740" t="s">
        <v>786</v>
      </c>
      <c r="C146" s="924" t="s">
        <v>787</v>
      </c>
      <c r="D146" s="925">
        <f>6*3375</f>
        <v>20250</v>
      </c>
      <c r="F146" s="741"/>
      <c r="G146" s="741"/>
    </row>
    <row r="147" spans="1:7" ht="13.5" outlineLevel="2" thickBot="1">
      <c r="A147" s="923" t="s">
        <v>788</v>
      </c>
      <c r="B147" s="740"/>
      <c r="D147" s="925"/>
      <c r="F147" s="741"/>
      <c r="G147" s="741"/>
    </row>
    <row r="148" spans="1:7" ht="13.5" outlineLevel="2" thickBot="1">
      <c r="A148" s="923" t="s">
        <v>682</v>
      </c>
      <c r="B148" s="285"/>
      <c r="C148" s="924"/>
      <c r="D148" s="925"/>
      <c r="F148" s="741"/>
      <c r="G148" s="741"/>
    </row>
    <row r="149" spans="1:7" ht="13.5" outlineLevel="2" thickBot="1">
      <c r="A149" s="923" t="s">
        <v>781</v>
      </c>
      <c r="B149" s="740"/>
      <c r="C149" s="924"/>
      <c r="D149" s="925"/>
      <c r="F149" s="741"/>
      <c r="G149" s="741"/>
    </row>
    <row r="150" spans="1:7" ht="13.5" outlineLevel="2" thickBot="1">
      <c r="A150" s="923" t="s">
        <v>782</v>
      </c>
      <c r="B150" s="740"/>
      <c r="C150" s="924"/>
      <c r="D150" s="925"/>
      <c r="F150" s="741"/>
      <c r="G150" s="741"/>
    </row>
    <row r="151" spans="1:7" ht="13.5" outlineLevel="2" thickBot="1">
      <c r="A151" s="923" t="s">
        <v>1449</v>
      </c>
      <c r="B151" s="740"/>
      <c r="C151" s="924"/>
      <c r="D151" s="925"/>
      <c r="F151" s="741"/>
      <c r="G151" s="741"/>
    </row>
    <row r="152" spans="1:7" ht="13.5" outlineLevel="2" thickBot="1">
      <c r="A152" s="923" t="s">
        <v>297</v>
      </c>
      <c r="B152" s="740" t="s">
        <v>751</v>
      </c>
      <c r="C152" s="924"/>
      <c r="D152" s="925">
        <f>0.05*0.75*D146</f>
        <v>759.37500000000011</v>
      </c>
      <c r="F152" s="741"/>
      <c r="G152" s="741"/>
    </row>
    <row r="153" spans="1:7" ht="13.5" outlineLevel="2" thickBot="1">
      <c r="A153" s="923"/>
      <c r="B153" s="740"/>
      <c r="C153" s="924"/>
      <c r="D153" s="925"/>
      <c r="F153" s="741"/>
      <c r="G153" s="741"/>
    </row>
    <row r="154" spans="1:7" s="1061" customFormat="1" ht="13.5" outlineLevel="1" thickBot="1">
      <c r="A154" s="923" t="s">
        <v>789</v>
      </c>
      <c r="B154" s="740"/>
      <c r="C154" s="927" t="s">
        <v>169</v>
      </c>
      <c r="D154" s="928">
        <f>SUBTOTAL(9,D146:D153)</f>
        <v>21009.375</v>
      </c>
    </row>
    <row r="155" spans="1:7" s="1061" customFormat="1" ht="13.5" outlineLevel="1" thickBot="1">
      <c r="A155" s="1071" t="s">
        <v>790</v>
      </c>
      <c r="B155" s="1072"/>
      <c r="C155" s="1073"/>
      <c r="D155" s="1068"/>
    </row>
    <row r="156" spans="1:7" ht="13.5" outlineLevel="2" thickBot="1">
      <c r="A156" s="923" t="s">
        <v>785</v>
      </c>
      <c r="B156" s="740" t="s">
        <v>791</v>
      </c>
      <c r="C156" s="924"/>
      <c r="D156" s="925">
        <f>9816*(156000/180000)^0.6</f>
        <v>9008.3614967338126</v>
      </c>
      <c r="F156" s="741">
        <f>52*6*60*8.3</f>
        <v>155376</v>
      </c>
      <c r="G156" s="741"/>
    </row>
    <row r="157" spans="1:7" ht="13.5" outlineLevel="2" thickBot="1">
      <c r="A157" s="923" t="s">
        <v>788</v>
      </c>
      <c r="B157" s="740" t="s">
        <v>792</v>
      </c>
      <c r="C157" s="924"/>
      <c r="D157" s="925"/>
      <c r="F157" s="741"/>
      <c r="G157" s="741"/>
    </row>
    <row r="158" spans="1:7" ht="13.5" outlineLevel="2" thickBot="1">
      <c r="A158" s="923" t="s">
        <v>682</v>
      </c>
      <c r="B158" s="285"/>
      <c r="C158" s="924"/>
      <c r="D158" s="925"/>
      <c r="F158" s="741"/>
      <c r="G158" s="741"/>
    </row>
    <row r="159" spans="1:7" ht="13.5" outlineLevel="2" thickBot="1">
      <c r="A159" s="923" t="s">
        <v>793</v>
      </c>
      <c r="B159" s="740" t="s">
        <v>794</v>
      </c>
      <c r="C159" s="924"/>
      <c r="D159" s="925"/>
      <c r="F159" s="741"/>
      <c r="G159" s="741"/>
    </row>
    <row r="160" spans="1:7" ht="13.5" outlineLevel="2" thickBot="1">
      <c r="A160" s="923" t="s">
        <v>782</v>
      </c>
      <c r="B160" s="740"/>
      <c r="C160" s="924"/>
      <c r="D160" s="925"/>
      <c r="F160" s="741"/>
      <c r="G160" s="741"/>
    </row>
    <row r="161" spans="1:7" ht="13.5" outlineLevel="2" thickBot="1">
      <c r="A161" s="923" t="s">
        <v>1449</v>
      </c>
      <c r="B161" s="740"/>
      <c r="C161" s="924"/>
      <c r="D161" s="925"/>
      <c r="F161" s="741"/>
      <c r="G161" s="741"/>
    </row>
    <row r="162" spans="1:7" ht="13.5" outlineLevel="2" thickBot="1">
      <c r="A162" s="923" t="s">
        <v>297</v>
      </c>
      <c r="B162" s="740" t="s">
        <v>751</v>
      </c>
      <c r="C162" s="924"/>
      <c r="D162" s="925">
        <f>0.05*0.75*(D158+D156)</f>
        <v>337.81355612751804</v>
      </c>
      <c r="F162" s="741"/>
      <c r="G162" s="741"/>
    </row>
    <row r="163" spans="1:7" s="1061" customFormat="1" ht="13.5" outlineLevel="1" thickBot="1">
      <c r="A163" s="923" t="s">
        <v>789</v>
      </c>
      <c r="B163" s="740"/>
      <c r="C163" s="927" t="s">
        <v>169</v>
      </c>
      <c r="D163" s="928">
        <f>SUBTOTAL(9,D156:D162)</f>
        <v>9346.1750528613302</v>
      </c>
    </row>
    <row r="164" spans="1:7" s="1061" customFormat="1" ht="13.5" outlineLevel="1" thickBot="1">
      <c r="A164" s="1071" t="s">
        <v>795</v>
      </c>
      <c r="B164" s="1072"/>
      <c r="C164" s="1073"/>
      <c r="D164" s="1068"/>
    </row>
    <row r="165" spans="1:7" ht="13.5" outlineLevel="2" thickBot="1">
      <c r="A165" s="923" t="s">
        <v>785</v>
      </c>
      <c r="B165" s="740" t="s">
        <v>796</v>
      </c>
      <c r="C165" s="924"/>
      <c r="D165" s="925">
        <f>179000*(270/414)^0.6*0.6</f>
        <v>83104.077926512953</v>
      </c>
      <c r="F165" s="741"/>
      <c r="G165" s="741"/>
    </row>
    <row r="166" spans="1:7" ht="13.5" outlineLevel="2" thickBot="1">
      <c r="A166" s="923" t="s">
        <v>788</v>
      </c>
      <c r="B166" s="740" t="s">
        <v>797</v>
      </c>
      <c r="C166" s="924"/>
      <c r="D166" s="925"/>
      <c r="F166" s="741"/>
      <c r="G166" s="741"/>
    </row>
    <row r="167" spans="1:7" ht="13.5" outlineLevel="2" thickBot="1">
      <c r="A167" s="923" t="s">
        <v>682</v>
      </c>
      <c r="B167" s="285" t="s">
        <v>798</v>
      </c>
      <c r="C167" s="924"/>
      <c r="D167" s="925"/>
      <c r="F167" s="741"/>
      <c r="G167" s="741"/>
    </row>
    <row r="168" spans="1:7" ht="13.5" outlineLevel="2" thickBot="1">
      <c r="A168" s="923" t="s">
        <v>793</v>
      </c>
      <c r="B168" s="740"/>
      <c r="C168" s="924"/>
      <c r="D168" s="925"/>
      <c r="F168" s="741"/>
      <c r="G168" s="741"/>
    </row>
    <row r="169" spans="1:7" ht="13.5" outlineLevel="2" thickBot="1">
      <c r="A169" s="923" t="s">
        <v>782</v>
      </c>
      <c r="B169" s="740"/>
      <c r="C169" s="924"/>
      <c r="D169" s="925"/>
      <c r="F169" s="741"/>
      <c r="G169" s="741"/>
    </row>
    <row r="170" spans="1:7" ht="13.5" outlineLevel="2" thickBot="1">
      <c r="A170" s="923" t="s">
        <v>1449</v>
      </c>
      <c r="B170" s="740"/>
      <c r="C170" s="924"/>
      <c r="D170" s="925"/>
      <c r="F170" s="741"/>
      <c r="G170" s="741"/>
    </row>
    <row r="171" spans="1:7" ht="13.5" outlineLevel="2" thickBot="1">
      <c r="A171" s="923" t="s">
        <v>297</v>
      </c>
      <c r="B171" s="740" t="s">
        <v>751</v>
      </c>
      <c r="C171" s="924"/>
      <c r="D171" s="925">
        <f>0.05*0.75*D165</f>
        <v>3116.4029222442364</v>
      </c>
      <c r="F171" s="741"/>
      <c r="G171" s="741"/>
    </row>
    <row r="172" spans="1:7" ht="13.5" outlineLevel="2" thickBot="1">
      <c r="A172" s="923"/>
      <c r="B172" s="740"/>
      <c r="C172" s="924"/>
      <c r="D172" s="925"/>
      <c r="F172" s="741"/>
      <c r="G172" s="741"/>
    </row>
    <row r="173" spans="1:7" s="1061" customFormat="1" ht="13.5" outlineLevel="1" thickBot="1">
      <c r="A173" s="923" t="s">
        <v>783</v>
      </c>
      <c r="B173" s="740"/>
      <c r="C173" s="927" t="s">
        <v>169</v>
      </c>
      <c r="D173" s="928">
        <f>SUBTOTAL(9,D165:D172)</f>
        <v>86220.480848757186</v>
      </c>
    </row>
    <row r="174" spans="1:7" s="1061" customFormat="1" ht="13.5" outlineLevel="1" thickBot="1">
      <c r="A174" s="1071" t="s">
        <v>799</v>
      </c>
      <c r="B174" s="1072"/>
      <c r="C174" s="1073"/>
      <c r="D174" s="1068"/>
    </row>
    <row r="175" spans="1:7" ht="13.5" outlineLevel="2" thickBot="1">
      <c r="A175" s="923" t="s">
        <v>785</v>
      </c>
      <c r="B175" s="740" t="s">
        <v>800</v>
      </c>
      <c r="C175" s="924"/>
      <c r="D175" s="925">
        <f>94000*0.25+0.75*94000*(6/4.5)*(46.5/104)^0.6</f>
        <v>81493.540307842952</v>
      </c>
      <c r="F175" s="741"/>
      <c r="G175" s="741"/>
    </row>
    <row r="176" spans="1:7" ht="13.5" outlineLevel="2" thickBot="1">
      <c r="A176" s="923" t="s">
        <v>801</v>
      </c>
      <c r="B176" s="740" t="s">
        <v>802</v>
      </c>
      <c r="C176" s="924"/>
      <c r="D176" s="925"/>
      <c r="F176" s="741"/>
      <c r="G176" s="741"/>
    </row>
    <row r="177" spans="1:7" ht="13.5" outlineLevel="2" thickBot="1">
      <c r="A177" s="923" t="s">
        <v>788</v>
      </c>
      <c r="B177" s="740" t="s">
        <v>803</v>
      </c>
      <c r="C177" s="924"/>
      <c r="D177" s="925"/>
      <c r="F177" s="741"/>
      <c r="G177" s="741"/>
    </row>
    <row r="178" spans="1:7" ht="13.5" outlineLevel="2" thickBot="1">
      <c r="A178" s="923" t="s">
        <v>682</v>
      </c>
      <c r="B178" s="740" t="s">
        <v>804</v>
      </c>
      <c r="C178" s="924"/>
      <c r="D178" s="925"/>
      <c r="F178" s="741"/>
      <c r="G178" s="741"/>
    </row>
    <row r="179" spans="1:7" ht="13.5" outlineLevel="2" thickBot="1">
      <c r="A179" s="923" t="s">
        <v>793</v>
      </c>
      <c r="B179" s="740" t="s">
        <v>805</v>
      </c>
      <c r="C179" s="924"/>
      <c r="D179" s="925"/>
      <c r="F179" s="741"/>
      <c r="G179" s="741"/>
    </row>
    <row r="180" spans="1:7" ht="13.5" outlineLevel="2" thickBot="1">
      <c r="A180" s="923" t="s">
        <v>782</v>
      </c>
      <c r="B180" s="740"/>
      <c r="C180" s="924"/>
      <c r="D180" s="1076"/>
      <c r="F180" s="741"/>
      <c r="G180" s="741"/>
    </row>
    <row r="181" spans="1:7" ht="13.5" outlineLevel="2" thickBot="1">
      <c r="A181" s="923" t="s">
        <v>1449</v>
      </c>
      <c r="B181" s="740"/>
      <c r="C181" s="924"/>
      <c r="D181" s="925"/>
      <c r="F181" s="741"/>
      <c r="G181" s="741"/>
    </row>
    <row r="182" spans="1:7" ht="13.5" outlineLevel="2" thickBot="1">
      <c r="A182" s="923" t="s">
        <v>297</v>
      </c>
      <c r="B182" s="740" t="s">
        <v>806</v>
      </c>
      <c r="C182" s="924"/>
      <c r="D182" s="925">
        <f>0.05*0.11*D175</f>
        <v>448.21447169313626</v>
      </c>
      <c r="F182" s="741"/>
      <c r="G182" s="741"/>
    </row>
    <row r="183" spans="1:7" ht="13.5" outlineLevel="2" thickBot="1">
      <c r="A183" s="923"/>
      <c r="B183" s="740"/>
      <c r="C183" s="924"/>
      <c r="D183" s="925"/>
      <c r="F183" s="741"/>
      <c r="G183" s="741"/>
    </row>
    <row r="184" spans="1:7" s="1061" customFormat="1" ht="13.5" outlineLevel="1" thickBot="1">
      <c r="A184" s="923" t="s">
        <v>783</v>
      </c>
      <c r="B184" s="740"/>
      <c r="C184" s="927" t="s">
        <v>169</v>
      </c>
      <c r="D184" s="928">
        <f>SUBTOTAL(9,D175:D183)</f>
        <v>81941.754779536088</v>
      </c>
    </row>
    <row r="185" spans="1:7" s="1061" customFormat="1" ht="13.5" outlineLevel="1" thickBot="1">
      <c r="A185" s="1071" t="s">
        <v>807</v>
      </c>
      <c r="B185" s="1072"/>
      <c r="C185" s="1073"/>
      <c r="D185" s="1068"/>
    </row>
    <row r="186" spans="1:7" ht="13.5" outlineLevel="2" thickBot="1">
      <c r="A186" s="923" t="s">
        <v>785</v>
      </c>
      <c r="B186" s="1077" t="s">
        <v>808</v>
      </c>
      <c r="C186" s="924" t="s">
        <v>787</v>
      </c>
      <c r="D186" s="925">
        <f>6*35000</f>
        <v>210000</v>
      </c>
      <c r="F186" s="741"/>
      <c r="G186" s="741"/>
    </row>
    <row r="187" spans="1:7" ht="13.5" outlineLevel="2" thickBot="1">
      <c r="A187" s="923" t="s">
        <v>788</v>
      </c>
      <c r="B187" s="741" t="s">
        <v>809</v>
      </c>
      <c r="C187" s="924" t="s">
        <v>810</v>
      </c>
      <c r="D187" s="925">
        <f>22000/2000*1800*6</f>
        <v>118800</v>
      </c>
      <c r="F187" s="741"/>
      <c r="G187" s="741"/>
    </row>
    <row r="188" spans="1:7" ht="13.5" outlineLevel="2" thickBot="1">
      <c r="A188" s="923" t="s">
        <v>682</v>
      </c>
      <c r="B188" s="740" t="s">
        <v>811</v>
      </c>
      <c r="C188" s="924"/>
      <c r="D188" s="925"/>
      <c r="F188" s="741"/>
      <c r="G188" s="741"/>
    </row>
    <row r="189" spans="1:7" ht="13.5" outlineLevel="2" thickBot="1">
      <c r="A189" s="923" t="s">
        <v>793</v>
      </c>
      <c r="B189" s="740" t="s">
        <v>812</v>
      </c>
      <c r="C189" s="924"/>
      <c r="D189" s="925"/>
      <c r="F189" s="741"/>
      <c r="G189" s="741"/>
    </row>
    <row r="190" spans="1:7" ht="13.5" outlineLevel="2" thickBot="1">
      <c r="A190" s="923" t="s">
        <v>813</v>
      </c>
      <c r="B190" s="285" t="s">
        <v>814</v>
      </c>
      <c r="C190" s="924"/>
      <c r="D190" s="925"/>
      <c r="F190" s="741" t="s">
        <v>815</v>
      </c>
      <c r="G190" s="741"/>
    </row>
    <row r="191" spans="1:7" ht="13.5" outlineLevel="2" thickBot="1">
      <c r="A191" s="923" t="s">
        <v>1449</v>
      </c>
      <c r="B191" s="740" t="s">
        <v>816</v>
      </c>
      <c r="C191" s="924"/>
      <c r="D191" s="925"/>
      <c r="F191" s="741"/>
      <c r="G191" s="741"/>
    </row>
    <row r="192" spans="1:7" ht="13.5" outlineLevel="2" thickBot="1">
      <c r="A192" s="923" t="s">
        <v>297</v>
      </c>
      <c r="B192" s="740" t="s">
        <v>751</v>
      </c>
      <c r="C192" s="924"/>
      <c r="D192" s="925">
        <f>0.05*0.75*(D187+D186)</f>
        <v>12330.000000000002</v>
      </c>
      <c r="F192" s="741"/>
      <c r="G192" s="741"/>
    </row>
    <row r="193" spans="1:7" ht="13.5" outlineLevel="2" thickBot="1">
      <c r="A193" s="923"/>
      <c r="B193" s="740"/>
      <c r="C193" s="924"/>
      <c r="D193" s="925"/>
      <c r="F193" s="741"/>
      <c r="G193" s="741"/>
    </row>
    <row r="194" spans="1:7" s="1061" customFormat="1" ht="13.5" outlineLevel="1" thickBot="1">
      <c r="A194" s="923" t="s">
        <v>817</v>
      </c>
      <c r="B194" s="740"/>
      <c r="C194" s="927" t="s">
        <v>169</v>
      </c>
      <c r="D194" s="928">
        <f>SUBTOTAL(9,D186:D193)</f>
        <v>341130</v>
      </c>
    </row>
    <row r="195" spans="1:7" s="1061" customFormat="1" ht="13.5" outlineLevel="1" thickBot="1">
      <c r="A195" s="1071" t="s">
        <v>818</v>
      </c>
      <c r="B195" s="1072"/>
      <c r="C195" s="1073"/>
      <c r="D195" s="1068"/>
    </row>
    <row r="196" spans="1:7" ht="13.5" outlineLevel="2" thickBot="1">
      <c r="A196" s="923" t="s">
        <v>819</v>
      </c>
      <c r="C196" s="924"/>
      <c r="D196" s="925">
        <v>0</v>
      </c>
      <c r="F196" s="741">
        <f>337000/3*(47/104)^0.6</f>
        <v>69750.505167877549</v>
      </c>
      <c r="G196" s="741"/>
    </row>
    <row r="197" spans="1:7" ht="13.5" outlineLevel="2" thickBot="1">
      <c r="A197" s="923" t="s">
        <v>820</v>
      </c>
      <c r="B197" s="741" t="s">
        <v>821</v>
      </c>
      <c r="C197" s="924"/>
      <c r="D197" s="925">
        <v>0</v>
      </c>
      <c r="F197" s="741"/>
      <c r="G197" s="741"/>
    </row>
    <row r="198" spans="1:7" ht="13.5" outlineLevel="2" thickBot="1">
      <c r="A198" s="923" t="s">
        <v>822</v>
      </c>
      <c r="B198" s="740"/>
      <c r="C198" s="924"/>
      <c r="D198" s="925">
        <v>0</v>
      </c>
      <c r="F198" s="741"/>
      <c r="G198" s="741"/>
    </row>
    <row r="199" spans="1:7" ht="13.5" outlineLevel="2" thickBot="1">
      <c r="A199" s="923" t="s">
        <v>823</v>
      </c>
      <c r="B199" s="1078" t="s">
        <v>824</v>
      </c>
      <c r="C199" s="924"/>
      <c r="D199" s="925">
        <v>0</v>
      </c>
      <c r="F199" s="741"/>
      <c r="G199" s="741"/>
    </row>
    <row r="200" spans="1:7" ht="13.5" outlineLevel="2" thickBot="1">
      <c r="A200" s="923" t="s">
        <v>825</v>
      </c>
      <c r="B200" s="285"/>
      <c r="C200" s="924"/>
      <c r="D200" s="925">
        <v>0</v>
      </c>
      <c r="F200" s="741"/>
      <c r="G200" s="741"/>
    </row>
    <row r="201" spans="1:7" ht="13.5" outlineLevel="2" thickBot="1">
      <c r="A201" s="923" t="s">
        <v>826</v>
      </c>
      <c r="B201" s="740" t="s">
        <v>827</v>
      </c>
      <c r="C201" s="924"/>
      <c r="D201" s="925">
        <v>0</v>
      </c>
      <c r="F201" s="741"/>
      <c r="G201" s="741"/>
    </row>
    <row r="202" spans="1:7" ht="13.5" outlineLevel="2" thickBot="1">
      <c r="A202" s="923" t="s">
        <v>828</v>
      </c>
      <c r="B202" s="740" t="s">
        <v>829</v>
      </c>
      <c r="C202" s="924"/>
      <c r="D202" s="925">
        <v>0</v>
      </c>
      <c r="F202" s="741"/>
      <c r="G202" s="741"/>
    </row>
    <row r="203" spans="1:7" ht="13.5" outlineLevel="2" thickBot="1">
      <c r="A203" s="923" t="s">
        <v>297</v>
      </c>
      <c r="B203" s="740"/>
      <c r="C203" s="924"/>
      <c r="D203" s="925">
        <f>0.05*0.75*SUM(D196:D201)</f>
        <v>0</v>
      </c>
      <c r="F203" s="741"/>
      <c r="G203" s="741"/>
    </row>
    <row r="204" spans="1:7" ht="13.5" outlineLevel="2" thickBot="1">
      <c r="A204" s="923"/>
      <c r="B204" s="740"/>
      <c r="C204" s="924"/>
      <c r="D204" s="925"/>
      <c r="F204" s="741"/>
      <c r="G204" s="741"/>
    </row>
    <row r="205" spans="1:7" s="1061" customFormat="1" ht="13.5" outlineLevel="1" thickBot="1">
      <c r="A205" s="923" t="s">
        <v>830</v>
      </c>
      <c r="B205" s="740"/>
      <c r="C205" s="927" t="s">
        <v>169</v>
      </c>
      <c r="D205" s="928">
        <f>SUBTOTAL(9,D196:D204)</f>
        <v>0</v>
      </c>
    </row>
    <row r="206" spans="1:7" s="1061" customFormat="1" ht="13.5" outlineLevel="1" thickBot="1">
      <c r="A206" s="1071" t="s">
        <v>831</v>
      </c>
      <c r="B206" s="1072"/>
      <c r="C206" s="1073"/>
      <c r="D206" s="1068"/>
    </row>
    <row r="207" spans="1:7" ht="13.5" outlineLevel="2" thickBot="1">
      <c r="A207" s="923" t="s">
        <v>832</v>
      </c>
      <c r="B207" s="740"/>
      <c r="C207" s="924"/>
      <c r="D207" s="925">
        <v>0</v>
      </c>
      <c r="F207" s="741"/>
      <c r="G207" s="741"/>
    </row>
    <row r="208" spans="1:7" ht="13.5" outlineLevel="2" thickBot="1">
      <c r="A208" s="923" t="s">
        <v>788</v>
      </c>
      <c r="B208" s="740"/>
      <c r="C208" s="924"/>
      <c r="D208" s="925"/>
      <c r="F208" s="741"/>
      <c r="G208" s="741"/>
    </row>
    <row r="209" spans="1:7" ht="13.5" outlineLevel="2" thickBot="1">
      <c r="A209" s="923" t="s">
        <v>682</v>
      </c>
      <c r="B209" s="285"/>
      <c r="C209" s="924"/>
      <c r="D209" s="925"/>
      <c r="F209" s="741"/>
      <c r="G209" s="741"/>
    </row>
    <row r="210" spans="1:7" ht="13.5" outlineLevel="2" thickBot="1">
      <c r="A210" s="923" t="s">
        <v>833</v>
      </c>
      <c r="B210" s="740"/>
      <c r="C210" s="924"/>
      <c r="D210" s="925"/>
      <c r="F210" s="741"/>
      <c r="G210" s="741"/>
    </row>
    <row r="211" spans="1:7" ht="13.5" outlineLevel="2" thickBot="1">
      <c r="A211" s="923" t="s">
        <v>782</v>
      </c>
      <c r="B211" s="740"/>
      <c r="C211" s="924"/>
      <c r="D211" s="925"/>
      <c r="F211" s="741"/>
      <c r="G211" s="741"/>
    </row>
    <row r="212" spans="1:7" ht="13.5" outlineLevel="2" thickBot="1">
      <c r="A212" s="923" t="s">
        <v>1449</v>
      </c>
      <c r="B212" s="1078" t="s">
        <v>824</v>
      </c>
      <c r="C212" s="924"/>
      <c r="D212" s="925"/>
      <c r="F212" s="741"/>
      <c r="G212" s="741"/>
    </row>
    <row r="213" spans="1:7" ht="13.5" outlineLevel="2" thickBot="1">
      <c r="A213" s="923" t="s">
        <v>834</v>
      </c>
      <c r="B213" s="740"/>
      <c r="C213" s="924"/>
      <c r="D213" s="925"/>
      <c r="F213" s="741"/>
      <c r="G213" s="741"/>
    </row>
    <row r="214" spans="1:7" ht="13.5" outlineLevel="2" thickBot="1">
      <c r="A214" s="923" t="s">
        <v>297</v>
      </c>
      <c r="B214" s="740"/>
      <c r="C214" s="924"/>
      <c r="D214" s="925">
        <f>0.01*0.75*D207</f>
        <v>0</v>
      </c>
      <c r="F214" s="741"/>
      <c r="G214" s="741"/>
    </row>
    <row r="215" spans="1:7" ht="13.5" outlineLevel="2" thickBot="1">
      <c r="A215" s="923"/>
      <c r="B215" s="740"/>
      <c r="C215" s="924"/>
      <c r="D215" s="925"/>
      <c r="F215" s="741"/>
      <c r="G215" s="741"/>
    </row>
    <row r="216" spans="1:7" s="1061" customFormat="1" ht="13.5" outlineLevel="1" thickBot="1">
      <c r="A216" s="923"/>
      <c r="B216" s="740"/>
      <c r="C216" s="927" t="s">
        <v>169</v>
      </c>
      <c r="D216" s="928">
        <f>SUBTOTAL(9,D207:D215)</f>
        <v>0</v>
      </c>
    </row>
    <row r="217" spans="1:7" s="1061" customFormat="1" ht="13.5" outlineLevel="1" thickBot="1">
      <c r="A217" s="1071" t="s">
        <v>835</v>
      </c>
      <c r="B217" s="1072"/>
      <c r="C217" s="1073"/>
      <c r="D217" s="1068"/>
    </row>
    <row r="218" spans="1:7" ht="13.5" outlineLevel="2" thickBot="1">
      <c r="A218" s="923" t="s">
        <v>785</v>
      </c>
      <c r="B218" s="740"/>
      <c r="C218" s="924"/>
      <c r="D218" s="925">
        <v>1850</v>
      </c>
      <c r="F218" s="741"/>
      <c r="G218" s="741"/>
    </row>
    <row r="219" spans="1:7" ht="13.5" outlineLevel="2" thickBot="1">
      <c r="A219" s="923" t="s">
        <v>788</v>
      </c>
      <c r="B219" s="740"/>
      <c r="C219" s="924"/>
      <c r="D219" s="925"/>
      <c r="F219" s="741"/>
      <c r="G219" s="741"/>
    </row>
    <row r="220" spans="1:7" ht="13.5" outlineLevel="2" thickBot="1">
      <c r="A220" s="923" t="s">
        <v>682</v>
      </c>
      <c r="B220" s="740"/>
      <c r="C220" s="924"/>
      <c r="D220" s="925"/>
      <c r="F220" s="741"/>
      <c r="G220" s="741"/>
    </row>
    <row r="221" spans="1:7" ht="13.5" outlineLevel="2" thickBot="1">
      <c r="A221" s="923" t="s">
        <v>793</v>
      </c>
      <c r="B221" s="740"/>
      <c r="C221" s="924"/>
      <c r="D221" s="925"/>
      <c r="F221" s="741"/>
      <c r="G221" s="741"/>
    </row>
    <row r="222" spans="1:7" ht="13.5" outlineLevel="2" thickBot="1">
      <c r="A222" s="923" t="s">
        <v>782</v>
      </c>
      <c r="B222" s="1078"/>
      <c r="C222" s="924"/>
      <c r="D222" s="925"/>
      <c r="F222" s="741"/>
      <c r="G222" s="741"/>
    </row>
    <row r="223" spans="1:7" ht="13.5" outlineLevel="2" thickBot="1">
      <c r="A223" s="923" t="s">
        <v>1449</v>
      </c>
      <c r="B223" s="740"/>
      <c r="C223" s="924"/>
      <c r="D223" s="925"/>
      <c r="F223" s="741"/>
      <c r="G223" s="741"/>
    </row>
    <row r="224" spans="1:7" ht="13.5" outlineLevel="2" thickBot="1">
      <c r="A224" s="923" t="s">
        <v>297</v>
      </c>
      <c r="B224" s="740"/>
      <c r="C224" s="924"/>
      <c r="D224" s="925">
        <f>0.05*0.75*D218</f>
        <v>69.375000000000014</v>
      </c>
      <c r="F224" s="741"/>
      <c r="G224" s="741"/>
    </row>
    <row r="225" spans="1:7" ht="13.5" outlineLevel="2" thickBot="1">
      <c r="A225" s="923"/>
      <c r="B225" s="740"/>
      <c r="C225" s="924"/>
      <c r="D225" s="925"/>
      <c r="F225" s="741"/>
      <c r="G225" s="741"/>
    </row>
    <row r="226" spans="1:7" s="1061" customFormat="1" ht="13.5" outlineLevel="1" thickBot="1">
      <c r="A226" s="923" t="s">
        <v>830</v>
      </c>
      <c r="B226" s="740"/>
      <c r="C226" s="927" t="s">
        <v>169</v>
      </c>
      <c r="D226" s="928">
        <f>SUBTOTAL(9,D218:D225)</f>
        <v>1919.375</v>
      </c>
    </row>
    <row r="227" spans="1:7" s="1061" customFormat="1" ht="13.5" outlineLevel="1" thickBot="1">
      <c r="A227" s="1071" t="s">
        <v>836</v>
      </c>
      <c r="B227" s="1072"/>
      <c r="C227" s="1073"/>
      <c r="D227" s="1068"/>
    </row>
    <row r="228" spans="1:7" ht="13.5" outlineLevel="2" thickBot="1">
      <c r="A228" s="923" t="s">
        <v>785</v>
      </c>
      <c r="B228" s="740" t="s">
        <v>837</v>
      </c>
      <c r="C228" s="924"/>
      <c r="D228" s="925">
        <v>2500</v>
      </c>
      <c r="F228" s="741"/>
      <c r="G228" s="741"/>
    </row>
    <row r="229" spans="1:7" ht="13.5" outlineLevel="2" thickBot="1">
      <c r="A229" s="923" t="s">
        <v>788</v>
      </c>
      <c r="B229" s="740" t="s">
        <v>838</v>
      </c>
      <c r="C229" s="924"/>
      <c r="D229" s="925">
        <v>30000</v>
      </c>
      <c r="F229" s="741"/>
      <c r="G229" s="741"/>
    </row>
    <row r="230" spans="1:7" ht="13.5" outlineLevel="2" thickBot="1">
      <c r="A230" s="923" t="s">
        <v>682</v>
      </c>
      <c r="B230" s="740"/>
      <c r="C230" s="924"/>
      <c r="D230" s="925"/>
      <c r="F230" s="741"/>
      <c r="G230" s="741"/>
    </row>
    <row r="231" spans="1:7" ht="13.5" outlineLevel="2" thickBot="1">
      <c r="A231" s="923" t="s">
        <v>793</v>
      </c>
      <c r="B231" s="740"/>
      <c r="C231" s="924"/>
      <c r="D231" s="925"/>
      <c r="F231" s="741"/>
      <c r="G231" s="741"/>
    </row>
    <row r="232" spans="1:7" ht="13.5" outlineLevel="2" thickBot="1">
      <c r="A232" s="923" t="s">
        <v>782</v>
      </c>
      <c r="B232" s="740"/>
      <c r="C232" s="924"/>
      <c r="D232" s="925"/>
      <c r="F232" s="741"/>
      <c r="G232" s="741"/>
    </row>
    <row r="233" spans="1:7" ht="13.5" outlineLevel="2" thickBot="1">
      <c r="A233" s="923" t="s">
        <v>1449</v>
      </c>
      <c r="B233" s="1078"/>
      <c r="C233" s="924"/>
      <c r="D233" s="925"/>
      <c r="F233" s="741"/>
      <c r="G233" s="741"/>
    </row>
    <row r="234" spans="1:7" ht="13.5" outlineLevel="2" thickBot="1">
      <c r="A234" s="923" t="s">
        <v>297</v>
      </c>
      <c r="B234" s="740"/>
      <c r="C234" s="924"/>
      <c r="D234" s="925">
        <f>0.05*0.75*D228</f>
        <v>93.750000000000014</v>
      </c>
      <c r="F234" s="741"/>
      <c r="G234" s="741"/>
    </row>
    <row r="235" spans="1:7" ht="13.5" outlineLevel="2" thickBot="1">
      <c r="A235" s="923"/>
      <c r="B235" s="740"/>
      <c r="C235" s="924"/>
      <c r="D235" s="925"/>
      <c r="F235" s="741"/>
      <c r="G235" s="741"/>
    </row>
    <row r="236" spans="1:7" s="1061" customFormat="1" ht="13.5" outlineLevel="1" thickBot="1">
      <c r="A236" s="923" t="s">
        <v>839</v>
      </c>
      <c r="B236" s="740"/>
      <c r="C236" s="927" t="s">
        <v>169</v>
      </c>
      <c r="D236" s="928">
        <f>SUBTOTAL(9,D228:D235)</f>
        <v>32593.75</v>
      </c>
    </row>
    <row r="237" spans="1:7" s="1061" customFormat="1" ht="13.5" outlineLevel="1" thickBot="1">
      <c r="A237" s="1071" t="s">
        <v>840</v>
      </c>
      <c r="B237" s="1072"/>
      <c r="C237" s="1073"/>
      <c r="D237" s="1068"/>
    </row>
    <row r="238" spans="1:7" ht="13.5" outlineLevel="2" thickBot="1">
      <c r="A238" s="923" t="s">
        <v>841</v>
      </c>
      <c r="B238"/>
      <c r="C238" s="924"/>
      <c r="D238" s="925">
        <v>20000</v>
      </c>
      <c r="F238" s="741"/>
      <c r="G238" s="741"/>
    </row>
    <row r="239" spans="1:7" ht="13.5" hidden="1" outlineLevel="2" thickBot="1">
      <c r="A239" s="923" t="s">
        <v>842</v>
      </c>
      <c r="B239" s="740"/>
      <c r="C239" s="924"/>
      <c r="D239" s="925"/>
      <c r="F239" s="741"/>
      <c r="G239" s="741"/>
    </row>
    <row r="240" spans="1:7" ht="13.5" hidden="1" outlineLevel="2" thickBot="1">
      <c r="A240" s="923" t="s">
        <v>843</v>
      </c>
      <c r="B240" s="285"/>
      <c r="C240" s="924"/>
      <c r="D240" s="925"/>
      <c r="F240" s="741"/>
      <c r="G240" s="741"/>
    </row>
    <row r="241" spans="1:7" ht="13.5" hidden="1" outlineLevel="2" thickBot="1">
      <c r="A241" s="923" t="s">
        <v>844</v>
      </c>
      <c r="B241" s="740"/>
      <c r="C241" s="924"/>
      <c r="D241" s="925"/>
      <c r="F241" s="741"/>
      <c r="G241" s="741"/>
    </row>
    <row r="242" spans="1:7" ht="13.5" outlineLevel="2" thickBot="1">
      <c r="A242" s="923" t="s">
        <v>845</v>
      </c>
      <c r="B242" s="740"/>
      <c r="C242" s="924"/>
      <c r="D242" s="925">
        <v>6000</v>
      </c>
      <c r="F242" s="741"/>
      <c r="G242" s="741"/>
    </row>
    <row r="243" spans="1:7" ht="13.5" outlineLevel="2" thickBot="1">
      <c r="A243" s="923" t="s">
        <v>846</v>
      </c>
      <c r="B243" s="740"/>
      <c r="C243" s="924"/>
      <c r="D243" s="925">
        <v>30000</v>
      </c>
      <c r="F243" s="741"/>
      <c r="G243" s="741"/>
    </row>
    <row r="244" spans="1:7" ht="13.5" outlineLevel="2" thickBot="1">
      <c r="A244" s="923" t="s">
        <v>847</v>
      </c>
      <c r="B244" s="740"/>
      <c r="C244" s="924"/>
      <c r="D244" s="925">
        <v>11000</v>
      </c>
      <c r="F244" s="741"/>
      <c r="G244" s="741"/>
    </row>
    <row r="245" spans="1:7" ht="13.5" outlineLevel="2" thickBot="1">
      <c r="A245" s="923" t="s">
        <v>848</v>
      </c>
      <c r="B245" s="740"/>
      <c r="C245" s="924"/>
      <c r="D245" s="925">
        <v>31000</v>
      </c>
      <c r="F245" s="741"/>
      <c r="G245" s="741"/>
    </row>
    <row r="246" spans="1:7" ht="13.5" outlineLevel="2" thickBot="1">
      <c r="A246" s="923" t="s">
        <v>849</v>
      </c>
      <c r="B246" s="740"/>
      <c r="C246" s="924"/>
      <c r="D246" s="925">
        <v>10000</v>
      </c>
      <c r="F246" s="741"/>
      <c r="G246" s="741"/>
    </row>
    <row r="247" spans="1:7" ht="13.5" outlineLevel="2" thickBot="1">
      <c r="A247" s="923" t="s">
        <v>850</v>
      </c>
      <c r="B247" s="740"/>
      <c r="C247" s="924"/>
      <c r="D247" s="925">
        <v>4000</v>
      </c>
      <c r="F247" s="741"/>
      <c r="G247" s="741"/>
    </row>
    <row r="248" spans="1:7" ht="13.5" outlineLevel="2" thickBot="1">
      <c r="A248" s="923" t="s">
        <v>851</v>
      </c>
      <c r="B248" s="740"/>
      <c r="C248" s="924"/>
      <c r="D248" s="925">
        <v>5000</v>
      </c>
      <c r="F248" s="741"/>
      <c r="G248" s="741"/>
    </row>
    <row r="249" spans="1:7" ht="13.5" outlineLevel="2" thickBot="1">
      <c r="A249" s="923" t="s">
        <v>852</v>
      </c>
      <c r="B249" s="740"/>
      <c r="C249" s="924"/>
      <c r="D249" s="925">
        <v>500</v>
      </c>
      <c r="F249" s="741"/>
      <c r="G249" s="741"/>
    </row>
    <row r="250" spans="1:7" ht="13.5" outlineLevel="2" thickBot="1">
      <c r="A250" s="923" t="s">
        <v>853</v>
      </c>
      <c r="B250" s="740"/>
      <c r="C250" s="924"/>
      <c r="D250" s="925"/>
      <c r="F250" s="741"/>
      <c r="G250" s="741"/>
    </row>
    <row r="251" spans="1:7" ht="13.5" outlineLevel="2" thickBot="1">
      <c r="A251" s="923" t="s">
        <v>854</v>
      </c>
      <c r="B251" s="740"/>
      <c r="C251" s="924"/>
      <c r="D251" s="925"/>
      <c r="F251" s="741"/>
      <c r="G251" s="741"/>
    </row>
    <row r="252" spans="1:7" ht="13.5" outlineLevel="2" thickBot="1">
      <c r="A252" s="923" t="s">
        <v>855</v>
      </c>
      <c r="B252" s="740"/>
      <c r="C252" s="924"/>
      <c r="D252" s="925"/>
      <c r="F252" s="741"/>
      <c r="G252" s="741"/>
    </row>
    <row r="253" spans="1:7" ht="13.5" outlineLevel="2" thickBot="1">
      <c r="A253" s="923" t="s">
        <v>297</v>
      </c>
      <c r="B253" s="740" t="s">
        <v>751</v>
      </c>
      <c r="C253" s="924"/>
      <c r="D253" s="925">
        <f>0.05*0.75*SUM(D238:D249)</f>
        <v>4406.2500000000009</v>
      </c>
      <c r="F253" s="741"/>
      <c r="G253" s="741"/>
    </row>
    <row r="254" spans="1:7" ht="13.5" outlineLevel="2" thickBot="1">
      <c r="A254" s="923"/>
      <c r="B254" s="740"/>
      <c r="C254" s="924"/>
      <c r="D254" s="925"/>
      <c r="F254" s="741"/>
      <c r="G254" s="741"/>
    </row>
    <row r="255" spans="1:7" s="1061" customFormat="1" ht="13.5" outlineLevel="1" thickBot="1">
      <c r="A255" s="923" t="s">
        <v>830</v>
      </c>
      <c r="B255" s="740"/>
      <c r="C255" s="927" t="s">
        <v>169</v>
      </c>
      <c r="D255" s="928">
        <f>SUBTOTAL(9,D238:D254)</f>
        <v>121906.25</v>
      </c>
      <c r="F255" s="1079">
        <f>D255+D287+D194+D184+D173+D163+D154+D144</f>
        <v>738197.72972078132</v>
      </c>
    </row>
    <row r="256" spans="1:7" s="1061" customFormat="1" ht="13.5" outlineLevel="1" thickBot="1">
      <c r="A256" s="1071" t="s">
        <v>856</v>
      </c>
      <c r="B256" s="1072"/>
      <c r="C256" s="1073"/>
      <c r="D256" s="1068"/>
    </row>
    <row r="257" spans="1:7" ht="13.5" outlineLevel="2" thickBot="1">
      <c r="A257" s="923" t="s">
        <v>551</v>
      </c>
      <c r="B257" s="740"/>
      <c r="C257" s="924"/>
      <c r="D257" s="925">
        <v>300000</v>
      </c>
      <c r="F257" s="741"/>
      <c r="G257" s="741"/>
    </row>
    <row r="258" spans="1:7" ht="13.5" outlineLevel="2" thickBot="1">
      <c r="A258" s="923"/>
      <c r="B258" s="740"/>
      <c r="C258" s="924"/>
      <c r="D258" s="925"/>
      <c r="F258" s="741"/>
      <c r="G258" s="741"/>
    </row>
    <row r="259" spans="1:7" ht="13.5" outlineLevel="2" thickBot="1">
      <c r="A259" s="923"/>
      <c r="B259" s="740"/>
      <c r="C259" s="924"/>
      <c r="D259" s="925"/>
      <c r="F259" s="741"/>
      <c r="G259" s="741"/>
    </row>
    <row r="260" spans="1:7" ht="13.5" outlineLevel="2" thickBot="1">
      <c r="A260" s="923"/>
      <c r="B260" s="740"/>
      <c r="C260" s="924"/>
      <c r="D260" s="925"/>
      <c r="F260" s="741"/>
      <c r="G260" s="741"/>
    </row>
    <row r="261" spans="1:7" ht="13.5" outlineLevel="2" thickBot="1">
      <c r="A261" s="923"/>
      <c r="B261" s="740"/>
      <c r="C261" s="924"/>
      <c r="D261" s="925"/>
      <c r="F261" s="741"/>
      <c r="G261" s="741"/>
    </row>
    <row r="262" spans="1:7" ht="13.5" outlineLevel="2" thickBot="1">
      <c r="A262" s="923"/>
      <c r="B262" s="740"/>
      <c r="C262" s="924"/>
      <c r="D262" s="925"/>
      <c r="F262" s="741"/>
      <c r="G262" s="741"/>
    </row>
    <row r="263" spans="1:7" ht="13.5" outlineLevel="2" thickBot="1">
      <c r="A263" s="923"/>
      <c r="B263" s="740"/>
      <c r="C263" s="924"/>
      <c r="D263" s="925"/>
      <c r="F263" s="741"/>
      <c r="G263" s="741"/>
    </row>
    <row r="264" spans="1:7" s="1061" customFormat="1" ht="13.5" outlineLevel="1" thickBot="1">
      <c r="A264" s="923"/>
      <c r="B264" s="740"/>
      <c r="C264" s="927" t="s">
        <v>169</v>
      </c>
      <c r="D264" s="928">
        <f>SUBTOTAL(9,D257:D259)</f>
        <v>300000</v>
      </c>
    </row>
    <row r="265" spans="1:7" s="1061" customFormat="1" ht="13.5" outlineLevel="1" thickBot="1">
      <c r="A265" s="1080" t="s">
        <v>1636</v>
      </c>
      <c r="B265" s="1081"/>
      <c r="C265" s="1082"/>
      <c r="D265" s="1068"/>
    </row>
    <row r="266" spans="1:7" ht="13.5" outlineLevel="2" thickBot="1">
      <c r="A266" s="799" t="s">
        <v>857</v>
      </c>
      <c r="B266" s="762"/>
      <c r="C266" s="948"/>
      <c r="D266" s="949"/>
      <c r="F266" s="741"/>
      <c r="G266" s="741"/>
    </row>
    <row r="267" spans="1:7" ht="13.5" outlineLevel="2" thickBot="1">
      <c r="A267" s="799"/>
      <c r="B267" s="762"/>
      <c r="C267" s="948"/>
      <c r="D267" s="949">
        <f>C267</f>
        <v>0</v>
      </c>
      <c r="F267" s="741"/>
      <c r="G267" s="741"/>
    </row>
    <row r="268" spans="1:7" ht="13.5" outlineLevel="2" thickBot="1">
      <c r="A268" s="799"/>
      <c r="B268" s="762"/>
      <c r="C268" s="948"/>
      <c r="D268" s="949"/>
      <c r="F268" s="741"/>
      <c r="G268" s="741"/>
    </row>
    <row r="269" spans="1:7" ht="13.5" outlineLevel="2" thickBot="1">
      <c r="A269" s="799"/>
      <c r="B269" s="762"/>
      <c r="C269" s="796"/>
      <c r="D269" s="908"/>
      <c r="F269" s="741"/>
      <c r="G269" s="741"/>
    </row>
    <row r="270" spans="1:7" s="1061" customFormat="1" ht="13.5" outlineLevel="1" thickBot="1">
      <c r="A270" s="799"/>
      <c r="B270" s="762"/>
      <c r="C270" s="909" t="s">
        <v>169</v>
      </c>
      <c r="D270" s="950">
        <f>SUBTOTAL(9,D266:D269)</f>
        <v>0</v>
      </c>
    </row>
    <row r="271" spans="1:7" s="1061" customFormat="1" ht="13.5" outlineLevel="1" thickBot="1">
      <c r="A271" s="1071" t="s">
        <v>858</v>
      </c>
      <c r="B271" s="1072"/>
      <c r="C271" s="1073"/>
      <c r="D271" s="1068"/>
    </row>
    <row r="272" spans="1:7" ht="13.5" outlineLevel="2" thickBot="1">
      <c r="A272" s="923"/>
      <c r="B272" s="740"/>
      <c r="C272" s="924"/>
      <c r="D272" s="925">
        <f>LM6000PC_MMR_Gas!H6</f>
        <v>8478000</v>
      </c>
      <c r="F272" s="741"/>
      <c r="G272" s="741"/>
    </row>
    <row r="273" spans="1:7" ht="13.5" outlineLevel="2" thickBot="1">
      <c r="A273" s="923"/>
      <c r="B273" s="740"/>
      <c r="C273" s="924"/>
      <c r="D273" s="925"/>
      <c r="F273" s="741"/>
      <c r="G273" s="741"/>
    </row>
    <row r="274" spans="1:7" ht="13.5" outlineLevel="2" thickBot="1">
      <c r="A274" s="923"/>
      <c r="B274" s="740" t="s">
        <v>859</v>
      </c>
      <c r="C274" s="1083">
        <f>D272/6/20/1800</f>
        <v>39.25</v>
      </c>
      <c r="D274" s="925"/>
      <c r="F274" s="741"/>
      <c r="G274" s="741"/>
    </row>
    <row r="275" spans="1:7" ht="13.5" outlineLevel="2" thickBot="1">
      <c r="A275" s="1078"/>
      <c r="B275" s="741" t="s">
        <v>860</v>
      </c>
      <c r="C275" s="1083">
        <f>D272/6/25000</f>
        <v>56.52</v>
      </c>
      <c r="D275" s="925"/>
      <c r="F275" s="741"/>
      <c r="G275" s="741"/>
    </row>
    <row r="276" spans="1:7" ht="13.5" outlineLevel="2" thickBot="1">
      <c r="A276" s="1078"/>
      <c r="C276" s="924"/>
      <c r="D276" s="925"/>
      <c r="F276" s="741"/>
      <c r="G276" s="741"/>
    </row>
    <row r="277" spans="1:7" ht="13.5" outlineLevel="2" thickBot="1">
      <c r="A277" s="1078"/>
      <c r="C277" s="924"/>
      <c r="D277" s="925"/>
      <c r="F277" s="741"/>
      <c r="G277" s="741"/>
    </row>
    <row r="278" spans="1:7" s="1061" customFormat="1" ht="13.5" outlineLevel="1" thickBot="1">
      <c r="A278" s="1078"/>
      <c r="C278" s="927" t="s">
        <v>169</v>
      </c>
      <c r="D278" s="928">
        <f>SUBTOTAL(9,D272:D277)</f>
        <v>8478000</v>
      </c>
    </row>
    <row r="279" spans="1:7" s="1061" customFormat="1" ht="13.5" outlineLevel="1" thickBot="1">
      <c r="A279" s="1071" t="s">
        <v>585</v>
      </c>
      <c r="B279" s="1072"/>
      <c r="C279" s="1073"/>
      <c r="D279" s="1068"/>
    </row>
    <row r="280" spans="1:7" ht="13.5" outlineLevel="2" thickBot="1">
      <c r="A280" s="923" t="s">
        <v>861</v>
      </c>
      <c r="B280" s="740"/>
      <c r="C280" s="924"/>
      <c r="D280" s="925">
        <v>0</v>
      </c>
      <c r="F280" s="741"/>
      <c r="G280" s="741"/>
    </row>
    <row r="281" spans="1:7" ht="13.5" outlineLevel="2" thickBot="1">
      <c r="A281" s="923"/>
      <c r="B281" s="1078" t="s">
        <v>824</v>
      </c>
      <c r="C281" s="924"/>
      <c r="D281" s="925"/>
      <c r="F281" s="741"/>
      <c r="G281" s="741"/>
    </row>
    <row r="282" spans="1:7" s="1061" customFormat="1" ht="13.5" outlineLevel="1" thickBot="1">
      <c r="A282" s="923" t="s">
        <v>676</v>
      </c>
      <c r="B282" s="740"/>
      <c r="C282" s="927" t="s">
        <v>169</v>
      </c>
      <c r="D282" s="928">
        <f>SUBTOTAL(9,D280:D280)</f>
        <v>0</v>
      </c>
    </row>
    <row r="283" spans="1:7" s="1061" customFormat="1" ht="13.5" outlineLevel="1" thickBot="1">
      <c r="A283" s="1071" t="s">
        <v>862</v>
      </c>
      <c r="B283" s="1072"/>
      <c r="C283" s="1073"/>
      <c r="D283" s="1068"/>
    </row>
    <row r="284" spans="1:7" ht="13.5" outlineLevel="2" thickBot="1">
      <c r="A284" s="923"/>
      <c r="B284" s="740" t="s">
        <v>863</v>
      </c>
      <c r="C284" s="1084"/>
      <c r="D284" s="925">
        <f>0.1*Mob_Estimate!D36</f>
        <v>22479.025000000001</v>
      </c>
      <c r="F284" s="741"/>
      <c r="G284" s="741"/>
    </row>
    <row r="285" spans="1:7" ht="13.5" outlineLevel="2" thickBot="1">
      <c r="A285" s="740"/>
      <c r="B285" s="740"/>
      <c r="C285" s="924"/>
      <c r="D285" s="925"/>
      <c r="F285" s="741"/>
      <c r="G285" s="741"/>
    </row>
    <row r="286" spans="1:7" ht="13.5" outlineLevel="2" thickBot="1">
      <c r="A286" s="923"/>
      <c r="B286" s="740"/>
      <c r="C286" s="924"/>
      <c r="D286" s="925"/>
      <c r="F286" s="741"/>
      <c r="G286" s="741"/>
    </row>
    <row r="287" spans="1:7" s="1061" customFormat="1" ht="13.5" outlineLevel="1" thickBot="1">
      <c r="A287" s="740" t="s">
        <v>864</v>
      </c>
      <c r="C287" s="1085" t="s">
        <v>169</v>
      </c>
      <c r="D287" s="928">
        <f>SUBTOTAL(9,D284:D286)</f>
        <v>22479.025000000001</v>
      </c>
    </row>
    <row r="288" spans="1:7" ht="13.5" thickBot="1">
      <c r="A288" s="1071" t="s">
        <v>865</v>
      </c>
      <c r="B288" s="1072"/>
      <c r="C288" s="1073"/>
      <c r="D288" s="1068"/>
      <c r="F288" s="741"/>
      <c r="G288" s="741"/>
    </row>
    <row r="289" spans="1:7" ht="13.5" thickBot="1">
      <c r="A289" s="923" t="s">
        <v>866</v>
      </c>
      <c r="B289" s="740"/>
      <c r="C289" s="924"/>
      <c r="D289" s="925"/>
      <c r="F289" s="741"/>
      <c r="G289" s="741"/>
    </row>
    <row r="290" spans="1:7" ht="13.5" thickBot="1">
      <c r="A290" s="923" t="s">
        <v>867</v>
      </c>
      <c r="B290" s="740"/>
      <c r="C290" s="924"/>
      <c r="D290" s="925">
        <f>1*1.3*30000/15</f>
        <v>2600</v>
      </c>
      <c r="F290" s="741"/>
      <c r="G290" s="741"/>
    </row>
    <row r="291" spans="1:7" ht="13.5" thickBot="1">
      <c r="A291" s="923" t="s">
        <v>868</v>
      </c>
      <c r="B291" s="740"/>
      <c r="C291" s="924"/>
      <c r="D291" s="925"/>
    </row>
    <row r="292" spans="1:7" ht="13.5" thickBot="1">
      <c r="A292" s="923" t="s">
        <v>869</v>
      </c>
      <c r="B292" s="740"/>
      <c r="C292" s="924"/>
      <c r="D292" s="925">
        <v>0</v>
      </c>
    </row>
    <row r="293" spans="1:7" ht="13.5" thickBot="1">
      <c r="A293" s="923" t="s">
        <v>870</v>
      </c>
      <c r="B293" s="740"/>
      <c r="C293" s="924"/>
      <c r="D293" s="925"/>
    </row>
    <row r="294" spans="1:7" ht="13.5" thickBot="1">
      <c r="A294" s="923" t="s">
        <v>871</v>
      </c>
      <c r="B294" s="740"/>
      <c r="C294" s="924"/>
      <c r="D294" s="925">
        <f>1*2*1.5*1*180</f>
        <v>540</v>
      </c>
    </row>
    <row r="295" spans="1:7" ht="13.5" thickBot="1">
      <c r="A295" s="923" t="s">
        <v>872</v>
      </c>
      <c r="B295" s="740"/>
      <c r="C295" s="924"/>
      <c r="D295" s="925"/>
    </row>
    <row r="296" spans="1:7" ht="13.5" thickBot="1">
      <c r="A296" s="923" t="s">
        <v>873</v>
      </c>
      <c r="B296" s="740"/>
      <c r="C296" s="924"/>
      <c r="D296" s="925">
        <v>0</v>
      </c>
    </row>
    <row r="297" spans="1:7" ht="13.5" thickBot="1">
      <c r="A297" s="923" t="s">
        <v>874</v>
      </c>
      <c r="B297" s="740"/>
      <c r="C297" s="924"/>
      <c r="D297" s="925"/>
    </row>
    <row r="298" spans="1:7" ht="13.5" thickBot="1">
      <c r="A298" s="923" t="s">
        <v>875</v>
      </c>
      <c r="B298" s="740"/>
      <c r="C298" s="924"/>
      <c r="D298" s="925">
        <v>0</v>
      </c>
    </row>
    <row r="299" spans="1:7" ht="13.5" thickBot="1">
      <c r="A299" s="923"/>
      <c r="B299" s="740"/>
      <c r="C299" s="1084"/>
      <c r="D299" s="925"/>
    </row>
    <row r="300" spans="1:7" ht="13.5" thickBot="1">
      <c r="A300" s="1086" t="s">
        <v>876</v>
      </c>
      <c r="B300" s="740"/>
      <c r="C300" s="924"/>
      <c r="D300" s="925"/>
    </row>
    <row r="301" spans="1:7" ht="13.5" thickBot="1">
      <c r="A301" s="1087" t="s">
        <v>877</v>
      </c>
      <c r="B301" s="1088"/>
      <c r="C301" s="1085" t="s">
        <v>169</v>
      </c>
      <c r="D301" s="928">
        <f>SUM(D290:D299)</f>
        <v>3140</v>
      </c>
    </row>
    <row r="302" spans="1:7" ht="13.5" thickBot="1">
      <c r="A302" s="1071"/>
      <c r="B302" s="1072"/>
      <c r="C302" s="1073"/>
      <c r="D302" s="1068"/>
    </row>
    <row r="303" spans="1:7">
      <c r="D303" s="1089"/>
    </row>
    <row r="304" spans="1:7">
      <c r="D304" s="742"/>
    </row>
    <row r="305" spans="1:1">
      <c r="A305" s="741" t="s">
        <v>878</v>
      </c>
    </row>
    <row r="306" spans="1:1">
      <c r="A306" s="741" t="s">
        <v>879</v>
      </c>
    </row>
    <row r="701" spans="2:2">
      <c r="B701" s="741" t="s">
        <v>880</v>
      </c>
    </row>
    <row r="877" spans="1:4">
      <c r="A877" s="1090"/>
    </row>
    <row r="878" spans="1:4">
      <c r="B878" s="1090"/>
      <c r="C878" s="1090"/>
      <c r="D878" s="1090"/>
    </row>
  </sheetData>
  <dataConsolidate/>
  <printOptions horizontalCentered="1"/>
  <pageMargins left="0.75" right="0.75" top="1" bottom="1" header="0.5" footer="0.5"/>
  <pageSetup scale="75" firstPageNumber="26" fitToHeight="5" orientation="portrait" horizontalDpi="4294967292" verticalDpi="4294967292" r:id="rId1"/>
  <headerFooter alignWithMargins="0">
    <oddHeader>&amp;CENRON PROPRIETARY 
AND  CONFIDENTIAL INFORMATION</oddHeader>
    <oddFooter>&amp;LScot Chambers
&amp;D&amp;CPage _____&amp;R&amp;F
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topLeftCell="A8" zoomScale="75" workbookViewId="0">
      <selection activeCell="A8" sqref="A8"/>
    </sheetView>
  </sheetViews>
  <sheetFormatPr defaultRowHeight="12.75"/>
  <cols>
    <col min="1" max="1" width="32.85546875" customWidth="1"/>
    <col min="2" max="2" width="11.140625" customWidth="1"/>
    <col min="3" max="3" width="12.28515625" customWidth="1"/>
    <col min="4" max="4" width="14" customWidth="1"/>
    <col min="5" max="6" width="11.140625" customWidth="1"/>
    <col min="7" max="7" width="13.7109375" customWidth="1"/>
    <col min="8" max="8" width="15.28515625" customWidth="1"/>
    <col min="9" max="9" width="11.140625" customWidth="1"/>
    <col min="10" max="10" width="11.7109375" customWidth="1"/>
    <col min="11" max="11" width="20.42578125" customWidth="1"/>
    <col min="12" max="12" width="11.140625" customWidth="1"/>
    <col min="13" max="13" width="13.7109375" customWidth="1"/>
    <col min="14" max="22" width="11.140625" customWidth="1"/>
    <col min="23" max="23" width="12.140625" bestFit="1" customWidth="1"/>
    <col min="24" max="24" width="10.140625" customWidth="1"/>
  </cols>
  <sheetData>
    <row r="1" spans="1:23" ht="20.25">
      <c r="A1" s="1176" t="str">
        <f>'[1]Table of Contents'!A1</f>
        <v>Plano, Illinois 6 x LM6000 Power Project, Rev 0</v>
      </c>
      <c r="B1" s="1176"/>
      <c r="C1" s="1176"/>
      <c r="D1" s="1176"/>
      <c r="E1" s="1176"/>
      <c r="F1" s="1176"/>
      <c r="G1" s="1176"/>
      <c r="H1" s="1176"/>
      <c r="I1" s="1176"/>
      <c r="J1" s="1176"/>
      <c r="K1" s="1176"/>
      <c r="L1" s="1176"/>
      <c r="M1" s="1176"/>
      <c r="N1" s="1176"/>
      <c r="O1" s="1176"/>
      <c r="P1" s="1176"/>
      <c r="Q1" s="1176"/>
      <c r="R1" s="1176"/>
      <c r="S1" s="1176"/>
      <c r="T1" s="1176"/>
      <c r="U1" s="1176"/>
      <c r="V1" s="1176"/>
      <c r="W1" s="1176"/>
    </row>
    <row r="2" spans="1:23" ht="20.25">
      <c r="A2" s="1176" t="s">
        <v>881</v>
      </c>
      <c r="B2" s="1176"/>
      <c r="C2" s="1176"/>
      <c r="D2" s="1176"/>
      <c r="E2" s="1176"/>
      <c r="F2" s="1176"/>
      <c r="G2" s="1176"/>
      <c r="H2" s="1176"/>
      <c r="I2" s="1176"/>
      <c r="J2" s="1176"/>
      <c r="K2" s="1176"/>
      <c r="L2" s="1176"/>
      <c r="M2" s="1176"/>
      <c r="N2" s="1176"/>
      <c r="O2" s="1176"/>
      <c r="P2" s="1176"/>
      <c r="Q2" s="1176"/>
      <c r="R2" s="1176"/>
      <c r="S2" s="1176"/>
      <c r="T2" s="1176"/>
      <c r="U2" s="1176"/>
      <c r="V2" s="1176"/>
      <c r="W2" s="1176"/>
    </row>
    <row r="3" spans="1:23" ht="20.25">
      <c r="A3" s="1091"/>
      <c r="B3" s="1091"/>
      <c r="C3" s="1091"/>
      <c r="D3" s="1091"/>
      <c r="E3" s="1091"/>
      <c r="F3" s="1091"/>
      <c r="G3" s="1091"/>
      <c r="H3" s="1091"/>
      <c r="I3" s="1091"/>
      <c r="J3" s="1091"/>
      <c r="K3" s="1091"/>
      <c r="L3" s="1091"/>
      <c r="M3" s="1091"/>
      <c r="N3" s="1091"/>
      <c r="O3" s="1091"/>
      <c r="P3" s="1091"/>
      <c r="Q3" s="1091"/>
      <c r="R3" s="1091"/>
      <c r="S3" s="1091"/>
      <c r="T3" s="1091"/>
      <c r="U3" s="1091"/>
      <c r="V3" s="1091"/>
      <c r="W3" s="1091"/>
    </row>
    <row r="4" spans="1:23" ht="18.75" thickBot="1">
      <c r="A4" s="1178"/>
      <c r="B4" s="1178"/>
      <c r="C4" s="1178"/>
      <c r="D4" s="1178"/>
      <c r="E4" s="1178"/>
      <c r="F4" s="1178"/>
      <c r="G4" s="1178"/>
      <c r="H4" s="1178"/>
      <c r="I4" s="1178"/>
      <c r="J4" s="1178"/>
      <c r="K4" s="1178"/>
      <c r="L4" s="1178"/>
      <c r="M4" s="1178"/>
      <c r="N4" s="1092"/>
      <c r="O4" s="1092"/>
      <c r="P4" s="1092"/>
      <c r="Q4" s="1092"/>
      <c r="R4" s="1092"/>
      <c r="S4" s="1092"/>
      <c r="T4" s="1092"/>
      <c r="U4" s="1092"/>
      <c r="V4" s="1092"/>
      <c r="W4" s="1092"/>
    </row>
    <row r="5" spans="1:23" ht="18.75" thickBot="1">
      <c r="A5" s="1093" t="s">
        <v>882</v>
      </c>
      <c r="B5" s="1094"/>
      <c r="C5" s="1094"/>
      <c r="D5" s="1094"/>
      <c r="E5" s="1094"/>
      <c r="F5" s="1179" t="s">
        <v>883</v>
      </c>
      <c r="G5" s="1179"/>
      <c r="H5" s="1095">
        <v>20</v>
      </c>
      <c r="I5" s="1096" t="s">
        <v>1042</v>
      </c>
      <c r="J5" s="1094"/>
      <c r="K5" s="718"/>
    </row>
    <row r="6" spans="1:23" ht="18">
      <c r="A6" s="1097" t="s">
        <v>884</v>
      </c>
      <c r="B6" s="285"/>
      <c r="C6" s="285"/>
      <c r="D6" s="285"/>
      <c r="E6" s="285"/>
      <c r="F6" s="285"/>
      <c r="G6" s="285"/>
      <c r="H6" s="1098">
        <f>W29</f>
        <v>8478000</v>
      </c>
      <c r="I6" s="1099" t="s">
        <v>885</v>
      </c>
      <c r="J6" s="285"/>
      <c r="K6" s="543"/>
    </row>
    <row r="7" spans="1:23" ht="18.75" thickBot="1">
      <c r="A7" s="704"/>
      <c r="B7" s="285"/>
      <c r="C7" s="285"/>
      <c r="D7" s="285"/>
      <c r="E7" s="285"/>
      <c r="F7" s="285"/>
      <c r="G7" s="285"/>
      <c r="H7" s="1098">
        <f>H6/$D$8</f>
        <v>1413000</v>
      </c>
      <c r="I7" s="1099" t="s">
        <v>886</v>
      </c>
      <c r="J7" s="285"/>
      <c r="K7" s="543"/>
    </row>
    <row r="8" spans="1:23" ht="18.75" thickBot="1">
      <c r="A8" s="1097" t="s">
        <v>887</v>
      </c>
      <c r="B8" s="1100"/>
      <c r="C8" s="1100"/>
      <c r="D8" s="1095">
        <v>6</v>
      </c>
      <c r="E8" s="285"/>
      <c r="F8" s="285"/>
      <c r="G8" s="285"/>
      <c r="H8" s="1101">
        <f>H7/H5</f>
        <v>70650</v>
      </c>
      <c r="I8" s="1099" t="s">
        <v>888</v>
      </c>
      <c r="J8" s="285"/>
      <c r="K8" s="543"/>
    </row>
    <row r="9" spans="1:23" ht="18.75" thickBot="1">
      <c r="A9" s="704"/>
      <c r="B9" s="285"/>
      <c r="C9" s="285"/>
      <c r="D9" s="285"/>
      <c r="E9" s="285"/>
      <c r="F9" s="285"/>
      <c r="G9" s="285"/>
      <c r="H9" s="1102">
        <f>H8/C20</f>
        <v>39.25</v>
      </c>
      <c r="I9" s="1099" t="s">
        <v>889</v>
      </c>
      <c r="J9" s="285"/>
      <c r="K9" s="543"/>
    </row>
    <row r="10" spans="1:23" ht="13.5" thickBot="1">
      <c r="A10" s="1048"/>
      <c r="B10" s="1049"/>
      <c r="C10" s="1049"/>
      <c r="D10" s="1049"/>
      <c r="E10" s="1049"/>
      <c r="F10" s="1049"/>
      <c r="G10" s="1049"/>
      <c r="H10" s="1049"/>
      <c r="I10" s="1049"/>
      <c r="J10" s="1049"/>
      <c r="K10" s="547"/>
    </row>
    <row r="11" spans="1:23" ht="15.75">
      <c r="A11" s="1103"/>
      <c r="B11" s="1104"/>
      <c r="C11" s="1104"/>
      <c r="D11" s="1105" t="s">
        <v>890</v>
      </c>
      <c r="E11" s="1104"/>
      <c r="F11" s="1104"/>
      <c r="G11" s="1104"/>
      <c r="H11" s="1104"/>
      <c r="I11" s="1104"/>
      <c r="J11" s="1104"/>
      <c r="K11" s="1104"/>
      <c r="L11" s="1094"/>
      <c r="M11" s="1106"/>
      <c r="N11" s="1106"/>
      <c r="O11" s="1106"/>
      <c r="P11" s="1106"/>
      <c r="Q11" s="1106"/>
      <c r="R11" s="1106"/>
      <c r="S11" s="1106"/>
      <c r="T11" s="1106"/>
      <c r="U11" s="1106"/>
      <c r="V11" s="1094"/>
      <c r="W11" s="718"/>
    </row>
    <row r="12" spans="1:23">
      <c r="A12" s="1107" t="s">
        <v>891</v>
      </c>
      <c r="B12" s="1108"/>
      <c r="C12" s="1109"/>
      <c r="D12" s="1110">
        <v>0</v>
      </c>
      <c r="E12" s="1111" t="s">
        <v>892</v>
      </c>
      <c r="F12" s="1104"/>
      <c r="G12" s="1104"/>
      <c r="H12" s="1112" t="s">
        <v>893</v>
      </c>
      <c r="I12" s="1112"/>
      <c r="J12" s="1104"/>
      <c r="K12" s="1104"/>
      <c r="L12" s="285"/>
      <c r="M12" s="1104"/>
      <c r="N12" s="1104"/>
      <c r="O12" s="1104"/>
      <c r="P12" s="1104"/>
      <c r="Q12" s="1104"/>
      <c r="R12" s="1104"/>
      <c r="S12" s="1104"/>
      <c r="T12" s="1104"/>
      <c r="U12" s="1104"/>
      <c r="V12" s="285"/>
      <c r="W12" s="543"/>
    </row>
    <row r="13" spans="1:23">
      <c r="A13" s="1107" t="s">
        <v>894</v>
      </c>
      <c r="B13" s="1108"/>
      <c r="C13" s="1109"/>
      <c r="D13" s="1110">
        <f>3.5*23900</f>
        <v>83650</v>
      </c>
      <c r="E13" s="1113" t="s">
        <v>895</v>
      </c>
      <c r="F13" s="1104"/>
      <c r="G13" s="1104"/>
      <c r="H13" s="1112" t="s">
        <v>896</v>
      </c>
      <c r="I13" s="285"/>
      <c r="J13" s="1104"/>
      <c r="K13" s="1104"/>
      <c r="L13" s="285"/>
      <c r="M13" s="1104"/>
      <c r="N13" s="1104"/>
      <c r="O13" s="1104"/>
      <c r="P13" s="1104"/>
      <c r="Q13" s="1104"/>
      <c r="R13" s="1104"/>
      <c r="S13" s="1104"/>
      <c r="T13" s="1104"/>
      <c r="U13" s="1104"/>
      <c r="V13" s="285"/>
      <c r="W13" s="543"/>
    </row>
    <row r="14" spans="1:23">
      <c r="A14" s="1107" t="s">
        <v>897</v>
      </c>
      <c r="B14" s="1108"/>
      <c r="C14" s="1109"/>
      <c r="D14" s="1110">
        <v>0</v>
      </c>
      <c r="E14" s="1113" t="s">
        <v>898</v>
      </c>
      <c r="F14" s="1104"/>
      <c r="G14" s="1104"/>
      <c r="H14" s="1112" t="s">
        <v>899</v>
      </c>
      <c r="I14" s="1112"/>
      <c r="J14" s="1104"/>
      <c r="K14" s="1104"/>
      <c r="L14" s="285"/>
      <c r="M14" s="1104"/>
      <c r="N14" s="1104"/>
      <c r="O14" s="1104"/>
      <c r="P14" s="1104"/>
      <c r="Q14" s="1104"/>
      <c r="R14" s="1104"/>
      <c r="S14" s="1104"/>
      <c r="T14" s="1104"/>
      <c r="U14" s="1104"/>
      <c r="V14" s="285"/>
      <c r="W14" s="543"/>
    </row>
    <row r="15" spans="1:23">
      <c r="A15" s="1107" t="s">
        <v>900</v>
      </c>
      <c r="B15" s="1108"/>
      <c r="C15" s="1109"/>
      <c r="D15" s="1110">
        <v>1403000</v>
      </c>
      <c r="E15" s="1113" t="s">
        <v>901</v>
      </c>
      <c r="G15" s="1104"/>
      <c r="H15" s="1112" t="s">
        <v>902</v>
      </c>
      <c r="I15" s="285"/>
      <c r="J15" s="1104"/>
      <c r="K15" s="1104"/>
      <c r="L15" s="285"/>
      <c r="M15" s="1104"/>
      <c r="N15" s="1104"/>
      <c r="O15" s="1104"/>
      <c r="P15" s="1104"/>
      <c r="Q15" s="1104"/>
      <c r="R15" s="1104"/>
      <c r="S15" s="1104"/>
      <c r="T15" s="1104"/>
      <c r="U15" s="1104"/>
      <c r="V15" s="285"/>
      <c r="W15" s="543"/>
    </row>
    <row r="16" spans="1:23">
      <c r="A16" s="1107" t="s">
        <v>903</v>
      </c>
      <c r="B16" s="1108"/>
      <c r="C16" s="1109"/>
      <c r="D16" s="1110">
        <v>3000000</v>
      </c>
      <c r="E16" s="1113" t="s">
        <v>901</v>
      </c>
      <c r="F16" s="1104"/>
      <c r="G16" s="1104"/>
      <c r="H16" s="1112" t="s">
        <v>904</v>
      </c>
      <c r="I16" s="285"/>
      <c r="J16" s="1104"/>
      <c r="K16" s="1104"/>
      <c r="L16" s="285"/>
      <c r="M16" s="1104"/>
      <c r="N16" s="1104"/>
      <c r="O16" s="1104"/>
      <c r="P16" s="1104"/>
      <c r="Q16" s="1104"/>
      <c r="R16" s="1104"/>
      <c r="S16" s="1104"/>
      <c r="T16" s="1104"/>
      <c r="U16" s="1104"/>
      <c r="V16" s="285"/>
      <c r="W16" s="543"/>
    </row>
    <row r="17" spans="1:23">
      <c r="A17" s="1107" t="s">
        <v>905</v>
      </c>
      <c r="B17" s="1108"/>
      <c r="C17" s="1109"/>
      <c r="D17" s="1114">
        <v>10000</v>
      </c>
      <c r="E17" s="1115"/>
      <c r="F17" s="1104"/>
      <c r="G17" s="1104"/>
      <c r="H17" s="1112" t="s">
        <v>906</v>
      </c>
      <c r="I17" s="1104"/>
      <c r="J17" s="1104"/>
      <c r="K17" s="1104"/>
      <c r="L17" s="285"/>
      <c r="M17" s="1104"/>
      <c r="N17" s="1104"/>
      <c r="O17" s="1104"/>
      <c r="P17" s="1104"/>
      <c r="Q17" s="1104"/>
      <c r="R17" s="1104"/>
      <c r="S17" s="1104"/>
      <c r="T17" s="1104"/>
      <c r="U17" s="1104"/>
      <c r="V17" s="285"/>
      <c r="W17" s="543"/>
    </row>
    <row r="18" spans="1:23">
      <c r="A18" s="1107" t="s">
        <v>907</v>
      </c>
      <c r="B18" s="1108"/>
      <c r="C18" s="1109"/>
      <c r="D18" s="1114">
        <v>25000</v>
      </c>
      <c r="E18" s="1115"/>
      <c r="F18" s="1104"/>
      <c r="G18" s="1104"/>
      <c r="H18" s="1112" t="s">
        <v>906</v>
      </c>
      <c r="I18" s="1104"/>
      <c r="J18" s="1104"/>
      <c r="K18" s="285"/>
      <c r="L18" s="285"/>
      <c r="M18" s="285"/>
      <c r="N18" s="285"/>
      <c r="O18" s="285"/>
      <c r="P18" s="285"/>
      <c r="Q18" s="285"/>
      <c r="R18" s="285"/>
      <c r="S18" s="285"/>
      <c r="T18" s="285"/>
      <c r="U18" s="285"/>
      <c r="V18" s="285"/>
      <c r="W18" s="543"/>
    </row>
    <row r="19" spans="1:23">
      <c r="A19" s="704"/>
      <c r="B19" s="1104"/>
      <c r="C19" s="1104"/>
      <c r="D19" s="1104"/>
      <c r="E19" s="1104"/>
      <c r="F19" s="1104"/>
      <c r="G19" s="1104"/>
      <c r="H19" s="1104"/>
      <c r="I19" s="1104"/>
      <c r="J19" s="1104"/>
      <c r="K19" s="285"/>
      <c r="L19" s="285"/>
      <c r="M19" s="285"/>
      <c r="N19" s="285"/>
      <c r="O19" s="285"/>
      <c r="P19" s="285"/>
      <c r="Q19" s="285"/>
      <c r="R19" s="285"/>
      <c r="S19" s="285"/>
      <c r="T19" s="285"/>
      <c r="U19" s="285"/>
      <c r="V19" s="285"/>
      <c r="W19" s="543"/>
    </row>
    <row r="20" spans="1:23">
      <c r="A20" s="1116" t="s">
        <v>949</v>
      </c>
      <c r="B20" s="1117"/>
      <c r="C20" s="1118">
        <v>1800</v>
      </c>
      <c r="D20" s="1119" t="s">
        <v>908</v>
      </c>
      <c r="E20" s="285"/>
      <c r="F20" s="285"/>
      <c r="G20" s="285"/>
      <c r="H20" s="285"/>
      <c r="I20" s="285"/>
      <c r="J20" s="285"/>
      <c r="K20" s="285"/>
      <c r="L20" s="285"/>
      <c r="M20" s="285"/>
      <c r="N20" s="285"/>
      <c r="O20" s="285"/>
      <c r="P20" s="285"/>
      <c r="Q20" s="285"/>
      <c r="R20" s="285"/>
      <c r="S20" s="285"/>
      <c r="T20" s="285"/>
      <c r="U20" s="285"/>
      <c r="V20" s="285"/>
      <c r="W20" s="543"/>
    </row>
    <row r="21" spans="1:23">
      <c r="A21" s="704" t="s">
        <v>992</v>
      </c>
      <c r="B21" s="883">
        <v>0</v>
      </c>
      <c r="C21" s="883">
        <v>1</v>
      </c>
      <c r="D21" s="883">
        <v>2</v>
      </c>
      <c r="E21" s="883">
        <v>3</v>
      </c>
      <c r="F21" s="883">
        <v>4</v>
      </c>
      <c r="G21" s="883">
        <v>5</v>
      </c>
      <c r="H21" s="883">
        <v>6</v>
      </c>
      <c r="I21" s="883">
        <v>7</v>
      </c>
      <c r="J21" s="883">
        <v>8</v>
      </c>
      <c r="K21" s="883">
        <v>9</v>
      </c>
      <c r="L21" s="883">
        <v>10</v>
      </c>
      <c r="M21" s="883">
        <v>11</v>
      </c>
      <c r="N21" s="883">
        <v>12</v>
      </c>
      <c r="O21" s="883">
        <v>13</v>
      </c>
      <c r="P21" s="883">
        <v>14</v>
      </c>
      <c r="Q21" s="883">
        <v>15</v>
      </c>
      <c r="R21" s="883">
        <v>16</v>
      </c>
      <c r="S21" s="883">
        <v>17</v>
      </c>
      <c r="T21" s="883">
        <v>18</v>
      </c>
      <c r="U21" s="883">
        <v>19</v>
      </c>
      <c r="V21" s="883">
        <v>20</v>
      </c>
      <c r="W21" s="543"/>
    </row>
    <row r="22" spans="1:23">
      <c r="A22" s="704" t="s">
        <v>909</v>
      </c>
      <c r="B22" s="1120"/>
      <c r="C22" s="1120">
        <f>$C20</f>
        <v>1800</v>
      </c>
      <c r="D22" s="1120">
        <f t="shared" ref="D22:V22" si="0">C22+$C20</f>
        <v>3600</v>
      </c>
      <c r="E22" s="1120">
        <f t="shared" si="0"/>
        <v>5400</v>
      </c>
      <c r="F22" s="1120">
        <f t="shared" si="0"/>
        <v>7200</v>
      </c>
      <c r="G22" s="1120">
        <f t="shared" si="0"/>
        <v>9000</v>
      </c>
      <c r="H22" s="1120">
        <f t="shared" si="0"/>
        <v>10800</v>
      </c>
      <c r="I22" s="1120">
        <f t="shared" si="0"/>
        <v>12600</v>
      </c>
      <c r="J22" s="1120">
        <f t="shared" si="0"/>
        <v>14400</v>
      </c>
      <c r="K22" s="1120">
        <f t="shared" si="0"/>
        <v>16200</v>
      </c>
      <c r="L22" s="1120">
        <f t="shared" si="0"/>
        <v>18000</v>
      </c>
      <c r="M22" s="1120">
        <f t="shared" si="0"/>
        <v>19800</v>
      </c>
      <c r="N22" s="1120">
        <f t="shared" si="0"/>
        <v>21600</v>
      </c>
      <c r="O22" s="1120">
        <f t="shared" si="0"/>
        <v>23400</v>
      </c>
      <c r="P22" s="1120">
        <f t="shared" si="0"/>
        <v>25200</v>
      </c>
      <c r="Q22" s="1120">
        <f t="shared" si="0"/>
        <v>27000</v>
      </c>
      <c r="R22" s="1120">
        <f t="shared" si="0"/>
        <v>28800</v>
      </c>
      <c r="S22" s="1120">
        <f t="shared" si="0"/>
        <v>30600</v>
      </c>
      <c r="T22" s="1120">
        <f t="shared" si="0"/>
        <v>32400</v>
      </c>
      <c r="U22" s="1120">
        <f t="shared" si="0"/>
        <v>34200</v>
      </c>
      <c r="V22" s="1120">
        <f t="shared" si="0"/>
        <v>36000</v>
      </c>
      <c r="W22" s="543"/>
    </row>
    <row r="23" spans="1:23">
      <c r="A23" s="704" t="s">
        <v>910</v>
      </c>
      <c r="B23" s="883"/>
      <c r="C23" s="883"/>
      <c r="D23" s="883"/>
      <c r="E23" s="883"/>
      <c r="F23" s="883"/>
      <c r="G23" s="883"/>
      <c r="H23" s="883"/>
      <c r="I23" s="883"/>
      <c r="J23" s="883"/>
      <c r="K23" s="883"/>
      <c r="L23" s="883"/>
      <c r="M23" s="883"/>
      <c r="N23" s="883"/>
      <c r="O23" s="883"/>
      <c r="P23" s="883" t="s">
        <v>911</v>
      </c>
      <c r="Q23" s="883"/>
      <c r="R23" s="883"/>
      <c r="S23" s="883"/>
      <c r="T23" s="883"/>
      <c r="U23" s="883"/>
      <c r="V23" s="883"/>
      <c r="W23" s="543"/>
    </row>
    <row r="24" spans="1:23">
      <c r="A24" s="704" t="s">
        <v>912</v>
      </c>
      <c r="B24" s="1121">
        <f t="shared" ref="B24:V24" si="1">IF(B23="H",$D$8*$D15,IF(B23="M",$D$8*$D16,0))</f>
        <v>0</v>
      </c>
      <c r="C24" s="1121">
        <f t="shared" si="1"/>
        <v>0</v>
      </c>
      <c r="D24" s="1121">
        <f t="shared" si="1"/>
        <v>0</v>
      </c>
      <c r="E24" s="1121">
        <f t="shared" si="1"/>
        <v>0</v>
      </c>
      <c r="F24" s="1121">
        <f t="shared" si="1"/>
        <v>0</v>
      </c>
      <c r="G24" s="1121">
        <f t="shared" si="1"/>
        <v>0</v>
      </c>
      <c r="H24" s="1121">
        <f t="shared" si="1"/>
        <v>0</v>
      </c>
      <c r="I24" s="1121">
        <f t="shared" si="1"/>
        <v>0</v>
      </c>
      <c r="J24" s="1121">
        <f t="shared" si="1"/>
        <v>0</v>
      </c>
      <c r="K24" s="1121">
        <f t="shared" si="1"/>
        <v>0</v>
      </c>
      <c r="L24" s="1121">
        <f t="shared" si="1"/>
        <v>0</v>
      </c>
      <c r="M24" s="1121">
        <f t="shared" si="1"/>
        <v>0</v>
      </c>
      <c r="N24" s="1121">
        <f t="shared" si="1"/>
        <v>0</v>
      </c>
      <c r="O24" s="1121">
        <f t="shared" si="1"/>
        <v>0</v>
      </c>
      <c r="P24" s="1121">
        <f t="shared" si="1"/>
        <v>8418000</v>
      </c>
      <c r="Q24" s="1121">
        <f t="shared" si="1"/>
        <v>0</v>
      </c>
      <c r="R24" s="1121">
        <f t="shared" si="1"/>
        <v>0</v>
      </c>
      <c r="S24" s="1121">
        <f t="shared" si="1"/>
        <v>0</v>
      </c>
      <c r="T24" s="1121">
        <f t="shared" si="1"/>
        <v>0</v>
      </c>
      <c r="U24" s="1121">
        <f t="shared" si="1"/>
        <v>0</v>
      </c>
      <c r="V24" s="1121">
        <f t="shared" si="1"/>
        <v>0</v>
      </c>
      <c r="W24" s="543"/>
    </row>
    <row r="25" spans="1:23">
      <c r="A25" s="704" t="s">
        <v>913</v>
      </c>
      <c r="B25" s="1121"/>
      <c r="C25" s="1121">
        <f t="shared" ref="C25:V25" si="2">$D$14*$D$8</f>
        <v>0</v>
      </c>
      <c r="D25" s="1121">
        <f t="shared" si="2"/>
        <v>0</v>
      </c>
      <c r="E25" s="1121">
        <f t="shared" si="2"/>
        <v>0</v>
      </c>
      <c r="F25" s="1121">
        <f t="shared" si="2"/>
        <v>0</v>
      </c>
      <c r="G25" s="1121">
        <f t="shared" si="2"/>
        <v>0</v>
      </c>
      <c r="H25" s="1121">
        <f t="shared" si="2"/>
        <v>0</v>
      </c>
      <c r="I25" s="1121">
        <f t="shared" si="2"/>
        <v>0</v>
      </c>
      <c r="J25" s="1121">
        <f t="shared" si="2"/>
        <v>0</v>
      </c>
      <c r="K25" s="1121">
        <f t="shared" si="2"/>
        <v>0</v>
      </c>
      <c r="L25" s="1121">
        <f t="shared" si="2"/>
        <v>0</v>
      </c>
      <c r="M25" s="1121">
        <f t="shared" si="2"/>
        <v>0</v>
      </c>
      <c r="N25" s="1121">
        <f t="shared" si="2"/>
        <v>0</v>
      </c>
      <c r="O25" s="1121">
        <f t="shared" si="2"/>
        <v>0</v>
      </c>
      <c r="P25" s="1121">
        <f t="shared" si="2"/>
        <v>0</v>
      </c>
      <c r="Q25" s="1121">
        <f t="shared" si="2"/>
        <v>0</v>
      </c>
      <c r="R25" s="1121">
        <f t="shared" si="2"/>
        <v>0</v>
      </c>
      <c r="S25" s="1121">
        <f t="shared" si="2"/>
        <v>0</v>
      </c>
      <c r="T25" s="1121">
        <f t="shared" si="2"/>
        <v>0</v>
      </c>
      <c r="U25" s="1121">
        <f t="shared" si="2"/>
        <v>0</v>
      </c>
      <c r="V25" s="1121">
        <f t="shared" si="2"/>
        <v>0</v>
      </c>
      <c r="W25" s="543"/>
    </row>
    <row r="26" spans="1:23">
      <c r="A26" s="704" t="s">
        <v>914</v>
      </c>
      <c r="B26" s="1121">
        <f t="shared" ref="B26:V26" si="3">IF(B23="H",$D17*$D$8,IF(B23="M",$D18*$D$8,0))</f>
        <v>0</v>
      </c>
      <c r="C26" s="1121">
        <f t="shared" si="3"/>
        <v>0</v>
      </c>
      <c r="D26" s="1121">
        <f t="shared" si="3"/>
        <v>0</v>
      </c>
      <c r="E26" s="1121">
        <f t="shared" si="3"/>
        <v>0</v>
      </c>
      <c r="F26" s="1121">
        <f t="shared" si="3"/>
        <v>0</v>
      </c>
      <c r="G26" s="1121">
        <f t="shared" si="3"/>
        <v>0</v>
      </c>
      <c r="H26" s="1121">
        <f t="shared" si="3"/>
        <v>0</v>
      </c>
      <c r="I26" s="1121">
        <f t="shared" si="3"/>
        <v>0</v>
      </c>
      <c r="J26" s="1121">
        <f t="shared" si="3"/>
        <v>0</v>
      </c>
      <c r="K26" s="1121">
        <f t="shared" si="3"/>
        <v>0</v>
      </c>
      <c r="L26" s="1121">
        <f t="shared" si="3"/>
        <v>0</v>
      </c>
      <c r="M26" s="1121">
        <f t="shared" si="3"/>
        <v>0</v>
      </c>
      <c r="N26" s="1121">
        <f t="shared" si="3"/>
        <v>0</v>
      </c>
      <c r="O26" s="1121">
        <f t="shared" si="3"/>
        <v>0</v>
      </c>
      <c r="P26" s="1121">
        <f t="shared" si="3"/>
        <v>60000</v>
      </c>
      <c r="Q26" s="1121">
        <f t="shared" si="3"/>
        <v>0</v>
      </c>
      <c r="R26" s="1121">
        <f t="shared" si="3"/>
        <v>0</v>
      </c>
      <c r="S26" s="1121">
        <f t="shared" si="3"/>
        <v>0</v>
      </c>
      <c r="T26" s="1121">
        <f t="shared" si="3"/>
        <v>0</v>
      </c>
      <c r="U26" s="1121">
        <f t="shared" si="3"/>
        <v>0</v>
      </c>
      <c r="V26" s="1121">
        <f t="shared" si="3"/>
        <v>0</v>
      </c>
      <c r="W26" s="543"/>
    </row>
    <row r="27" spans="1:23">
      <c r="A27" s="704" t="s">
        <v>915</v>
      </c>
      <c r="B27" s="883"/>
      <c r="C27" s="1121">
        <f t="shared" ref="C27:V27" si="4">$D12*$D$8</f>
        <v>0</v>
      </c>
      <c r="D27" s="1121">
        <f t="shared" si="4"/>
        <v>0</v>
      </c>
      <c r="E27" s="1121">
        <f t="shared" si="4"/>
        <v>0</v>
      </c>
      <c r="F27" s="1121">
        <f t="shared" si="4"/>
        <v>0</v>
      </c>
      <c r="G27" s="1121">
        <f t="shared" si="4"/>
        <v>0</v>
      </c>
      <c r="H27" s="1121">
        <f t="shared" si="4"/>
        <v>0</v>
      </c>
      <c r="I27" s="1121">
        <f t="shared" si="4"/>
        <v>0</v>
      </c>
      <c r="J27" s="1121">
        <f t="shared" si="4"/>
        <v>0</v>
      </c>
      <c r="K27" s="1121">
        <f t="shared" si="4"/>
        <v>0</v>
      </c>
      <c r="L27" s="1121">
        <f t="shared" si="4"/>
        <v>0</v>
      </c>
      <c r="M27" s="1121">
        <f t="shared" si="4"/>
        <v>0</v>
      </c>
      <c r="N27" s="1121">
        <f t="shared" si="4"/>
        <v>0</v>
      </c>
      <c r="O27" s="1121">
        <f t="shared" si="4"/>
        <v>0</v>
      </c>
      <c r="P27" s="1121">
        <f t="shared" si="4"/>
        <v>0</v>
      </c>
      <c r="Q27" s="1121">
        <f t="shared" si="4"/>
        <v>0</v>
      </c>
      <c r="R27" s="1121">
        <f t="shared" si="4"/>
        <v>0</v>
      </c>
      <c r="S27" s="1121">
        <f t="shared" si="4"/>
        <v>0</v>
      </c>
      <c r="T27" s="1121">
        <f t="shared" si="4"/>
        <v>0</v>
      </c>
      <c r="U27" s="1121">
        <f t="shared" si="4"/>
        <v>0</v>
      </c>
      <c r="V27" s="1121">
        <f t="shared" si="4"/>
        <v>0</v>
      </c>
      <c r="W27" s="543"/>
    </row>
    <row r="28" spans="1:23" ht="13.5" thickBot="1">
      <c r="A28" s="704" t="s">
        <v>916</v>
      </c>
      <c r="B28" s="1121">
        <f t="shared" ref="B28:V28" si="5">IF(B23="M",$D$8*($D13*16),0)</f>
        <v>0</v>
      </c>
      <c r="C28" s="1121">
        <f t="shared" si="5"/>
        <v>0</v>
      </c>
      <c r="D28" s="1121">
        <f t="shared" si="5"/>
        <v>0</v>
      </c>
      <c r="E28" s="1121">
        <f t="shared" si="5"/>
        <v>0</v>
      </c>
      <c r="F28" s="1121">
        <f t="shared" si="5"/>
        <v>0</v>
      </c>
      <c r="G28" s="1121">
        <f t="shared" si="5"/>
        <v>0</v>
      </c>
      <c r="H28" s="1121">
        <f t="shared" si="5"/>
        <v>0</v>
      </c>
      <c r="I28" s="1121">
        <f t="shared" si="5"/>
        <v>0</v>
      </c>
      <c r="J28" s="1121">
        <f t="shared" si="5"/>
        <v>0</v>
      </c>
      <c r="K28" s="1121">
        <f t="shared" si="5"/>
        <v>0</v>
      </c>
      <c r="L28" s="1121">
        <f t="shared" si="5"/>
        <v>0</v>
      </c>
      <c r="M28" s="1121">
        <f t="shared" si="5"/>
        <v>0</v>
      </c>
      <c r="N28" s="1121">
        <f t="shared" si="5"/>
        <v>0</v>
      </c>
      <c r="O28" s="1121">
        <f t="shared" si="5"/>
        <v>0</v>
      </c>
      <c r="P28" s="1121">
        <f t="shared" si="5"/>
        <v>0</v>
      </c>
      <c r="Q28" s="1121">
        <f t="shared" si="5"/>
        <v>0</v>
      </c>
      <c r="R28" s="1121">
        <f t="shared" si="5"/>
        <v>0</v>
      </c>
      <c r="S28" s="1121">
        <f t="shared" si="5"/>
        <v>0</v>
      </c>
      <c r="T28" s="1121">
        <f t="shared" si="5"/>
        <v>0</v>
      </c>
      <c r="U28" s="1121">
        <f t="shared" si="5"/>
        <v>0</v>
      </c>
      <c r="V28" s="1121">
        <f t="shared" si="5"/>
        <v>0</v>
      </c>
      <c r="W28" s="543"/>
    </row>
    <row r="29" spans="1:23" ht="16.5" thickBot="1">
      <c r="A29" s="1122" t="s">
        <v>917</v>
      </c>
      <c r="B29" s="1123">
        <f t="shared" ref="B29:V29" si="6">SUM(B24:B28)</f>
        <v>0</v>
      </c>
      <c r="C29" s="1123">
        <f t="shared" si="6"/>
        <v>0</v>
      </c>
      <c r="D29" s="1123">
        <f t="shared" si="6"/>
        <v>0</v>
      </c>
      <c r="E29" s="1123">
        <f t="shared" si="6"/>
        <v>0</v>
      </c>
      <c r="F29" s="1123">
        <f t="shared" si="6"/>
        <v>0</v>
      </c>
      <c r="G29" s="1123">
        <f t="shared" si="6"/>
        <v>0</v>
      </c>
      <c r="H29" s="1123">
        <f t="shared" si="6"/>
        <v>0</v>
      </c>
      <c r="I29" s="1123">
        <f t="shared" si="6"/>
        <v>0</v>
      </c>
      <c r="J29" s="1123">
        <f t="shared" si="6"/>
        <v>0</v>
      </c>
      <c r="K29" s="1123">
        <f t="shared" si="6"/>
        <v>0</v>
      </c>
      <c r="L29" s="1123">
        <f t="shared" si="6"/>
        <v>0</v>
      </c>
      <c r="M29" s="1123">
        <f t="shared" si="6"/>
        <v>0</v>
      </c>
      <c r="N29" s="1123">
        <f t="shared" si="6"/>
        <v>0</v>
      </c>
      <c r="O29" s="1123">
        <f t="shared" si="6"/>
        <v>0</v>
      </c>
      <c r="P29" s="1123">
        <f t="shared" si="6"/>
        <v>8478000</v>
      </c>
      <c r="Q29" s="1123">
        <f t="shared" si="6"/>
        <v>0</v>
      </c>
      <c r="R29" s="1123">
        <f t="shared" si="6"/>
        <v>0</v>
      </c>
      <c r="S29" s="1123">
        <f t="shared" si="6"/>
        <v>0</v>
      </c>
      <c r="T29" s="1123">
        <f t="shared" si="6"/>
        <v>0</v>
      </c>
      <c r="U29" s="1123">
        <f t="shared" si="6"/>
        <v>0</v>
      </c>
      <c r="V29" s="1123">
        <f t="shared" si="6"/>
        <v>0</v>
      </c>
      <c r="W29" s="1124">
        <f>SUM(B29:V29)</f>
        <v>8478000</v>
      </c>
    </row>
    <row r="30" spans="1:23" ht="15.75">
      <c r="A30" s="1125"/>
      <c r="B30" s="1123"/>
      <c r="C30" s="1123"/>
      <c r="D30" s="1123"/>
      <c r="E30" s="1123"/>
      <c r="F30" s="1123"/>
      <c r="G30" s="1123"/>
      <c r="H30" s="1123"/>
      <c r="I30" s="1123"/>
      <c r="J30" s="1123"/>
      <c r="K30" s="1123"/>
      <c r="L30" s="1123"/>
      <c r="M30" s="1123"/>
      <c r="N30" s="1123"/>
      <c r="O30" s="1123"/>
      <c r="P30" s="1123"/>
      <c r="Q30" s="1123"/>
      <c r="R30" s="1123"/>
      <c r="S30" s="1123"/>
      <c r="T30" s="1123"/>
      <c r="U30" s="1123"/>
      <c r="V30" s="1123"/>
      <c r="W30" s="1126"/>
    </row>
    <row r="31" spans="1:23">
      <c r="A31" s="704" t="s">
        <v>918</v>
      </c>
      <c r="B31" s="285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543"/>
    </row>
    <row r="32" spans="1:23">
      <c r="A32" s="704" t="s">
        <v>919</v>
      </c>
      <c r="B32" s="285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5"/>
      <c r="N32" s="285"/>
      <c r="O32" s="285"/>
      <c r="P32" s="285"/>
      <c r="Q32" s="285"/>
      <c r="R32" s="285"/>
      <c r="S32" s="285"/>
      <c r="T32" s="285"/>
      <c r="U32" s="285"/>
      <c r="V32" s="285"/>
      <c r="W32" s="543"/>
    </row>
    <row r="33" spans="1:26">
      <c r="A33" s="704" t="s">
        <v>920</v>
      </c>
      <c r="B33" s="285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5"/>
      <c r="N33" s="285"/>
      <c r="O33" s="285"/>
      <c r="P33" s="285"/>
      <c r="Q33" s="285"/>
      <c r="R33" s="285"/>
      <c r="S33" s="285"/>
      <c r="T33" s="285"/>
      <c r="U33" s="285"/>
      <c r="V33" s="285"/>
      <c r="W33" s="543"/>
    </row>
    <row r="34" spans="1:26">
      <c r="A34" s="704" t="s">
        <v>921</v>
      </c>
      <c r="B34" s="285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5"/>
      <c r="N34" s="285"/>
      <c r="O34" s="285"/>
      <c r="P34" s="285"/>
      <c r="Q34" s="285"/>
      <c r="R34" s="285"/>
      <c r="S34" s="285"/>
      <c r="T34" s="285"/>
      <c r="U34" s="285"/>
      <c r="V34" s="285"/>
      <c r="W34" s="543"/>
    </row>
    <row r="35" spans="1:26" ht="13.5" thickBot="1">
      <c r="A35" s="1048" t="s">
        <v>922</v>
      </c>
      <c r="B35" s="1049"/>
      <c r="C35" s="1049"/>
      <c r="D35" s="1049"/>
      <c r="E35" s="1049"/>
      <c r="F35" s="1049"/>
      <c r="G35" s="1049"/>
      <c r="H35" s="1049"/>
      <c r="I35" s="1049"/>
      <c r="J35" s="1049"/>
      <c r="K35" s="1049"/>
      <c r="L35" s="1049"/>
      <c r="M35" s="1049"/>
      <c r="N35" s="1049"/>
      <c r="O35" s="1049"/>
      <c r="P35" s="1049"/>
      <c r="Q35" s="1049"/>
      <c r="R35" s="1049"/>
      <c r="S35" s="1049"/>
      <c r="T35" s="1049"/>
      <c r="U35" s="1049"/>
      <c r="V35" s="1049"/>
      <c r="W35" s="547"/>
    </row>
    <row r="36" spans="1:26">
      <c r="A36" s="285"/>
      <c r="B36" s="285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5"/>
      <c r="N36" s="285"/>
      <c r="O36" s="285"/>
      <c r="P36" s="285"/>
      <c r="Q36" s="285"/>
      <c r="R36" s="285"/>
      <c r="S36" s="285"/>
      <c r="T36" s="285"/>
      <c r="U36" s="285"/>
      <c r="V36" s="285"/>
      <c r="W36" s="285"/>
      <c r="X36" s="285"/>
      <c r="Y36" s="285"/>
      <c r="Z36" s="285"/>
    </row>
    <row r="37" spans="1:26" ht="13.5" hidden="1" thickBot="1">
      <c r="A37" s="285"/>
      <c r="B37" s="285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5"/>
      <c r="N37" s="285"/>
      <c r="O37" s="285"/>
      <c r="P37" s="285"/>
      <c r="Q37" s="285"/>
      <c r="R37" s="285"/>
      <c r="S37" s="285"/>
      <c r="T37" s="285"/>
      <c r="U37" s="285"/>
      <c r="V37" s="285"/>
      <c r="W37" s="285"/>
      <c r="X37" s="285"/>
      <c r="Y37" s="285"/>
      <c r="Z37" s="285"/>
    </row>
    <row r="38" spans="1:26" ht="18.75" hidden="1" thickBot="1">
      <c r="A38" s="1180" t="s">
        <v>923</v>
      </c>
      <c r="B38" s="1181"/>
      <c r="C38" s="1181"/>
      <c r="D38" s="1181"/>
      <c r="E38" s="1181"/>
      <c r="F38" s="1181"/>
      <c r="G38" s="1181"/>
      <c r="H38" s="1181"/>
      <c r="I38" s="1181"/>
      <c r="J38" s="1181"/>
      <c r="K38" s="1182"/>
      <c r="L38" s="285"/>
      <c r="M38" s="285"/>
    </row>
    <row r="39" spans="1:26" ht="18.75" hidden="1" thickBot="1">
      <c r="A39" s="1097" t="s">
        <v>882</v>
      </c>
      <c r="B39" s="285"/>
      <c r="C39" s="285"/>
      <c r="D39" s="285"/>
      <c r="E39" s="285"/>
      <c r="F39" s="1177" t="s">
        <v>883</v>
      </c>
      <c r="G39" s="1177"/>
      <c r="H39" s="1127">
        <v>20</v>
      </c>
      <c r="I39" s="1128" t="s">
        <v>1042</v>
      </c>
      <c r="J39" s="285"/>
      <c r="K39" s="543"/>
    </row>
    <row r="40" spans="1:26" ht="18" hidden="1">
      <c r="A40" s="1097" t="s">
        <v>924</v>
      </c>
      <c r="B40" s="285"/>
      <c r="C40" s="285"/>
      <c r="D40" s="285"/>
      <c r="E40" s="285"/>
      <c r="F40" s="285"/>
      <c r="G40" s="285"/>
      <c r="H40" s="1098">
        <f>V64</f>
        <v>85316400</v>
      </c>
      <c r="I40" s="1099" t="s">
        <v>885</v>
      </c>
      <c r="J40" s="285"/>
      <c r="K40" s="543"/>
    </row>
    <row r="41" spans="1:26" ht="18.75" hidden="1" thickBot="1">
      <c r="A41" s="704"/>
      <c r="B41" s="285"/>
      <c r="C41" s="285"/>
      <c r="D41" s="285"/>
      <c r="E41" s="285"/>
      <c r="F41" s="285"/>
      <c r="G41" s="285"/>
      <c r="H41" s="1098">
        <f>H40/$D$8</f>
        <v>14219400</v>
      </c>
      <c r="I41" s="1099" t="s">
        <v>886</v>
      </c>
      <c r="J41" s="285"/>
      <c r="K41" s="543"/>
    </row>
    <row r="42" spans="1:26" ht="18.75" hidden="1" thickBot="1">
      <c r="A42" s="1097" t="s">
        <v>887</v>
      </c>
      <c r="B42" s="1100"/>
      <c r="C42" s="1100"/>
      <c r="D42" s="1095">
        <v>1</v>
      </c>
      <c r="E42" s="285"/>
      <c r="F42" s="285"/>
      <c r="G42" s="285"/>
      <c r="H42" s="1098">
        <f>H41/H39</f>
        <v>710970</v>
      </c>
      <c r="I42" s="1099" t="s">
        <v>925</v>
      </c>
      <c r="J42" s="285"/>
      <c r="K42" s="543"/>
    </row>
    <row r="43" spans="1:26" ht="18.75" hidden="1" thickBot="1">
      <c r="A43" s="704"/>
      <c r="B43" s="285"/>
      <c r="C43" s="285"/>
      <c r="D43" s="285"/>
      <c r="E43" s="285"/>
      <c r="F43" s="285"/>
      <c r="G43" s="285"/>
      <c r="H43" s="1129">
        <f>H42/C54</f>
        <v>88.871250000000003</v>
      </c>
      <c r="I43" s="1099" t="s">
        <v>926</v>
      </c>
      <c r="J43" s="285"/>
      <c r="K43" s="543"/>
    </row>
    <row r="44" spans="1:26" ht="13.5" hidden="1" thickBot="1">
      <c r="A44" s="704"/>
      <c r="B44" s="285"/>
      <c r="C44" s="285"/>
      <c r="D44" s="285"/>
      <c r="E44" s="285"/>
      <c r="F44" s="285"/>
      <c r="G44" s="285"/>
      <c r="H44" s="285"/>
      <c r="I44" s="285"/>
      <c r="J44" s="285"/>
      <c r="K44" s="543"/>
    </row>
    <row r="45" spans="1:26" ht="15.75" hidden="1">
      <c r="A45" s="1130"/>
      <c r="B45" s="1106"/>
      <c r="C45" s="1106"/>
      <c r="D45" s="1131" t="s">
        <v>890</v>
      </c>
      <c r="E45" s="1106"/>
      <c r="F45" s="1106"/>
      <c r="G45" s="1106"/>
      <c r="H45" s="1106"/>
      <c r="I45" s="1106"/>
      <c r="J45" s="1106"/>
      <c r="K45" s="1106"/>
      <c r="L45" s="1094"/>
      <c r="M45" s="1106"/>
      <c r="N45" s="1106"/>
      <c r="O45" s="1106"/>
      <c r="P45" s="1106"/>
      <c r="Q45" s="1106"/>
      <c r="R45" s="1106"/>
      <c r="S45" s="1106"/>
      <c r="T45" s="1106"/>
      <c r="U45" s="1106"/>
      <c r="V45" s="1094"/>
      <c r="W45" s="718"/>
    </row>
    <row r="46" spans="1:26" hidden="1">
      <c r="A46" s="1107" t="s">
        <v>891</v>
      </c>
      <c r="B46" s="1108"/>
      <c r="C46" s="1109"/>
      <c r="D46" s="1110">
        <v>0</v>
      </c>
      <c r="E46" s="1111" t="s">
        <v>892</v>
      </c>
      <c r="F46" s="1104"/>
      <c r="G46" s="1104"/>
      <c r="H46" s="1112" t="s">
        <v>893</v>
      </c>
      <c r="I46" s="1112"/>
      <c r="J46" s="1104"/>
      <c r="K46" s="1104"/>
      <c r="L46" s="285"/>
      <c r="M46" s="1104"/>
      <c r="N46" s="1104"/>
      <c r="O46" s="1104"/>
      <c r="P46" s="1104"/>
      <c r="Q46" s="1104"/>
      <c r="R46" s="1104"/>
      <c r="S46" s="1104"/>
      <c r="T46" s="1104"/>
      <c r="U46" s="1104"/>
      <c r="V46" s="285"/>
      <c r="W46" s="543"/>
    </row>
    <row r="47" spans="1:26" hidden="1">
      <c r="A47" s="1107" t="s">
        <v>894</v>
      </c>
      <c r="B47" s="1108"/>
      <c r="C47" s="1109"/>
      <c r="D47" s="1110">
        <v>23900</v>
      </c>
      <c r="E47" s="1113" t="s">
        <v>895</v>
      </c>
      <c r="F47" s="1104"/>
      <c r="G47" s="1104"/>
      <c r="H47" s="1112" t="s">
        <v>927</v>
      </c>
      <c r="I47" s="285"/>
      <c r="J47" s="1104"/>
      <c r="K47" s="1104"/>
      <c r="L47" s="285"/>
      <c r="M47" s="1104"/>
      <c r="N47" s="1104"/>
      <c r="O47" s="1104"/>
      <c r="P47" s="1104"/>
      <c r="Q47" s="1104"/>
      <c r="R47" s="1104"/>
      <c r="S47" s="1104"/>
      <c r="T47" s="1104"/>
      <c r="U47" s="1104"/>
      <c r="V47" s="285"/>
      <c r="W47" s="543"/>
    </row>
    <row r="48" spans="1:26" hidden="1">
      <c r="A48" s="1107" t="s">
        <v>897</v>
      </c>
      <c r="B48" s="1108"/>
      <c r="C48" s="1109"/>
      <c r="D48" s="1110">
        <v>0</v>
      </c>
      <c r="E48" s="1113" t="s">
        <v>898</v>
      </c>
      <c r="F48" s="1104"/>
      <c r="G48" s="1104"/>
      <c r="H48" s="1112" t="s">
        <v>928</v>
      </c>
      <c r="I48" s="1112"/>
      <c r="J48" s="1104"/>
      <c r="K48" s="1104"/>
      <c r="L48" s="285"/>
      <c r="M48" s="1104"/>
      <c r="N48" s="1104"/>
      <c r="O48" s="1104"/>
      <c r="P48" s="1104"/>
      <c r="Q48" s="1104"/>
      <c r="R48" s="1104"/>
      <c r="S48" s="1104"/>
      <c r="T48" s="1104"/>
      <c r="U48" s="1104"/>
      <c r="V48" s="285"/>
      <c r="W48" s="543"/>
    </row>
    <row r="49" spans="1:23" hidden="1">
      <c r="A49" s="1107" t="s">
        <v>900</v>
      </c>
      <c r="B49" s="1108"/>
      <c r="C49" s="1109"/>
      <c r="D49" s="1110">
        <v>1403000</v>
      </c>
      <c r="E49" s="1113" t="s">
        <v>901</v>
      </c>
      <c r="F49" s="1112" t="s">
        <v>929</v>
      </c>
      <c r="G49" s="1104"/>
      <c r="H49" s="1112" t="s">
        <v>930</v>
      </c>
      <c r="I49" s="285"/>
      <c r="J49" s="1104"/>
      <c r="K49" s="1104"/>
      <c r="L49" s="285"/>
      <c r="M49" s="1104"/>
      <c r="N49" s="1104"/>
      <c r="O49" s="1104"/>
      <c r="P49" s="1104"/>
      <c r="Q49" s="1104"/>
      <c r="R49" s="1104"/>
      <c r="S49" s="1104"/>
      <c r="T49" s="1104"/>
      <c r="U49" s="1104"/>
      <c r="V49" s="285"/>
      <c r="W49" s="543"/>
    </row>
    <row r="50" spans="1:23" hidden="1">
      <c r="A50" s="1107" t="s">
        <v>931</v>
      </c>
      <c r="B50" s="1108"/>
      <c r="C50" s="1109"/>
      <c r="D50" s="1110">
        <v>3000000</v>
      </c>
      <c r="E50" s="1113" t="s">
        <v>901</v>
      </c>
      <c r="F50" s="1104"/>
      <c r="G50" s="1104"/>
      <c r="H50" s="1112" t="s">
        <v>932</v>
      </c>
      <c r="I50" s="285"/>
      <c r="J50" s="1104"/>
      <c r="K50" s="1104"/>
      <c r="L50" s="285"/>
      <c r="M50" s="1104"/>
      <c r="N50" s="1104"/>
      <c r="O50" s="1104"/>
      <c r="P50" s="1104"/>
      <c r="Q50" s="1104"/>
      <c r="R50" s="1104"/>
      <c r="S50" s="1104"/>
      <c r="T50" s="1104"/>
      <c r="U50" s="1104"/>
      <c r="V50" s="285"/>
      <c r="W50" s="543"/>
    </row>
    <row r="51" spans="1:23" hidden="1">
      <c r="A51" s="1107" t="s">
        <v>905</v>
      </c>
      <c r="B51" s="1108"/>
      <c r="C51" s="1109"/>
      <c r="D51" s="1114">
        <v>25000</v>
      </c>
      <c r="E51" s="1115"/>
      <c r="F51" s="1104"/>
      <c r="G51" s="1104"/>
      <c r="H51" s="1112" t="s">
        <v>933</v>
      </c>
      <c r="I51" s="1104"/>
      <c r="J51" s="1104"/>
      <c r="K51" s="1104"/>
      <c r="L51" s="285"/>
      <c r="M51" s="1104"/>
      <c r="N51" s="1104"/>
      <c r="O51" s="1104"/>
      <c r="P51" s="1104"/>
      <c r="Q51" s="1104"/>
      <c r="R51" s="1104"/>
      <c r="S51" s="1104"/>
      <c r="T51" s="1104"/>
      <c r="U51" s="1104"/>
      <c r="V51" s="285"/>
      <c r="W51" s="543"/>
    </row>
    <row r="52" spans="1:23" hidden="1">
      <c r="A52" s="1107" t="s">
        <v>907</v>
      </c>
      <c r="B52" s="1108"/>
      <c r="C52" s="1109"/>
      <c r="D52" s="1114">
        <v>25000</v>
      </c>
      <c r="E52" s="1115"/>
      <c r="F52" s="1104"/>
      <c r="G52" s="1104"/>
      <c r="H52" s="1112" t="s">
        <v>933</v>
      </c>
      <c r="I52" s="1104"/>
      <c r="J52" s="1104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543"/>
    </row>
    <row r="53" spans="1:23" hidden="1">
      <c r="A53" s="704"/>
      <c r="B53" s="1104"/>
      <c r="C53" s="1104"/>
      <c r="D53" s="1104"/>
      <c r="E53" s="1104"/>
      <c r="F53" s="1104"/>
      <c r="G53" s="1104"/>
      <c r="H53" s="1104"/>
      <c r="I53" s="1104"/>
      <c r="J53" s="1104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543"/>
    </row>
    <row r="54" spans="1:23" hidden="1">
      <c r="A54" s="1116" t="s">
        <v>949</v>
      </c>
      <c r="B54" s="1117"/>
      <c r="C54" s="1118">
        <v>8000</v>
      </c>
      <c r="D54" s="1119" t="s">
        <v>908</v>
      </c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543"/>
    </row>
    <row r="55" spans="1:23" hidden="1">
      <c r="A55" s="704" t="s">
        <v>992</v>
      </c>
      <c r="B55" s="883">
        <v>0</v>
      </c>
      <c r="C55" s="883">
        <v>1</v>
      </c>
      <c r="D55" s="883">
        <v>2</v>
      </c>
      <c r="E55" s="883">
        <v>3</v>
      </c>
      <c r="F55" s="883">
        <v>4</v>
      </c>
      <c r="G55" s="883">
        <v>5</v>
      </c>
      <c r="H55" s="883">
        <v>6</v>
      </c>
      <c r="I55" s="883">
        <v>7</v>
      </c>
      <c r="J55" s="883">
        <v>8</v>
      </c>
      <c r="K55" s="883">
        <v>9</v>
      </c>
      <c r="L55" s="883">
        <v>10</v>
      </c>
      <c r="M55" s="883">
        <v>11</v>
      </c>
      <c r="N55" s="883">
        <v>12</v>
      </c>
      <c r="O55" s="883">
        <v>13</v>
      </c>
      <c r="P55" s="883">
        <v>14</v>
      </c>
      <c r="Q55" s="883">
        <v>15</v>
      </c>
      <c r="R55" s="883">
        <v>16</v>
      </c>
      <c r="S55" s="883">
        <v>17</v>
      </c>
      <c r="T55" s="883">
        <v>18</v>
      </c>
      <c r="U55" s="883">
        <v>19</v>
      </c>
      <c r="V55" s="883">
        <v>20</v>
      </c>
      <c r="W55" s="543"/>
    </row>
    <row r="56" spans="1:23" hidden="1">
      <c r="A56" s="704" t="s">
        <v>909</v>
      </c>
      <c r="B56" s="1120"/>
      <c r="C56" s="1120">
        <f>$C54</f>
        <v>8000</v>
      </c>
      <c r="D56" s="1120">
        <f t="shared" ref="D56:V56" si="7">C56+$C54</f>
        <v>16000</v>
      </c>
      <c r="E56" s="1120">
        <f t="shared" si="7"/>
        <v>24000</v>
      </c>
      <c r="F56" s="1120">
        <f t="shared" si="7"/>
        <v>32000</v>
      </c>
      <c r="G56" s="1120">
        <f t="shared" si="7"/>
        <v>40000</v>
      </c>
      <c r="H56" s="1120">
        <f t="shared" si="7"/>
        <v>48000</v>
      </c>
      <c r="I56" s="1120">
        <f t="shared" si="7"/>
        <v>56000</v>
      </c>
      <c r="J56" s="1120">
        <f t="shared" si="7"/>
        <v>64000</v>
      </c>
      <c r="K56" s="1120">
        <f t="shared" si="7"/>
        <v>72000</v>
      </c>
      <c r="L56" s="1120">
        <f t="shared" si="7"/>
        <v>80000</v>
      </c>
      <c r="M56" s="1120">
        <f t="shared" si="7"/>
        <v>88000</v>
      </c>
      <c r="N56" s="1120">
        <f t="shared" si="7"/>
        <v>96000</v>
      </c>
      <c r="O56" s="1120">
        <f t="shared" si="7"/>
        <v>104000</v>
      </c>
      <c r="P56" s="1120">
        <f t="shared" si="7"/>
        <v>112000</v>
      </c>
      <c r="Q56" s="1120">
        <f t="shared" si="7"/>
        <v>120000</v>
      </c>
      <c r="R56" s="1120">
        <f t="shared" si="7"/>
        <v>128000</v>
      </c>
      <c r="S56" s="1120">
        <f t="shared" si="7"/>
        <v>136000</v>
      </c>
      <c r="T56" s="1120">
        <f t="shared" si="7"/>
        <v>144000</v>
      </c>
      <c r="U56" s="1120">
        <f t="shared" si="7"/>
        <v>152000</v>
      </c>
      <c r="V56" s="1120">
        <f t="shared" si="7"/>
        <v>160000</v>
      </c>
      <c r="W56" s="543"/>
    </row>
    <row r="57" spans="1:23" hidden="1">
      <c r="A57" s="704" t="s">
        <v>934</v>
      </c>
      <c r="B57" s="883"/>
      <c r="C57" s="883"/>
      <c r="D57" s="883"/>
      <c r="E57" s="883" t="s">
        <v>911</v>
      </c>
      <c r="F57" s="883"/>
      <c r="G57" s="883"/>
      <c r="H57" s="883" t="s">
        <v>1701</v>
      </c>
      <c r="I57" s="883"/>
      <c r="J57" s="883"/>
      <c r="K57" s="883"/>
      <c r="L57" s="883" t="s">
        <v>911</v>
      </c>
      <c r="M57" s="883"/>
      <c r="N57" s="883" t="s">
        <v>1701</v>
      </c>
      <c r="O57" s="883"/>
      <c r="P57" s="883"/>
      <c r="Q57" s="883" t="s">
        <v>911</v>
      </c>
      <c r="R57" s="883"/>
      <c r="S57" s="883"/>
      <c r="T57" s="883" t="s">
        <v>1701</v>
      </c>
      <c r="U57" s="883"/>
      <c r="V57" s="883"/>
      <c r="W57" s="543"/>
    </row>
    <row r="58" spans="1:23" hidden="1">
      <c r="A58" s="704" t="s">
        <v>935</v>
      </c>
      <c r="B58" s="1121">
        <f t="shared" ref="B58:V58" si="8">IF(B57="H",$D$8*$D49,IF(B57="M",$D$8*$D50,0))</f>
        <v>0</v>
      </c>
      <c r="C58" s="1121">
        <f t="shared" si="8"/>
        <v>0</v>
      </c>
      <c r="D58" s="1121">
        <f t="shared" si="8"/>
        <v>0</v>
      </c>
      <c r="E58" s="1121">
        <f t="shared" si="8"/>
        <v>8418000</v>
      </c>
      <c r="F58" s="1121">
        <f t="shared" si="8"/>
        <v>0</v>
      </c>
      <c r="G58" s="1121">
        <f t="shared" si="8"/>
        <v>0</v>
      </c>
      <c r="H58" s="1121">
        <f t="shared" si="8"/>
        <v>18000000</v>
      </c>
      <c r="I58" s="1121">
        <f t="shared" si="8"/>
        <v>0</v>
      </c>
      <c r="J58" s="1121">
        <f t="shared" si="8"/>
        <v>0</v>
      </c>
      <c r="K58" s="1121">
        <f t="shared" si="8"/>
        <v>0</v>
      </c>
      <c r="L58" s="1121">
        <f t="shared" si="8"/>
        <v>8418000</v>
      </c>
      <c r="M58" s="1121">
        <f t="shared" si="8"/>
        <v>0</v>
      </c>
      <c r="N58" s="1121">
        <f t="shared" si="8"/>
        <v>18000000</v>
      </c>
      <c r="O58" s="1121">
        <f t="shared" si="8"/>
        <v>0</v>
      </c>
      <c r="P58" s="1121">
        <f t="shared" si="8"/>
        <v>0</v>
      </c>
      <c r="Q58" s="1121">
        <f t="shared" si="8"/>
        <v>8418000</v>
      </c>
      <c r="R58" s="1121">
        <f t="shared" si="8"/>
        <v>0</v>
      </c>
      <c r="S58" s="1121">
        <f t="shared" si="8"/>
        <v>0</v>
      </c>
      <c r="T58" s="1121">
        <f t="shared" si="8"/>
        <v>18000000</v>
      </c>
      <c r="U58" s="1121">
        <f t="shared" si="8"/>
        <v>0</v>
      </c>
      <c r="V58" s="1121">
        <f t="shared" si="8"/>
        <v>0</v>
      </c>
      <c r="W58" s="543"/>
    </row>
    <row r="59" spans="1:23" hidden="1">
      <c r="A59" s="704" t="s">
        <v>913</v>
      </c>
      <c r="B59" s="1121"/>
      <c r="C59" s="1121">
        <f t="shared" ref="C59:V59" si="9">$D48*$D$8</f>
        <v>0</v>
      </c>
      <c r="D59" s="1121">
        <f t="shared" si="9"/>
        <v>0</v>
      </c>
      <c r="E59" s="1121">
        <f t="shared" si="9"/>
        <v>0</v>
      </c>
      <c r="F59" s="1121">
        <f t="shared" si="9"/>
        <v>0</v>
      </c>
      <c r="G59" s="1121">
        <f t="shared" si="9"/>
        <v>0</v>
      </c>
      <c r="H59" s="1121">
        <f t="shared" si="9"/>
        <v>0</v>
      </c>
      <c r="I59" s="1121">
        <f t="shared" si="9"/>
        <v>0</v>
      </c>
      <c r="J59" s="1121">
        <f t="shared" si="9"/>
        <v>0</v>
      </c>
      <c r="K59" s="1121">
        <f t="shared" si="9"/>
        <v>0</v>
      </c>
      <c r="L59" s="1121">
        <f t="shared" si="9"/>
        <v>0</v>
      </c>
      <c r="M59" s="1121">
        <f t="shared" si="9"/>
        <v>0</v>
      </c>
      <c r="N59" s="1121">
        <f t="shared" si="9"/>
        <v>0</v>
      </c>
      <c r="O59" s="1121">
        <f t="shared" si="9"/>
        <v>0</v>
      </c>
      <c r="P59" s="1121">
        <f t="shared" si="9"/>
        <v>0</v>
      </c>
      <c r="Q59" s="1121">
        <f t="shared" si="9"/>
        <v>0</v>
      </c>
      <c r="R59" s="1121">
        <f t="shared" si="9"/>
        <v>0</v>
      </c>
      <c r="S59" s="1121">
        <f t="shared" si="9"/>
        <v>0</v>
      </c>
      <c r="T59" s="1121">
        <f t="shared" si="9"/>
        <v>0</v>
      </c>
      <c r="U59" s="1121">
        <f t="shared" si="9"/>
        <v>0</v>
      </c>
      <c r="V59" s="1121">
        <f t="shared" si="9"/>
        <v>0</v>
      </c>
      <c r="W59" s="543"/>
    </row>
    <row r="60" spans="1:23" hidden="1">
      <c r="A60" s="704" t="s">
        <v>914</v>
      </c>
      <c r="B60" s="1121">
        <f t="shared" ref="B60:V60" si="10">IF(B57="H",$D51*$D$8,IF(B57="M",$D52*$D$8,0))</f>
        <v>0</v>
      </c>
      <c r="C60" s="1121">
        <f t="shared" si="10"/>
        <v>0</v>
      </c>
      <c r="D60" s="1121">
        <f t="shared" si="10"/>
        <v>0</v>
      </c>
      <c r="E60" s="1121">
        <f t="shared" si="10"/>
        <v>150000</v>
      </c>
      <c r="F60" s="1121">
        <f t="shared" si="10"/>
        <v>0</v>
      </c>
      <c r="G60" s="1121">
        <f t="shared" si="10"/>
        <v>0</v>
      </c>
      <c r="H60" s="1121">
        <f t="shared" si="10"/>
        <v>150000</v>
      </c>
      <c r="I60" s="1121">
        <f t="shared" si="10"/>
        <v>0</v>
      </c>
      <c r="J60" s="1121">
        <f t="shared" si="10"/>
        <v>0</v>
      </c>
      <c r="K60" s="1121">
        <f t="shared" si="10"/>
        <v>0</v>
      </c>
      <c r="L60" s="1121">
        <f t="shared" si="10"/>
        <v>150000</v>
      </c>
      <c r="M60" s="1121">
        <f t="shared" si="10"/>
        <v>0</v>
      </c>
      <c r="N60" s="1121">
        <f t="shared" si="10"/>
        <v>150000</v>
      </c>
      <c r="O60" s="1121">
        <f t="shared" si="10"/>
        <v>0</v>
      </c>
      <c r="P60" s="1121">
        <f t="shared" si="10"/>
        <v>0</v>
      </c>
      <c r="Q60" s="1121">
        <f t="shared" si="10"/>
        <v>150000</v>
      </c>
      <c r="R60" s="1121">
        <f t="shared" si="10"/>
        <v>0</v>
      </c>
      <c r="S60" s="1121">
        <f t="shared" si="10"/>
        <v>0</v>
      </c>
      <c r="T60" s="1121">
        <f t="shared" si="10"/>
        <v>150000</v>
      </c>
      <c r="U60" s="1121">
        <f t="shared" si="10"/>
        <v>0</v>
      </c>
      <c r="V60" s="1121">
        <f t="shared" si="10"/>
        <v>0</v>
      </c>
      <c r="W60" s="543"/>
    </row>
    <row r="61" spans="1:23" hidden="1">
      <c r="A61" s="704" t="s">
        <v>915</v>
      </c>
      <c r="B61" s="883"/>
      <c r="C61" s="1121">
        <f t="shared" ref="C61:V61" si="11">$D46*$D$8</f>
        <v>0</v>
      </c>
      <c r="D61" s="1121">
        <f t="shared" si="11"/>
        <v>0</v>
      </c>
      <c r="E61" s="1121">
        <f t="shared" si="11"/>
        <v>0</v>
      </c>
      <c r="F61" s="1121">
        <f t="shared" si="11"/>
        <v>0</v>
      </c>
      <c r="G61" s="1121">
        <f t="shared" si="11"/>
        <v>0</v>
      </c>
      <c r="H61" s="1121">
        <f t="shared" si="11"/>
        <v>0</v>
      </c>
      <c r="I61" s="1121">
        <f t="shared" si="11"/>
        <v>0</v>
      </c>
      <c r="J61" s="1121">
        <f t="shared" si="11"/>
        <v>0</v>
      </c>
      <c r="K61" s="1121">
        <f t="shared" si="11"/>
        <v>0</v>
      </c>
      <c r="L61" s="1121">
        <f t="shared" si="11"/>
        <v>0</v>
      </c>
      <c r="M61" s="1121">
        <f t="shared" si="11"/>
        <v>0</v>
      </c>
      <c r="N61" s="1121">
        <f t="shared" si="11"/>
        <v>0</v>
      </c>
      <c r="O61" s="1121">
        <f t="shared" si="11"/>
        <v>0</v>
      </c>
      <c r="P61" s="1121">
        <f t="shared" si="11"/>
        <v>0</v>
      </c>
      <c r="Q61" s="1121">
        <f t="shared" si="11"/>
        <v>0</v>
      </c>
      <c r="R61" s="1121">
        <f t="shared" si="11"/>
        <v>0</v>
      </c>
      <c r="S61" s="1121">
        <f t="shared" si="11"/>
        <v>0</v>
      </c>
      <c r="T61" s="1121">
        <f t="shared" si="11"/>
        <v>0</v>
      </c>
      <c r="U61" s="1121">
        <f t="shared" si="11"/>
        <v>0</v>
      </c>
      <c r="V61" s="1121">
        <f t="shared" si="11"/>
        <v>0</v>
      </c>
      <c r="W61" s="543"/>
    </row>
    <row r="62" spans="1:23" hidden="1">
      <c r="A62" s="704" t="s">
        <v>916</v>
      </c>
      <c r="B62" s="1121">
        <f t="shared" ref="B62:V62" si="12">IF(B57="M",$D$8*($D47*12),0)</f>
        <v>0</v>
      </c>
      <c r="C62" s="1121">
        <f t="shared" si="12"/>
        <v>0</v>
      </c>
      <c r="D62" s="1121">
        <f t="shared" si="12"/>
        <v>0</v>
      </c>
      <c r="E62" s="1121">
        <f t="shared" si="12"/>
        <v>0</v>
      </c>
      <c r="F62" s="1121">
        <f t="shared" si="12"/>
        <v>0</v>
      </c>
      <c r="G62" s="1121">
        <f t="shared" si="12"/>
        <v>0</v>
      </c>
      <c r="H62" s="1121">
        <f t="shared" si="12"/>
        <v>1720800</v>
      </c>
      <c r="I62" s="1121">
        <f t="shared" si="12"/>
        <v>0</v>
      </c>
      <c r="J62" s="1121">
        <f t="shared" si="12"/>
        <v>0</v>
      </c>
      <c r="K62" s="1121">
        <f t="shared" si="12"/>
        <v>0</v>
      </c>
      <c r="L62" s="1121">
        <f t="shared" si="12"/>
        <v>0</v>
      </c>
      <c r="M62" s="1121">
        <f t="shared" si="12"/>
        <v>0</v>
      </c>
      <c r="N62" s="1121">
        <f t="shared" si="12"/>
        <v>1720800</v>
      </c>
      <c r="O62" s="1121">
        <f t="shared" si="12"/>
        <v>0</v>
      </c>
      <c r="P62" s="1121">
        <f t="shared" si="12"/>
        <v>0</v>
      </c>
      <c r="Q62" s="1121">
        <f t="shared" si="12"/>
        <v>0</v>
      </c>
      <c r="R62" s="1121">
        <f t="shared" si="12"/>
        <v>0</v>
      </c>
      <c r="S62" s="1121">
        <f t="shared" si="12"/>
        <v>0</v>
      </c>
      <c r="T62" s="1121">
        <f t="shared" si="12"/>
        <v>1720800</v>
      </c>
      <c r="U62" s="1121">
        <f t="shared" si="12"/>
        <v>0</v>
      </c>
      <c r="V62" s="1121">
        <f t="shared" si="12"/>
        <v>0</v>
      </c>
      <c r="W62" s="543"/>
    </row>
    <row r="63" spans="1:23" ht="15.75" hidden="1">
      <c r="A63" s="704"/>
      <c r="B63" s="1123">
        <f t="shared" ref="B63:V63" si="13">SUM(B58:B62)</f>
        <v>0</v>
      </c>
      <c r="C63" s="1123">
        <f t="shared" si="13"/>
        <v>0</v>
      </c>
      <c r="D63" s="1123">
        <f t="shared" si="13"/>
        <v>0</v>
      </c>
      <c r="E63" s="1123">
        <f t="shared" si="13"/>
        <v>8568000</v>
      </c>
      <c r="F63" s="1123">
        <f t="shared" si="13"/>
        <v>0</v>
      </c>
      <c r="G63" s="1123">
        <f t="shared" si="13"/>
        <v>0</v>
      </c>
      <c r="H63" s="1123">
        <f t="shared" si="13"/>
        <v>19870800</v>
      </c>
      <c r="I63" s="1123">
        <f t="shared" si="13"/>
        <v>0</v>
      </c>
      <c r="J63" s="1123">
        <f t="shared" si="13"/>
        <v>0</v>
      </c>
      <c r="K63" s="1123">
        <f t="shared" si="13"/>
        <v>0</v>
      </c>
      <c r="L63" s="1123">
        <f t="shared" si="13"/>
        <v>8568000</v>
      </c>
      <c r="M63" s="1123">
        <f t="shared" si="13"/>
        <v>0</v>
      </c>
      <c r="N63" s="1123">
        <f t="shared" si="13"/>
        <v>19870800</v>
      </c>
      <c r="O63" s="1123">
        <f t="shared" si="13"/>
        <v>0</v>
      </c>
      <c r="P63" s="1123">
        <f t="shared" si="13"/>
        <v>0</v>
      </c>
      <c r="Q63" s="1123">
        <f t="shared" si="13"/>
        <v>8568000</v>
      </c>
      <c r="R63" s="1123">
        <f t="shared" si="13"/>
        <v>0</v>
      </c>
      <c r="S63" s="1123">
        <f t="shared" si="13"/>
        <v>0</v>
      </c>
      <c r="T63" s="1123">
        <f t="shared" si="13"/>
        <v>19870800</v>
      </c>
      <c r="U63" s="1123">
        <f t="shared" si="13"/>
        <v>0</v>
      </c>
      <c r="V63" s="1123">
        <f t="shared" si="13"/>
        <v>0</v>
      </c>
      <c r="W63" s="543"/>
    </row>
    <row r="64" spans="1:23" ht="15.75" hidden="1">
      <c r="A64" s="704"/>
      <c r="B64" s="1123"/>
      <c r="C64" s="1123">
        <f t="shared" ref="C64:V64" si="14">B64+C63</f>
        <v>0</v>
      </c>
      <c r="D64" s="1123">
        <f t="shared" si="14"/>
        <v>0</v>
      </c>
      <c r="E64" s="1123">
        <f t="shared" si="14"/>
        <v>8568000</v>
      </c>
      <c r="F64" s="1123">
        <f t="shared" si="14"/>
        <v>8568000</v>
      </c>
      <c r="G64" s="1123">
        <f t="shared" si="14"/>
        <v>8568000</v>
      </c>
      <c r="H64" s="1123">
        <f t="shared" si="14"/>
        <v>28438800</v>
      </c>
      <c r="I64" s="1123">
        <f t="shared" si="14"/>
        <v>28438800</v>
      </c>
      <c r="J64" s="1123">
        <f t="shared" si="14"/>
        <v>28438800</v>
      </c>
      <c r="K64" s="1123">
        <f t="shared" si="14"/>
        <v>28438800</v>
      </c>
      <c r="L64" s="1123">
        <f t="shared" si="14"/>
        <v>37006800</v>
      </c>
      <c r="M64" s="1123">
        <f t="shared" si="14"/>
        <v>37006800</v>
      </c>
      <c r="N64" s="1123">
        <f t="shared" si="14"/>
        <v>56877600</v>
      </c>
      <c r="O64" s="1123">
        <f t="shared" si="14"/>
        <v>56877600</v>
      </c>
      <c r="P64" s="1123">
        <f t="shared" si="14"/>
        <v>56877600</v>
      </c>
      <c r="Q64" s="1123">
        <f t="shared" si="14"/>
        <v>65445600</v>
      </c>
      <c r="R64" s="1123">
        <f t="shared" si="14"/>
        <v>65445600</v>
      </c>
      <c r="S64" s="1123">
        <f t="shared" si="14"/>
        <v>65445600</v>
      </c>
      <c r="T64" s="1123">
        <f t="shared" si="14"/>
        <v>85316400</v>
      </c>
      <c r="U64" s="1123">
        <f t="shared" si="14"/>
        <v>85316400</v>
      </c>
      <c r="V64" s="1123">
        <f t="shared" si="14"/>
        <v>85316400</v>
      </c>
      <c r="W64" s="543"/>
    </row>
    <row r="65" spans="1:23" hidden="1">
      <c r="A65" s="704" t="s">
        <v>918</v>
      </c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543"/>
    </row>
    <row r="66" spans="1:23" hidden="1">
      <c r="A66" s="704" t="s">
        <v>936</v>
      </c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543"/>
    </row>
    <row r="67" spans="1:23" hidden="1">
      <c r="A67" s="704" t="s">
        <v>937</v>
      </c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543"/>
    </row>
    <row r="68" spans="1:23" ht="13.5" hidden="1" thickBot="1">
      <c r="A68" s="1048" t="s">
        <v>938</v>
      </c>
      <c r="B68" s="1049"/>
      <c r="C68" s="1049"/>
      <c r="D68" s="1049"/>
      <c r="E68" s="1049"/>
      <c r="F68" s="1049"/>
      <c r="G68" s="1049"/>
      <c r="H68" s="1049"/>
      <c r="I68" s="1049"/>
      <c r="J68" s="1049"/>
      <c r="K68" s="1049"/>
      <c r="L68" s="1049"/>
      <c r="M68" s="1049"/>
      <c r="N68" s="1049"/>
      <c r="O68" s="1049"/>
      <c r="P68" s="1049"/>
      <c r="Q68" s="1049"/>
      <c r="R68" s="1049"/>
      <c r="S68" s="1049"/>
      <c r="T68" s="1049"/>
      <c r="U68" s="1049"/>
      <c r="V68" s="1049"/>
      <c r="W68" s="547"/>
    </row>
    <row r="69" spans="1:23" hidden="1"/>
    <row r="70" spans="1:23" hidden="1"/>
  </sheetData>
  <mergeCells count="6">
    <mergeCell ref="A1:W1"/>
    <mergeCell ref="F39:G39"/>
    <mergeCell ref="A2:W2"/>
    <mergeCell ref="A4:M4"/>
    <mergeCell ref="F5:G5"/>
    <mergeCell ref="A38:K38"/>
  </mergeCells>
  <printOptions horizontalCentered="1"/>
  <pageMargins left="0.75" right="0.75" top="1" bottom="1" header="0.5" footer="0.5"/>
  <pageSetup scale="40" orientation="landscape" horizontalDpi="4294967292" verticalDpi="4294967292" r:id="rId1"/>
  <headerFooter alignWithMargins="0">
    <oddFooter>&amp;LScot Chambers
&amp;D&amp;CPage _____&amp;R&amp;F
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35</vt:i4>
      </vt:variant>
    </vt:vector>
  </HeadingPairs>
  <TitlesOfParts>
    <vt:vector size="67" baseType="lpstr">
      <vt:lpstr>Preset Scenarios</vt:lpstr>
      <vt:lpstr>Assum</vt:lpstr>
      <vt:lpstr>Sensitivity</vt:lpstr>
      <vt:lpstr>Power Price</vt:lpstr>
      <vt:lpstr>Inflation</vt:lpstr>
      <vt:lpstr>Sum</vt:lpstr>
      <vt:lpstr>IS</vt:lpstr>
      <vt:lpstr>BS</vt:lpstr>
      <vt:lpstr>CF</vt:lpstr>
      <vt:lpstr>WC</vt:lpstr>
      <vt:lpstr>Debt</vt:lpstr>
      <vt:lpstr>Dep</vt:lpstr>
      <vt:lpstr>Taxes</vt:lpstr>
      <vt:lpstr>Carry</vt:lpstr>
      <vt:lpstr>Draw</vt:lpstr>
      <vt:lpstr>MaintPV</vt:lpstr>
      <vt:lpstr>Maint</vt:lpstr>
      <vt:lpstr>Log</vt:lpstr>
      <vt:lpstr>CapCost</vt:lpstr>
      <vt:lpstr>Scope</vt:lpstr>
      <vt:lpstr>Summary</vt:lpstr>
      <vt:lpstr>Assumptions</vt:lpstr>
      <vt:lpstr>Mob_Estimate</vt:lpstr>
      <vt:lpstr>Mob_Staffing</vt:lpstr>
      <vt:lpstr>Training</vt:lpstr>
      <vt:lpstr>ScopeSplit</vt:lpstr>
      <vt:lpstr>Mob_Backup</vt:lpstr>
      <vt:lpstr>O&amp;M_Estimate</vt:lpstr>
      <vt:lpstr>Plt_Staff</vt:lpstr>
      <vt:lpstr>Pay &amp; Benefits Calculations</vt:lpstr>
      <vt:lpstr>O&amp;M_Backup</vt:lpstr>
      <vt:lpstr>LM6000PC_MMR_Gas</vt:lpstr>
      <vt:lpstr>annual_hours</vt:lpstr>
      <vt:lpstr>availability</vt:lpstr>
      <vt:lpstr>BS</vt:lpstr>
      <vt:lpstr>cod</vt:lpstr>
      <vt:lpstr>'O&amp;M_Backup'!CompleteFilterPrint</vt:lpstr>
      <vt:lpstr>deg_cap</vt:lpstr>
      <vt:lpstr>dem_charge</vt:lpstr>
      <vt:lpstr>engy_charge</vt:lpstr>
      <vt:lpstr>Equity_Copy</vt:lpstr>
      <vt:lpstr>Loan_Copy</vt:lpstr>
      <vt:lpstr>Assum!Print_Area</vt:lpstr>
      <vt:lpstr>CF!Print_Area</vt:lpstr>
      <vt:lpstr>Debt!Print_Area</vt:lpstr>
      <vt:lpstr>Dep!Print_Area</vt:lpstr>
      <vt:lpstr>Draw!Print_Area</vt:lpstr>
      <vt:lpstr>IS!Print_Area</vt:lpstr>
      <vt:lpstr>Log!Print_Area</vt:lpstr>
      <vt:lpstr>Maint!Print_Area</vt:lpstr>
      <vt:lpstr>Mob_Backup!Print_Area</vt:lpstr>
      <vt:lpstr>Mob_Estimate!Print_Area</vt:lpstr>
      <vt:lpstr>'O&amp;M_Backup'!Print_Area</vt:lpstr>
      <vt:lpstr>'O&amp;M_Estimate'!Print_Area</vt:lpstr>
      <vt:lpstr>'Preset Scenarios'!Print_Area</vt:lpstr>
      <vt:lpstr>ScopeSplit!Print_Area</vt:lpstr>
      <vt:lpstr>Sensitivity!Print_Area</vt:lpstr>
      <vt:lpstr>Sum!Print_Area</vt:lpstr>
      <vt:lpstr>Summary!Print_Area</vt:lpstr>
      <vt:lpstr>Taxes!Print_Area</vt:lpstr>
      <vt:lpstr>Training!Print_Area</vt:lpstr>
      <vt:lpstr>CF!Print_Titles</vt:lpstr>
      <vt:lpstr>Debt!Print_Titles</vt:lpstr>
      <vt:lpstr>Dep!Print_Titles</vt:lpstr>
      <vt:lpstr>IS!Print_Titles</vt:lpstr>
      <vt:lpstr>'Power Price'!Print_Titles</vt:lpstr>
      <vt:lpstr>Taxes!Print_Titles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2000-03-13T20:50:43Z</cp:lastPrinted>
  <dcterms:created xsi:type="dcterms:W3CDTF">1999-04-02T01:38:38Z</dcterms:created>
  <dcterms:modified xsi:type="dcterms:W3CDTF">2023-09-13T22:58:32Z</dcterms:modified>
</cp:coreProperties>
</file>