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C065C578-AAF8-40CB-A914-1A2F0EE2097A}" xr6:coauthVersionLast="47" xr6:coauthVersionMax="47" xr10:uidLastSave="{00000000-0000-0000-0000-000000000000}"/>
  <bookViews>
    <workbookView xWindow="-120" yWindow="-120" windowWidth="38640" windowHeight="15720" tabRatio="592" firstSheet="4" activeTab="4"/>
  </bookViews>
  <sheets>
    <sheet name="Sheet2" sheetId="8" state="hidden" r:id="rId1"/>
    <sheet name="NA Mquip" sheetId="7" state="hidden" r:id="rId2"/>
    <sheet name="EECC" sheetId="6" state="hidden" r:id="rId3"/>
    <sheet name="To Update" sheetId="9" state="hidden" r:id="rId4"/>
    <sheet name="Summary" sheetId="5" r:id="rId5"/>
    <sheet name="Wilton" sheetId="12" r:id="rId6"/>
    <sheet name="Calvert City" sheetId="10" r:id="rId7"/>
    <sheet name="Gleason" sheetId="15" r:id="rId8"/>
    <sheet name="Wheatland" sheetId="13" r:id="rId9"/>
    <sheet name="Wilton - Nepco Scope Changes" sheetId="18" r:id="rId10"/>
    <sheet name="Gleason-Nepco Scope Changes" sheetId="19" r:id="rId11"/>
    <sheet name="Wheatland -Nepco Scope Changes" sheetId="20" r:id="rId12"/>
    <sheet name="Nepco Summary" sheetId="16" r:id="rId13"/>
  </sheets>
  <externalReferences>
    <externalReference r:id="rId14"/>
    <externalReference r:id="rId15"/>
  </externalReferences>
  <definedNames>
    <definedName name="_xlnm.Print_Area" localSheetId="6">'Calvert City'!$A$1:$BV$218</definedName>
    <definedName name="_xlnm.Print_Area" localSheetId="7">Gleason!$A$1:$BV$237</definedName>
    <definedName name="_xlnm.Print_Area" localSheetId="4">Summary!$A$1:$O$111</definedName>
    <definedName name="_xlnm.Print_Area" localSheetId="8">Wheatland!$A$1:$BT$200</definedName>
    <definedName name="_xlnm.Print_Area" localSheetId="5">Wilton!$A$1:$BT$200</definedName>
    <definedName name="_xlnm.Print_Titles" localSheetId="6">'Calvert City'!$A:$B,'Calvert City'!$1:$7</definedName>
    <definedName name="_xlnm.Print_Titles" localSheetId="7">Gleason!$A:$B,Gleason!$1:$7</definedName>
    <definedName name="_xlnm.Print_Titles" localSheetId="10">'Gleason-Nepco Scope Changes'!$1:$9</definedName>
    <definedName name="_xlnm.Print_Titles" localSheetId="8">Wheatland!$A:$B,Wheatland!$1:$7</definedName>
    <definedName name="_xlnm.Print_Titles" localSheetId="11">'Wheatland -Nepco Scope Changes'!$1:$9</definedName>
    <definedName name="_xlnm.Print_Titles" localSheetId="5">Wilton!$A:$B,Wilton!$1:$7</definedName>
    <definedName name="_xlnm.Print_Titles" localSheetId="9">'Wilton - Nepco Scope Changes'!$1:$9</definedName>
    <definedName name="To_Hide" localSheetId="6">'Calvert City'!$C:$I,'Calvert City'!$T:$BL,'Calvert City'!$BO:$BP,'Calvert City'!$BM:$BM</definedName>
    <definedName name="To_Hide" localSheetId="7">Gleason!$C:$I,Gleason!$T:$BL,Gleason!$BO:$BP,Gleason!$BM:$BM</definedName>
    <definedName name="To_Hide" localSheetId="8">Wheatland!$C:$I,Wheatland!$T:$BJ,Wheatland!$BM:$BN,Wheatland!$BK:$BK</definedName>
    <definedName name="To_Hide" localSheetId="5">Wilton!$C:$I,Wilton!$T:$BJ,Wilton!$BM:$BN,Wilton!$BK:$BK</definedName>
    <definedName name="To_Hide">#REF!,#REF!,#REF!,#REF!</definedName>
  </definedNames>
  <calcPr calcId="0" calcMode="manual" fullCalcOnLoad="1" calcOnSave="0"/>
</workbook>
</file>

<file path=xl/calcChain.xml><?xml version="1.0" encoding="utf-8"?>
<calcChain xmlns="http://schemas.openxmlformats.org/spreadsheetml/2006/main">
  <c r="A1" i="10" l="1"/>
  <c r="A2" i="10"/>
  <c r="BV2" i="10"/>
  <c r="BR3" i="10"/>
  <c r="BV3" i="10"/>
  <c r="B4" i="10"/>
  <c r="N7" i="10"/>
  <c r="R7" i="10"/>
  <c r="T7" i="10"/>
  <c r="V7" i="10"/>
  <c r="X7" i="10"/>
  <c r="Z7" i="10"/>
  <c r="AB7" i="10"/>
  <c r="AD7" i="10"/>
  <c r="AF7" i="10"/>
  <c r="AH7" i="10"/>
  <c r="AJ7" i="10"/>
  <c r="AL7" i="10"/>
  <c r="AN7" i="10"/>
  <c r="AP7" i="10"/>
  <c r="AR7" i="10"/>
  <c r="AT7" i="10"/>
  <c r="AV7" i="10"/>
  <c r="AX7" i="10"/>
  <c r="AZ7" i="10"/>
  <c r="BB7" i="10"/>
  <c r="BD7" i="10"/>
  <c r="BF7" i="10"/>
  <c r="BH7" i="10"/>
  <c r="BJ7" i="10"/>
  <c r="BL7" i="10"/>
  <c r="BN7" i="10"/>
  <c r="BP7" i="10"/>
  <c r="T9" i="10"/>
  <c r="V9" i="10"/>
  <c r="X9" i="10"/>
  <c r="AD9" i="10"/>
  <c r="BN9" i="10"/>
  <c r="BR9" i="10"/>
  <c r="BT9" i="10"/>
  <c r="BV9" i="10"/>
  <c r="T10" i="10"/>
  <c r="BN10" i="10"/>
  <c r="BR10" i="10"/>
  <c r="BT10" i="10"/>
  <c r="BV10" i="10"/>
  <c r="R11" i="10"/>
  <c r="BN11" i="10"/>
  <c r="BR11" i="10"/>
  <c r="BT11" i="10"/>
  <c r="BV11" i="10"/>
  <c r="R12" i="10"/>
  <c r="BN12" i="10"/>
  <c r="BR12" i="10"/>
  <c r="BT12" i="10"/>
  <c r="BV12" i="10"/>
  <c r="R13" i="10"/>
  <c r="BN13" i="10"/>
  <c r="BR13" i="10"/>
  <c r="BT13" i="10"/>
  <c r="BV13" i="10"/>
  <c r="BN14" i="10"/>
  <c r="BR14" i="10"/>
  <c r="BT14" i="10"/>
  <c r="BV14" i="10"/>
  <c r="BR15" i="10"/>
  <c r="BV15" i="10"/>
  <c r="N16" i="10"/>
  <c r="P16" i="10"/>
  <c r="R16" i="10"/>
  <c r="T16" i="10"/>
  <c r="V16" i="10"/>
  <c r="X16" i="10"/>
  <c r="Z16" i="10"/>
  <c r="AB16" i="10"/>
  <c r="AD16" i="10"/>
  <c r="AF16" i="10"/>
  <c r="AH16" i="10"/>
  <c r="AJ16" i="10"/>
  <c r="AL16" i="10"/>
  <c r="AN16" i="10"/>
  <c r="AP16" i="10"/>
  <c r="AR16" i="10"/>
  <c r="AT16" i="10"/>
  <c r="AV16" i="10"/>
  <c r="AX16" i="10"/>
  <c r="AZ16" i="10"/>
  <c r="BB16" i="10"/>
  <c r="BD16" i="10"/>
  <c r="BF16" i="10"/>
  <c r="BH16" i="10"/>
  <c r="BJ16" i="10"/>
  <c r="BL16" i="10"/>
  <c r="BN16" i="10"/>
  <c r="BP16" i="10"/>
  <c r="BR16" i="10"/>
  <c r="BT16" i="10"/>
  <c r="BV16" i="10"/>
  <c r="R18" i="10"/>
  <c r="BN18" i="10"/>
  <c r="BR18" i="10"/>
  <c r="BT18" i="10"/>
  <c r="BV18" i="10"/>
  <c r="BN19" i="10"/>
  <c r="BR19" i="10"/>
  <c r="BT19" i="10"/>
  <c r="BV19" i="10"/>
  <c r="BR20" i="10"/>
  <c r="BT20" i="10"/>
  <c r="BV20" i="10"/>
  <c r="BR21" i="10"/>
  <c r="BT21" i="10"/>
  <c r="BV21" i="10"/>
  <c r="BR22" i="10"/>
  <c r="BT22" i="10"/>
  <c r="BV22" i="10"/>
  <c r="BR23" i="10"/>
  <c r="BT23" i="10"/>
  <c r="BV23" i="10"/>
  <c r="BR24" i="10"/>
  <c r="BT24" i="10"/>
  <c r="BV24" i="10"/>
  <c r="R25" i="10"/>
  <c r="BN25" i="10"/>
  <c r="BR25" i="10"/>
  <c r="BT25" i="10"/>
  <c r="BV25" i="10"/>
  <c r="R26" i="10"/>
  <c r="BN26" i="10"/>
  <c r="BR26" i="10"/>
  <c r="BT26" i="10"/>
  <c r="BV26" i="10"/>
  <c r="R27" i="10"/>
  <c r="BN27" i="10"/>
  <c r="BR27" i="10"/>
  <c r="BT27" i="10"/>
  <c r="BV27" i="10"/>
  <c r="R28" i="10"/>
  <c r="BN28" i="10"/>
  <c r="BR28" i="10"/>
  <c r="BT28" i="10"/>
  <c r="BV28" i="10"/>
  <c r="R29" i="10"/>
  <c r="BN29" i="10"/>
  <c r="BR29" i="10"/>
  <c r="BT29" i="10"/>
  <c r="BV29" i="10"/>
  <c r="R30" i="10"/>
  <c r="BN30" i="10"/>
  <c r="BR30" i="10"/>
  <c r="BT30" i="10"/>
  <c r="BV30" i="10"/>
  <c r="R31" i="10"/>
  <c r="BN31" i="10"/>
  <c r="BR31" i="10"/>
  <c r="BT31" i="10"/>
  <c r="BV31" i="10"/>
  <c r="R32" i="10"/>
  <c r="BN32" i="10"/>
  <c r="BR32" i="10"/>
  <c r="BT32" i="10"/>
  <c r="BV32" i="10"/>
  <c r="BN33" i="10"/>
  <c r="BR33" i="10"/>
  <c r="BT33" i="10"/>
  <c r="BV33" i="10"/>
  <c r="BR34" i="10"/>
  <c r="BT34" i="10"/>
  <c r="BV34" i="10"/>
  <c r="N35" i="10"/>
  <c r="P35" i="10"/>
  <c r="R35" i="10"/>
  <c r="T35" i="10"/>
  <c r="V35" i="10"/>
  <c r="X35" i="10"/>
  <c r="Z35" i="10"/>
  <c r="AB35" i="10"/>
  <c r="AD35" i="10"/>
  <c r="AF35" i="10"/>
  <c r="AH35" i="10"/>
  <c r="AJ35" i="10"/>
  <c r="AL35" i="10"/>
  <c r="AN35" i="10"/>
  <c r="AP35" i="10"/>
  <c r="AR35" i="10"/>
  <c r="AT35" i="10"/>
  <c r="AV35" i="10"/>
  <c r="AX35" i="10"/>
  <c r="AZ35" i="10"/>
  <c r="BB35" i="10"/>
  <c r="BD35" i="10"/>
  <c r="BF35" i="10"/>
  <c r="BH35" i="10"/>
  <c r="BJ35" i="10"/>
  <c r="BL35" i="10"/>
  <c r="BN35" i="10"/>
  <c r="BP35" i="10"/>
  <c r="BR35" i="10"/>
  <c r="BT35" i="10"/>
  <c r="BV35" i="10"/>
  <c r="N37" i="10"/>
  <c r="P37" i="10"/>
  <c r="R37" i="10"/>
  <c r="T37" i="10"/>
  <c r="V37" i="10"/>
  <c r="X37" i="10"/>
  <c r="Z37" i="10"/>
  <c r="AB37" i="10"/>
  <c r="AD37" i="10"/>
  <c r="AF37" i="10"/>
  <c r="AH37" i="10"/>
  <c r="AJ37" i="10"/>
  <c r="AL37" i="10"/>
  <c r="AN37" i="10"/>
  <c r="AP37" i="10"/>
  <c r="AR37" i="10"/>
  <c r="AT37" i="10"/>
  <c r="AV37" i="10"/>
  <c r="AX37" i="10"/>
  <c r="AZ37" i="10"/>
  <c r="BB37" i="10"/>
  <c r="BD37" i="10"/>
  <c r="BF37" i="10"/>
  <c r="BH37" i="10"/>
  <c r="BJ37" i="10"/>
  <c r="BL37" i="10"/>
  <c r="BN37" i="10"/>
  <c r="BP37" i="10"/>
  <c r="BR37" i="10"/>
  <c r="BT37" i="10"/>
  <c r="BV37" i="10"/>
  <c r="BN41" i="10"/>
  <c r="BR41" i="10"/>
  <c r="BT41" i="10"/>
  <c r="BV41" i="10"/>
  <c r="BN42" i="10"/>
  <c r="BR42" i="10"/>
  <c r="BT42" i="10"/>
  <c r="BV42" i="10"/>
  <c r="BN43" i="10"/>
  <c r="BR43" i="10"/>
  <c r="BT43" i="10"/>
  <c r="BV43" i="10"/>
  <c r="BN44" i="10"/>
  <c r="BR44" i="10"/>
  <c r="BT44" i="10"/>
  <c r="BV44" i="10"/>
  <c r="BN45" i="10"/>
  <c r="BR45" i="10"/>
  <c r="BT45" i="10"/>
  <c r="BV45" i="10"/>
  <c r="BN46" i="10"/>
  <c r="BR46" i="10"/>
  <c r="BT46" i="10"/>
  <c r="BV46" i="10"/>
  <c r="BN47" i="10"/>
  <c r="BR47" i="10"/>
  <c r="BT47" i="10"/>
  <c r="BV47" i="10"/>
  <c r="BN48" i="10"/>
  <c r="BR48" i="10"/>
  <c r="BT48" i="10"/>
  <c r="BV48" i="10"/>
  <c r="BN49" i="10"/>
  <c r="BR49" i="10"/>
  <c r="BT49" i="10"/>
  <c r="BV49" i="10"/>
  <c r="BN50" i="10"/>
  <c r="BR50" i="10"/>
  <c r="BT50" i="10"/>
  <c r="BV50" i="10"/>
  <c r="R51" i="10"/>
  <c r="BN51" i="10"/>
  <c r="BR51" i="10"/>
  <c r="BT51" i="10"/>
  <c r="BV51" i="10"/>
  <c r="R52" i="10"/>
  <c r="BN52" i="10"/>
  <c r="BR52" i="10"/>
  <c r="BT52" i="10"/>
  <c r="BV52" i="10"/>
  <c r="R53" i="10"/>
  <c r="BN53" i="10"/>
  <c r="BR53" i="10"/>
  <c r="BT53" i="10"/>
  <c r="BV53" i="10"/>
  <c r="R54" i="10"/>
  <c r="BN54" i="10"/>
  <c r="BR54" i="10"/>
  <c r="BT54" i="10"/>
  <c r="BV54" i="10"/>
  <c r="R55" i="10"/>
  <c r="BN55" i="10"/>
  <c r="BR55" i="10"/>
  <c r="BT55" i="10"/>
  <c r="BV55" i="10"/>
  <c r="R56" i="10"/>
  <c r="BN56" i="10"/>
  <c r="BR56" i="10"/>
  <c r="BT56" i="10"/>
  <c r="BV56" i="10"/>
  <c r="R57" i="10"/>
  <c r="BN57" i="10"/>
  <c r="BR57" i="10"/>
  <c r="BT57" i="10"/>
  <c r="BV57" i="10"/>
  <c r="R58" i="10"/>
  <c r="BN58" i="10"/>
  <c r="BR58" i="10"/>
  <c r="BT58" i="10"/>
  <c r="BV58" i="10"/>
  <c r="R59" i="10"/>
  <c r="BN59" i="10"/>
  <c r="BR59" i="10"/>
  <c r="BT59" i="10"/>
  <c r="BV59" i="10"/>
  <c r="R60" i="10"/>
  <c r="BN60" i="10"/>
  <c r="BR60" i="10"/>
  <c r="BT60" i="10"/>
  <c r="BV60" i="10"/>
  <c r="R61" i="10"/>
  <c r="BN61" i="10"/>
  <c r="BR61" i="10"/>
  <c r="BT61" i="10"/>
  <c r="BV61" i="10"/>
  <c r="R62" i="10"/>
  <c r="BN62" i="10"/>
  <c r="BR62" i="10"/>
  <c r="BT62" i="10"/>
  <c r="BV62" i="10"/>
  <c r="R63" i="10"/>
  <c r="BN63" i="10"/>
  <c r="BR63" i="10"/>
  <c r="BT63" i="10"/>
  <c r="BV63" i="10"/>
  <c r="R64" i="10"/>
  <c r="BN64" i="10"/>
  <c r="BR64" i="10"/>
  <c r="BT64" i="10"/>
  <c r="BV64" i="10"/>
  <c r="R65" i="10"/>
  <c r="BN65" i="10"/>
  <c r="BR65" i="10"/>
  <c r="BT65" i="10"/>
  <c r="BV65" i="10"/>
  <c r="R66" i="10"/>
  <c r="BN66" i="10"/>
  <c r="BR66" i="10"/>
  <c r="BT66" i="10"/>
  <c r="BV66" i="10"/>
  <c r="R67" i="10"/>
  <c r="BN67" i="10"/>
  <c r="BR67" i="10"/>
  <c r="BT67" i="10"/>
  <c r="BV67" i="10"/>
  <c r="R68" i="10"/>
  <c r="BN68" i="10"/>
  <c r="BR68" i="10"/>
  <c r="BT68" i="10"/>
  <c r="BV68" i="10"/>
  <c r="BR69" i="10"/>
  <c r="BT69" i="10"/>
  <c r="BV69" i="10"/>
  <c r="N70" i="10"/>
  <c r="P70" i="10"/>
  <c r="R70" i="10"/>
  <c r="T70" i="10"/>
  <c r="V70" i="10"/>
  <c r="X70" i="10"/>
  <c r="Z70" i="10"/>
  <c r="AB70" i="10"/>
  <c r="AD70" i="10"/>
  <c r="AF70" i="10"/>
  <c r="AH70" i="10"/>
  <c r="AJ70" i="10"/>
  <c r="AL70" i="10"/>
  <c r="AN70" i="10"/>
  <c r="AP70" i="10"/>
  <c r="AR70" i="10"/>
  <c r="AT70" i="10"/>
  <c r="AV70" i="10"/>
  <c r="AX70" i="10"/>
  <c r="AZ70" i="10"/>
  <c r="BB70" i="10"/>
  <c r="BD70" i="10"/>
  <c r="BF70" i="10"/>
  <c r="BH70" i="10"/>
  <c r="BJ70" i="10"/>
  <c r="BL70" i="10"/>
  <c r="BN70" i="10"/>
  <c r="BP70" i="10"/>
  <c r="BR70" i="10"/>
  <c r="BT70" i="10"/>
  <c r="BV70" i="10"/>
  <c r="AH73" i="10"/>
  <c r="BN73" i="10"/>
  <c r="BR73" i="10"/>
  <c r="BT73" i="10"/>
  <c r="BV73" i="10"/>
  <c r="AH74" i="10"/>
  <c r="BN74" i="10"/>
  <c r="BR74" i="10"/>
  <c r="BT74" i="10"/>
  <c r="BV74" i="10"/>
  <c r="BN75" i="10"/>
  <c r="BR75" i="10"/>
  <c r="BT75" i="10"/>
  <c r="BV75" i="10"/>
  <c r="R76" i="10"/>
  <c r="BN76" i="10"/>
  <c r="BR76" i="10"/>
  <c r="BT76" i="10"/>
  <c r="BV76" i="10"/>
  <c r="R77" i="10"/>
  <c r="BN77" i="10"/>
  <c r="BR77" i="10"/>
  <c r="BT77" i="10"/>
  <c r="BV77" i="10"/>
  <c r="R78" i="10"/>
  <c r="BN78" i="10"/>
  <c r="BR78" i="10"/>
  <c r="BT78" i="10"/>
  <c r="BV78" i="10"/>
  <c r="BR79" i="10"/>
  <c r="N80" i="10"/>
  <c r="P80" i="10"/>
  <c r="R80" i="10"/>
  <c r="T80" i="10"/>
  <c r="V80" i="10"/>
  <c r="X80" i="10"/>
  <c r="Z80" i="10"/>
  <c r="AB80" i="10"/>
  <c r="AD80" i="10"/>
  <c r="AF80" i="10"/>
  <c r="AH80" i="10"/>
  <c r="AJ80" i="10"/>
  <c r="AL80" i="10"/>
  <c r="AN80" i="10"/>
  <c r="AP80" i="10"/>
  <c r="AR80" i="10"/>
  <c r="AT80" i="10"/>
  <c r="AV80" i="10"/>
  <c r="AX80" i="10"/>
  <c r="AZ80" i="10"/>
  <c r="BB80" i="10"/>
  <c r="BD80" i="10"/>
  <c r="BF80" i="10"/>
  <c r="BH80" i="10"/>
  <c r="BJ80" i="10"/>
  <c r="BL80" i="10"/>
  <c r="BN80" i="10"/>
  <c r="BP80" i="10"/>
  <c r="BR80" i="10"/>
  <c r="BT80" i="10"/>
  <c r="BV80" i="10"/>
  <c r="R83" i="10"/>
  <c r="BN83" i="10"/>
  <c r="BR83" i="10"/>
  <c r="BT83" i="10"/>
  <c r="BV83" i="10"/>
  <c r="R84" i="10"/>
  <c r="BN84" i="10"/>
  <c r="BR84" i="10"/>
  <c r="BT84" i="10"/>
  <c r="BV84" i="10"/>
  <c r="R85" i="10"/>
  <c r="BN85" i="10"/>
  <c r="BR85" i="10"/>
  <c r="BT85" i="10"/>
  <c r="BV85" i="10"/>
  <c r="R86" i="10"/>
  <c r="BN86" i="10"/>
  <c r="BR86" i="10"/>
  <c r="BT86" i="10"/>
  <c r="BV86" i="10"/>
  <c r="R87" i="10"/>
  <c r="BN87" i="10"/>
  <c r="BR87" i="10"/>
  <c r="BT87" i="10"/>
  <c r="BV87" i="10"/>
  <c r="N89" i="10"/>
  <c r="P89" i="10"/>
  <c r="R89" i="10"/>
  <c r="T89" i="10"/>
  <c r="V89" i="10"/>
  <c r="X89" i="10"/>
  <c r="Z89" i="10"/>
  <c r="AB89" i="10"/>
  <c r="AD89" i="10"/>
  <c r="AF89" i="10"/>
  <c r="AH89" i="10"/>
  <c r="AJ89" i="10"/>
  <c r="AL89" i="10"/>
  <c r="AN89" i="10"/>
  <c r="AP89" i="10"/>
  <c r="AR89" i="10"/>
  <c r="AT89" i="10"/>
  <c r="AV89" i="10"/>
  <c r="AX89" i="10"/>
  <c r="AZ89" i="10"/>
  <c r="BB89" i="10"/>
  <c r="BD89" i="10"/>
  <c r="BF89" i="10"/>
  <c r="BH89" i="10"/>
  <c r="BJ89" i="10"/>
  <c r="BL89" i="10"/>
  <c r="BN89" i="10"/>
  <c r="BP89" i="10"/>
  <c r="BR89" i="10"/>
  <c r="BT89" i="10"/>
  <c r="BV89" i="10"/>
  <c r="R92" i="10"/>
  <c r="BN92" i="10"/>
  <c r="BR92" i="10"/>
  <c r="BT92" i="10"/>
  <c r="BV92" i="10"/>
  <c r="R93" i="10"/>
  <c r="BN93" i="10"/>
  <c r="BR93" i="10"/>
  <c r="BT93" i="10"/>
  <c r="BV93" i="10"/>
  <c r="R94" i="10"/>
  <c r="BN94" i="10"/>
  <c r="BR94" i="10"/>
  <c r="BT94" i="10"/>
  <c r="BV94" i="10"/>
  <c r="R95" i="10"/>
  <c r="BN95" i="10"/>
  <c r="BR95" i="10"/>
  <c r="BT95" i="10"/>
  <c r="BV95" i="10"/>
  <c r="R96" i="10"/>
  <c r="BN96" i="10"/>
  <c r="BR96" i="10"/>
  <c r="BT96" i="10"/>
  <c r="BV96" i="10"/>
  <c r="R97" i="10"/>
  <c r="BN97" i="10"/>
  <c r="BR97" i="10"/>
  <c r="BT97" i="10"/>
  <c r="BV97" i="10"/>
  <c r="R98" i="10"/>
  <c r="BN98" i="10"/>
  <c r="BR98" i="10"/>
  <c r="BT98" i="10"/>
  <c r="BV98" i="10"/>
  <c r="R99" i="10"/>
  <c r="BN99" i="10"/>
  <c r="BR99" i="10"/>
  <c r="BT99" i="10"/>
  <c r="BV99" i="10"/>
  <c r="R100" i="10"/>
  <c r="BN100" i="10"/>
  <c r="BR100" i="10"/>
  <c r="BT100" i="10"/>
  <c r="BV100" i="10"/>
  <c r="BT101" i="10"/>
  <c r="BV101" i="10"/>
  <c r="R102" i="10"/>
  <c r="BN102" i="10"/>
  <c r="BR102" i="10"/>
  <c r="BT102" i="10"/>
  <c r="BV102" i="10"/>
  <c r="R103" i="10"/>
  <c r="BN103" i="10"/>
  <c r="BR103" i="10"/>
  <c r="BT103" i="10"/>
  <c r="BV103" i="10"/>
  <c r="R104" i="10"/>
  <c r="BN104" i="10"/>
  <c r="BR104" i="10"/>
  <c r="BT104" i="10"/>
  <c r="BV104" i="10"/>
  <c r="BT105" i="10"/>
  <c r="BV105" i="10"/>
  <c r="R106" i="10"/>
  <c r="BN106" i="10"/>
  <c r="BR106" i="10"/>
  <c r="BT106" i="10"/>
  <c r="BV106" i="10"/>
  <c r="R107" i="10"/>
  <c r="BN107" i="10"/>
  <c r="BR107" i="10"/>
  <c r="BT107" i="10"/>
  <c r="BV107" i="10"/>
  <c r="R108" i="10"/>
  <c r="BN108" i="10"/>
  <c r="BR108" i="10"/>
  <c r="BT108" i="10"/>
  <c r="BV108" i="10"/>
  <c r="R109" i="10"/>
  <c r="BN109" i="10"/>
  <c r="BR109" i="10"/>
  <c r="BT109" i="10"/>
  <c r="BV109" i="10"/>
  <c r="R110" i="10"/>
  <c r="BN110" i="10"/>
  <c r="BR110" i="10"/>
  <c r="BT110" i="10"/>
  <c r="BV110" i="10"/>
  <c r="R111" i="10"/>
  <c r="BN111" i="10"/>
  <c r="BR111" i="10"/>
  <c r="BT111" i="10"/>
  <c r="BV111" i="10"/>
  <c r="R112" i="10"/>
  <c r="BN112" i="10"/>
  <c r="BR112" i="10"/>
  <c r="BT112" i="10"/>
  <c r="BV112" i="10"/>
  <c r="R113" i="10"/>
  <c r="BN113" i="10"/>
  <c r="BR113" i="10"/>
  <c r="BT113" i="10"/>
  <c r="BV113" i="10"/>
  <c r="R114" i="10"/>
  <c r="BN114" i="10"/>
  <c r="BR114" i="10"/>
  <c r="BT114" i="10"/>
  <c r="BV114" i="10"/>
  <c r="R115" i="10"/>
  <c r="BN115" i="10"/>
  <c r="BR115" i="10"/>
  <c r="BT115" i="10"/>
  <c r="BV115" i="10"/>
  <c r="N117" i="10"/>
  <c r="P117" i="10"/>
  <c r="R117" i="10"/>
  <c r="T117" i="10"/>
  <c r="V117" i="10"/>
  <c r="X117" i="10"/>
  <c r="Z117" i="10"/>
  <c r="AB117" i="10"/>
  <c r="AD117" i="10"/>
  <c r="AF117" i="10"/>
  <c r="AH117" i="10"/>
  <c r="AJ117" i="10"/>
  <c r="AN117" i="10"/>
  <c r="AP117" i="10"/>
  <c r="AR117" i="10"/>
  <c r="AT117" i="10"/>
  <c r="AV117" i="10"/>
  <c r="AX117" i="10"/>
  <c r="AZ117" i="10"/>
  <c r="BB117" i="10"/>
  <c r="BD117" i="10"/>
  <c r="BF117" i="10"/>
  <c r="BH117" i="10"/>
  <c r="BJ117" i="10"/>
  <c r="BL117" i="10"/>
  <c r="BN117" i="10"/>
  <c r="BP117" i="10"/>
  <c r="BR117" i="10"/>
  <c r="BT117" i="10"/>
  <c r="BV117" i="10"/>
  <c r="R120" i="10"/>
  <c r="BN120" i="10"/>
  <c r="BR120" i="10"/>
  <c r="BT120" i="10"/>
  <c r="BV120" i="10"/>
  <c r="R121" i="10"/>
  <c r="BN121" i="10"/>
  <c r="BR121" i="10"/>
  <c r="BT121" i="10"/>
  <c r="BV121" i="10"/>
  <c r="R122" i="10"/>
  <c r="BN122" i="10"/>
  <c r="BR122" i="10"/>
  <c r="BT122" i="10"/>
  <c r="BV122" i="10"/>
  <c r="R123" i="10"/>
  <c r="BN123" i="10"/>
  <c r="BR123" i="10"/>
  <c r="BT123" i="10"/>
  <c r="BV123" i="10"/>
  <c r="R124" i="10"/>
  <c r="BN124" i="10"/>
  <c r="BR124" i="10"/>
  <c r="BT124" i="10"/>
  <c r="BV124" i="10"/>
  <c r="R125" i="10"/>
  <c r="BN125" i="10"/>
  <c r="BR125" i="10"/>
  <c r="BT125" i="10"/>
  <c r="BV125" i="10"/>
  <c r="R126" i="10"/>
  <c r="BN126" i="10"/>
  <c r="BR126" i="10"/>
  <c r="BT126" i="10"/>
  <c r="BV126" i="10"/>
  <c r="R127" i="10"/>
  <c r="BN127" i="10"/>
  <c r="BR127" i="10"/>
  <c r="BT127" i="10"/>
  <c r="BV127" i="10"/>
  <c r="R128" i="10"/>
  <c r="BN128" i="10"/>
  <c r="BR128" i="10"/>
  <c r="BT128" i="10"/>
  <c r="BV128" i="10"/>
  <c r="R129" i="10"/>
  <c r="BN129" i="10"/>
  <c r="BR129" i="10"/>
  <c r="BT129" i="10"/>
  <c r="BV129" i="10"/>
  <c r="N131" i="10"/>
  <c r="P131" i="10"/>
  <c r="R131" i="10"/>
  <c r="T131" i="10"/>
  <c r="V131" i="10"/>
  <c r="X131" i="10"/>
  <c r="Z131" i="10"/>
  <c r="AB131" i="10"/>
  <c r="AD131" i="10"/>
  <c r="AF131" i="10"/>
  <c r="AH131" i="10"/>
  <c r="AJ131" i="10"/>
  <c r="AN131" i="10"/>
  <c r="AP131" i="10"/>
  <c r="AR131" i="10"/>
  <c r="AT131" i="10"/>
  <c r="AV131" i="10"/>
  <c r="AX131" i="10"/>
  <c r="AZ131" i="10"/>
  <c r="BB131" i="10"/>
  <c r="BD131" i="10"/>
  <c r="BF131" i="10"/>
  <c r="BH131" i="10"/>
  <c r="BJ131" i="10"/>
  <c r="BL131" i="10"/>
  <c r="BN131" i="10"/>
  <c r="BP131" i="10"/>
  <c r="BR131" i="10"/>
  <c r="BT131" i="10"/>
  <c r="BV131" i="10"/>
  <c r="BN135" i="10"/>
  <c r="BR135" i="10"/>
  <c r="BT135" i="10"/>
  <c r="BV135" i="10"/>
  <c r="R136" i="10"/>
  <c r="BN136" i="10"/>
  <c r="BR136" i="10"/>
  <c r="BT136" i="10"/>
  <c r="BV136" i="10"/>
  <c r="BN137" i="10"/>
  <c r="BR137" i="10"/>
  <c r="BT137" i="10"/>
  <c r="BV137" i="10"/>
  <c r="N138" i="10"/>
  <c r="P138" i="10"/>
  <c r="R138" i="10"/>
  <c r="T138" i="10"/>
  <c r="V138" i="10"/>
  <c r="X138" i="10"/>
  <c r="Z138" i="10"/>
  <c r="AB138" i="10"/>
  <c r="AD138" i="10"/>
  <c r="AF138" i="10"/>
  <c r="AH138" i="10"/>
  <c r="AJ138" i="10"/>
  <c r="AL138" i="10"/>
  <c r="AN138" i="10"/>
  <c r="AP138" i="10"/>
  <c r="AR138" i="10"/>
  <c r="AT138" i="10"/>
  <c r="AV138" i="10"/>
  <c r="AX138" i="10"/>
  <c r="AZ138" i="10"/>
  <c r="BB138" i="10"/>
  <c r="BD138" i="10"/>
  <c r="BF138" i="10"/>
  <c r="BH138" i="10"/>
  <c r="BJ138" i="10"/>
  <c r="BL138" i="10"/>
  <c r="BN138" i="10"/>
  <c r="BP138" i="10"/>
  <c r="BR138" i="10"/>
  <c r="BT138" i="10"/>
  <c r="BV138" i="10"/>
  <c r="BN140" i="10"/>
  <c r="BR140" i="10"/>
  <c r="BT140" i="10"/>
  <c r="BV140" i="10"/>
  <c r="BN142" i="10"/>
  <c r="BR142" i="10"/>
  <c r="BT142" i="10"/>
  <c r="BV142" i="10"/>
  <c r="BN144" i="10"/>
  <c r="BR144" i="10"/>
  <c r="BT144" i="10"/>
  <c r="BV144" i="10"/>
  <c r="BN146" i="10"/>
  <c r="BR146" i="10"/>
  <c r="BT146" i="10"/>
  <c r="BV146" i="10"/>
  <c r="BN149" i="10"/>
  <c r="BR149" i="10"/>
  <c r="BT149" i="10"/>
  <c r="BV149" i="10"/>
  <c r="BN150" i="10"/>
  <c r="BR150" i="10"/>
  <c r="BT150" i="10"/>
  <c r="BV150" i="10"/>
  <c r="BN151" i="10"/>
  <c r="BR151" i="10"/>
  <c r="BT151" i="10"/>
  <c r="BV151" i="10"/>
  <c r="BR152" i="10"/>
  <c r="BT152" i="10"/>
  <c r="BV152" i="10"/>
  <c r="N153" i="10"/>
  <c r="P153" i="10"/>
  <c r="R153" i="10"/>
  <c r="T153" i="10"/>
  <c r="V153" i="10"/>
  <c r="X153" i="10"/>
  <c r="Z153" i="10"/>
  <c r="AB153" i="10"/>
  <c r="AD153" i="10"/>
  <c r="AF153" i="10"/>
  <c r="AH153" i="10"/>
  <c r="AJ153" i="10"/>
  <c r="AL153" i="10"/>
  <c r="AN153" i="10"/>
  <c r="AP153" i="10"/>
  <c r="AR153" i="10"/>
  <c r="AT153" i="10"/>
  <c r="AV153" i="10"/>
  <c r="AX153" i="10"/>
  <c r="AZ153" i="10"/>
  <c r="BB153" i="10"/>
  <c r="BD153" i="10"/>
  <c r="BF153" i="10"/>
  <c r="BH153" i="10"/>
  <c r="BJ153" i="10"/>
  <c r="BL153" i="10"/>
  <c r="BN153" i="10"/>
  <c r="BP153" i="10"/>
  <c r="BR153" i="10"/>
  <c r="BT153" i="10"/>
  <c r="BV153" i="10"/>
  <c r="AH156" i="10"/>
  <c r="BN156" i="10"/>
  <c r="BR156" i="10"/>
  <c r="BT156" i="10"/>
  <c r="BV156" i="10"/>
  <c r="AH157" i="10"/>
  <c r="BN157" i="10"/>
  <c r="BR157" i="10"/>
  <c r="BT157" i="10"/>
  <c r="BV157" i="10"/>
  <c r="X158" i="10"/>
  <c r="AD158" i="10"/>
  <c r="BN158" i="10"/>
  <c r="BR158" i="10"/>
  <c r="BT158" i="10"/>
  <c r="BV158" i="10"/>
  <c r="X159" i="10"/>
  <c r="Z159" i="10"/>
  <c r="AB159" i="10"/>
  <c r="AD159" i="10"/>
  <c r="BN159" i="10"/>
  <c r="BR159" i="10"/>
  <c r="BT159" i="10"/>
  <c r="BV159" i="10"/>
  <c r="BN160" i="10"/>
  <c r="BR160" i="10"/>
  <c r="BT160" i="10"/>
  <c r="BV160" i="10"/>
  <c r="AL161" i="10"/>
  <c r="AN161" i="10"/>
  <c r="BN161" i="10"/>
  <c r="BR161" i="10"/>
  <c r="BT161" i="10"/>
  <c r="BV161" i="10"/>
  <c r="BR162" i="10"/>
  <c r="N163" i="10"/>
  <c r="P163" i="10"/>
  <c r="R163" i="10"/>
  <c r="T163" i="10"/>
  <c r="V163" i="10"/>
  <c r="X163" i="10"/>
  <c r="Z163" i="10"/>
  <c r="AB163" i="10"/>
  <c r="AD163" i="10"/>
  <c r="AF163" i="10"/>
  <c r="AH163" i="10"/>
  <c r="AJ163" i="10"/>
  <c r="AL163" i="10"/>
  <c r="AN163" i="10"/>
  <c r="AP163" i="10"/>
  <c r="AR163" i="10"/>
  <c r="AT163" i="10"/>
  <c r="AV163" i="10"/>
  <c r="AX163" i="10"/>
  <c r="AZ163" i="10"/>
  <c r="BB163" i="10"/>
  <c r="BD163" i="10"/>
  <c r="BF163" i="10"/>
  <c r="BH163" i="10"/>
  <c r="BJ163" i="10"/>
  <c r="BL163" i="10"/>
  <c r="BN163" i="10"/>
  <c r="BP163" i="10"/>
  <c r="BR163" i="10"/>
  <c r="BT163" i="10"/>
  <c r="BV163" i="10"/>
  <c r="Q166" i="10"/>
  <c r="BN166" i="10"/>
  <c r="BR166" i="10"/>
  <c r="BT166" i="10"/>
  <c r="BU166" i="10"/>
  <c r="BV166" i="10"/>
  <c r="O167" i="10"/>
  <c r="Q167" i="10"/>
  <c r="BN167" i="10"/>
  <c r="BR167" i="10"/>
  <c r="BT167" i="10"/>
  <c r="M168" i="10"/>
  <c r="O168" i="10"/>
  <c r="Q168" i="10"/>
  <c r="BN168" i="10"/>
  <c r="BR168" i="10"/>
  <c r="BT168" i="10"/>
  <c r="BR169" i="10"/>
  <c r="BT169" i="10"/>
  <c r="M170" i="10"/>
  <c r="O170" i="10"/>
  <c r="Q170" i="10"/>
  <c r="R170" i="10"/>
  <c r="T170" i="10"/>
  <c r="V170" i="10"/>
  <c r="X170" i="10"/>
  <c r="Z170" i="10"/>
  <c r="AB170" i="10"/>
  <c r="AD170" i="10"/>
  <c r="AF170" i="10"/>
  <c r="AH170" i="10"/>
  <c r="AJ170" i="10"/>
  <c r="AL170" i="10"/>
  <c r="AN170" i="10"/>
  <c r="AP170" i="10"/>
  <c r="AR170" i="10"/>
  <c r="AT170" i="10"/>
  <c r="AV170" i="10"/>
  <c r="AX170" i="10"/>
  <c r="AZ170" i="10"/>
  <c r="BB170" i="10"/>
  <c r="BD170" i="10"/>
  <c r="BF170" i="10"/>
  <c r="BH170" i="10"/>
  <c r="BJ170" i="10"/>
  <c r="BL170" i="10"/>
  <c r="BN170" i="10"/>
  <c r="BP170" i="10"/>
  <c r="BR170" i="10"/>
  <c r="BT170" i="10"/>
  <c r="BU170" i="10"/>
  <c r="BV170" i="10"/>
  <c r="BN172" i="10"/>
  <c r="BR172" i="10"/>
  <c r="BT172" i="10"/>
  <c r="BV172" i="10"/>
  <c r="R175" i="10"/>
  <c r="BN175" i="10"/>
  <c r="BR175" i="10"/>
  <c r="BT175" i="10"/>
  <c r="BV175" i="10"/>
  <c r="BN176" i="10"/>
  <c r="BR176" i="10"/>
  <c r="BT176" i="10"/>
  <c r="BV176" i="10"/>
  <c r="BN177" i="10"/>
  <c r="BR177" i="10"/>
  <c r="BT177" i="10"/>
  <c r="BV177" i="10"/>
  <c r="N178" i="10"/>
  <c r="P178" i="10"/>
  <c r="R178" i="10"/>
  <c r="T178" i="10"/>
  <c r="V178" i="10"/>
  <c r="X178" i="10"/>
  <c r="Z178" i="10"/>
  <c r="AB178" i="10"/>
  <c r="AD178" i="10"/>
  <c r="AF178" i="10"/>
  <c r="AH178" i="10"/>
  <c r="AJ178" i="10"/>
  <c r="AL178" i="10"/>
  <c r="AN178" i="10"/>
  <c r="AP178" i="10"/>
  <c r="AR178" i="10"/>
  <c r="AT178" i="10"/>
  <c r="AV178" i="10"/>
  <c r="AX178" i="10"/>
  <c r="AZ178" i="10"/>
  <c r="BB178" i="10"/>
  <c r="BD178" i="10"/>
  <c r="BF178" i="10"/>
  <c r="BH178" i="10"/>
  <c r="BJ178" i="10"/>
  <c r="BL178" i="10"/>
  <c r="BN178" i="10"/>
  <c r="BP178" i="10"/>
  <c r="BR178" i="10"/>
  <c r="BT178" i="10"/>
  <c r="BV178" i="10"/>
  <c r="BN180" i="10"/>
  <c r="BR180" i="10"/>
  <c r="BT180" i="10"/>
  <c r="BV180" i="10"/>
  <c r="AD182" i="10"/>
  <c r="BN182" i="10"/>
  <c r="BR182" i="10"/>
  <c r="BT182" i="10"/>
  <c r="BV182" i="10"/>
  <c r="BN185" i="10"/>
  <c r="BR185" i="10"/>
  <c r="BT185" i="10"/>
  <c r="BV185" i="10"/>
  <c r="Z186" i="10"/>
  <c r="AB186" i="10"/>
  <c r="AD186" i="10"/>
  <c r="AF186" i="10"/>
  <c r="BN186" i="10"/>
  <c r="BR186" i="10"/>
  <c r="BT186" i="10"/>
  <c r="BV186" i="10"/>
  <c r="AL187" i="10"/>
  <c r="BN187" i="10"/>
  <c r="BR187" i="10"/>
  <c r="BT187" i="10"/>
  <c r="BV187" i="10"/>
  <c r="P188" i="10"/>
  <c r="AR188" i="10"/>
  <c r="BN188" i="10"/>
  <c r="BR188" i="10"/>
  <c r="BT188" i="10"/>
  <c r="BV188" i="10"/>
  <c r="AH189" i="10"/>
  <c r="AL189" i="10"/>
  <c r="BN189" i="10"/>
  <c r="BR189" i="10"/>
  <c r="BT189" i="10"/>
  <c r="BV189" i="10"/>
  <c r="N190" i="10"/>
  <c r="P190" i="10"/>
  <c r="R190" i="10"/>
  <c r="S190" i="10"/>
  <c r="T190" i="10"/>
  <c r="U190" i="10"/>
  <c r="V190" i="10"/>
  <c r="W190" i="10"/>
  <c r="X190" i="10"/>
  <c r="Y190" i="10"/>
  <c r="Z190" i="10"/>
  <c r="AA190" i="10"/>
  <c r="AB190" i="10"/>
  <c r="AC190" i="10"/>
  <c r="AD190" i="10"/>
  <c r="AE190" i="10"/>
  <c r="AF190" i="10"/>
  <c r="AH190" i="10"/>
  <c r="AJ190" i="10"/>
  <c r="AL190" i="10"/>
  <c r="AN190" i="10"/>
  <c r="AP190" i="10"/>
  <c r="AR190" i="10"/>
  <c r="AT190" i="10"/>
  <c r="AU190" i="10"/>
  <c r="AV190" i="10"/>
  <c r="AW190" i="10"/>
  <c r="AX190" i="10"/>
  <c r="AY190" i="10"/>
  <c r="AZ190" i="10"/>
  <c r="BA190" i="10"/>
  <c r="BB190" i="10"/>
  <c r="BC190" i="10"/>
  <c r="BD190" i="10"/>
  <c r="BE190" i="10"/>
  <c r="BF190" i="10"/>
  <c r="BG190" i="10"/>
  <c r="BH190" i="10"/>
  <c r="BI190" i="10"/>
  <c r="BJ190" i="10"/>
  <c r="BK190" i="10"/>
  <c r="BL190" i="10"/>
  <c r="BM190" i="10"/>
  <c r="BN190" i="10"/>
  <c r="BO190" i="10"/>
  <c r="BP190" i="10"/>
  <c r="BQ190" i="10"/>
  <c r="BR190" i="10"/>
  <c r="BS190" i="10"/>
  <c r="BT190" i="10"/>
  <c r="BU190" i="10"/>
  <c r="BV190" i="10"/>
  <c r="BW190" i="10"/>
  <c r="P193" i="10"/>
  <c r="AH193" i="10"/>
  <c r="BN193" i="10"/>
  <c r="BR193" i="10"/>
  <c r="BT193" i="10"/>
  <c r="BV193" i="10"/>
  <c r="P194" i="10"/>
  <c r="AH194" i="10"/>
  <c r="BN194" i="10"/>
  <c r="BR194" i="10"/>
  <c r="BT194" i="10"/>
  <c r="BV194" i="10"/>
  <c r="BN195" i="10"/>
  <c r="BR195" i="10"/>
  <c r="BT195" i="10"/>
  <c r="BV195" i="10"/>
  <c r="N196" i="10"/>
  <c r="O196" i="10"/>
  <c r="P196" i="10"/>
  <c r="Q196" i="10"/>
  <c r="R196" i="10"/>
  <c r="T196" i="10"/>
  <c r="V196" i="10"/>
  <c r="X196" i="10"/>
  <c r="Z196" i="10"/>
  <c r="AB196" i="10"/>
  <c r="AD196" i="10"/>
  <c r="AF196" i="10"/>
  <c r="AH196" i="10"/>
  <c r="AJ196" i="10"/>
  <c r="AL196" i="10"/>
  <c r="AN196" i="10"/>
  <c r="AP196" i="10"/>
  <c r="AR196" i="10"/>
  <c r="AT196" i="10"/>
  <c r="AV196" i="10"/>
  <c r="AX196" i="10"/>
  <c r="AZ196" i="10"/>
  <c r="BB196" i="10"/>
  <c r="BD196" i="10"/>
  <c r="BF196" i="10"/>
  <c r="BH196" i="10"/>
  <c r="BJ196" i="10"/>
  <c r="BL196" i="10"/>
  <c r="BN196" i="10"/>
  <c r="BP196" i="10"/>
  <c r="BR196" i="10"/>
  <c r="BT196" i="10"/>
  <c r="BV196" i="10"/>
  <c r="P198" i="10"/>
  <c r="V198" i="10"/>
  <c r="Z198" i="10"/>
  <c r="AF198" i="10"/>
  <c r="AH198" i="10"/>
  <c r="AJ198" i="10"/>
  <c r="AL198" i="10"/>
  <c r="BN198" i="10"/>
  <c r="BR198" i="10"/>
  <c r="BT198" i="10"/>
  <c r="BV198" i="10"/>
  <c r="R200" i="10"/>
  <c r="S200" i="10"/>
  <c r="T200" i="10"/>
  <c r="U200" i="10"/>
  <c r="V200" i="10"/>
  <c r="W200" i="10"/>
  <c r="X200" i="10"/>
  <c r="Y200" i="10"/>
  <c r="Z200" i="10"/>
  <c r="AA200" i="10"/>
  <c r="AB200" i="10"/>
  <c r="AC200" i="10"/>
  <c r="AD200" i="10"/>
  <c r="AE200" i="10"/>
  <c r="AF200" i="10"/>
  <c r="AH200" i="10"/>
  <c r="AJ200" i="10"/>
  <c r="AL200" i="10"/>
  <c r="AN200" i="10"/>
  <c r="AP200" i="10"/>
  <c r="AR200" i="10"/>
  <c r="AT200" i="10"/>
  <c r="AU200" i="10"/>
  <c r="AV200" i="10"/>
  <c r="AW200" i="10"/>
  <c r="AX200" i="10"/>
  <c r="AY200" i="10"/>
  <c r="AZ200" i="10"/>
  <c r="BA200" i="10"/>
  <c r="BB200" i="10"/>
  <c r="BC200" i="10"/>
  <c r="BD200" i="10"/>
  <c r="BE200" i="10"/>
  <c r="BF200" i="10"/>
  <c r="BG200" i="10"/>
  <c r="BH200" i="10"/>
  <c r="BI200" i="10"/>
  <c r="BJ200" i="10"/>
  <c r="BK200" i="10"/>
  <c r="BL200" i="10"/>
  <c r="BM200" i="10"/>
  <c r="BN200" i="10"/>
  <c r="BO200" i="10"/>
  <c r="BP200" i="10"/>
  <c r="BQ200" i="10"/>
  <c r="BR200" i="10"/>
  <c r="BS200" i="10"/>
  <c r="BT200" i="10"/>
  <c r="BU200" i="10"/>
  <c r="BV200" i="10"/>
  <c r="BW200" i="10"/>
  <c r="P202" i="10"/>
  <c r="BN202" i="10"/>
  <c r="BR202" i="10"/>
  <c r="BT202" i="10"/>
  <c r="BV202" i="10"/>
  <c r="R205" i="10"/>
  <c r="S205" i="10"/>
  <c r="T205" i="10"/>
  <c r="U205" i="10"/>
  <c r="V205" i="10"/>
  <c r="W205" i="10"/>
  <c r="X205" i="10"/>
  <c r="Y205" i="10"/>
  <c r="Z205" i="10"/>
  <c r="AA205" i="10"/>
  <c r="AB205" i="10"/>
  <c r="AC205" i="10"/>
  <c r="AD205" i="10"/>
  <c r="AE205" i="10"/>
  <c r="AF205" i="10"/>
  <c r="AH205" i="10"/>
  <c r="AJ205" i="10"/>
  <c r="AL205" i="10"/>
  <c r="AN205" i="10"/>
  <c r="AP205" i="10"/>
  <c r="AR205" i="10"/>
  <c r="AT205" i="10"/>
  <c r="AU205" i="10"/>
  <c r="AV205" i="10"/>
  <c r="AW205" i="10"/>
  <c r="AX205" i="10"/>
  <c r="AY205" i="10"/>
  <c r="AZ205" i="10"/>
  <c r="BA205" i="10"/>
  <c r="BB205" i="10"/>
  <c r="BC205" i="10"/>
  <c r="BD205" i="10"/>
  <c r="BE205" i="10"/>
  <c r="BF205" i="10"/>
  <c r="BG205" i="10"/>
  <c r="BH205" i="10"/>
  <c r="BI205" i="10"/>
  <c r="BJ205" i="10"/>
  <c r="BK205" i="10"/>
  <c r="BL205" i="10"/>
  <c r="BM205" i="10"/>
  <c r="BN205" i="10"/>
  <c r="BO205" i="10"/>
  <c r="BP205" i="10"/>
  <c r="BQ205" i="10"/>
  <c r="BR205" i="10"/>
  <c r="BS205" i="10"/>
  <c r="BT205" i="10"/>
  <c r="BU205" i="10"/>
  <c r="BV205" i="10"/>
  <c r="BT206" i="10"/>
  <c r="P208" i="10"/>
  <c r="BN208" i="10"/>
  <c r="BT208" i="10"/>
  <c r="BV208" i="10"/>
  <c r="BN210" i="10"/>
  <c r="BR210" i="10"/>
  <c r="BT210" i="10"/>
  <c r="BV210" i="10"/>
  <c r="BN212" i="10"/>
  <c r="BT212" i="10"/>
  <c r="AD214" i="10"/>
  <c r="AH214" i="10"/>
  <c r="AP214" i="10"/>
  <c r="AR214" i="10"/>
  <c r="BN214" i="10"/>
  <c r="BT214" i="10"/>
  <c r="BV214" i="10"/>
  <c r="R216" i="10"/>
  <c r="S216" i="10"/>
  <c r="T216" i="10"/>
  <c r="U216" i="10"/>
  <c r="V216" i="10"/>
  <c r="W216" i="10"/>
  <c r="X216" i="10"/>
  <c r="Y216" i="10"/>
  <c r="Z216" i="10"/>
  <c r="AA216" i="10"/>
  <c r="AB216" i="10"/>
  <c r="AC216" i="10"/>
  <c r="AD216" i="10"/>
  <c r="AE216" i="10"/>
  <c r="AF216" i="10"/>
  <c r="AH216" i="10"/>
  <c r="AJ216" i="10"/>
  <c r="AL216" i="10"/>
  <c r="AN216" i="10"/>
  <c r="AP216" i="10"/>
  <c r="AR216" i="10"/>
  <c r="AT216" i="10"/>
  <c r="AU216" i="10"/>
  <c r="AV216" i="10"/>
  <c r="AW216" i="10"/>
  <c r="AX216" i="10"/>
  <c r="AY216" i="10"/>
  <c r="AZ216" i="10"/>
  <c r="BA216" i="10"/>
  <c r="BB216" i="10"/>
  <c r="BC216" i="10"/>
  <c r="BD216" i="10"/>
  <c r="BE216" i="10"/>
  <c r="BF216" i="10"/>
  <c r="BG216" i="10"/>
  <c r="BH216" i="10"/>
  <c r="BI216" i="10"/>
  <c r="BJ216" i="10"/>
  <c r="BK216" i="10"/>
  <c r="BL216" i="10"/>
  <c r="BM216" i="10"/>
  <c r="BN216" i="10"/>
  <c r="BO216" i="10"/>
  <c r="BP216" i="10"/>
  <c r="BQ216" i="10"/>
  <c r="BR216" i="10"/>
  <c r="BS216" i="10"/>
  <c r="BT216" i="10"/>
  <c r="BU216" i="10"/>
  <c r="BV216" i="10"/>
  <c r="BW216" i="10"/>
  <c r="G6" i="6"/>
  <c r="G7" i="6"/>
  <c r="G8" i="6"/>
  <c r="G10" i="6"/>
  <c r="G12" i="6"/>
  <c r="C14" i="6"/>
  <c r="E14" i="6"/>
  <c r="G14" i="6"/>
  <c r="A1" i="15"/>
  <c r="A2" i="15"/>
  <c r="BV2" i="15"/>
  <c r="BR3" i="15"/>
  <c r="BV3" i="15"/>
  <c r="B4" i="15"/>
  <c r="N7" i="15"/>
  <c r="R7" i="15"/>
  <c r="T7" i="15"/>
  <c r="V7" i="15"/>
  <c r="X7" i="15"/>
  <c r="Z7" i="15"/>
  <c r="AB7" i="15"/>
  <c r="AD7" i="15"/>
  <c r="AF7" i="15"/>
  <c r="AH7" i="15"/>
  <c r="AJ7" i="15"/>
  <c r="AL7" i="15"/>
  <c r="AN7" i="15"/>
  <c r="AP7" i="15"/>
  <c r="AR7" i="15"/>
  <c r="AT7" i="15"/>
  <c r="AV7" i="15"/>
  <c r="AX7" i="15"/>
  <c r="AZ7" i="15"/>
  <c r="BB7" i="15"/>
  <c r="BD7" i="15"/>
  <c r="BF7" i="15"/>
  <c r="BH7" i="15"/>
  <c r="BJ7" i="15"/>
  <c r="BL7" i="15"/>
  <c r="BN7" i="15"/>
  <c r="BP7" i="15"/>
  <c r="BN9" i="15"/>
  <c r="BP9" i="15"/>
  <c r="BR9" i="15"/>
  <c r="BT9" i="15"/>
  <c r="BV9" i="15"/>
  <c r="BN10" i="15"/>
  <c r="BP10" i="15"/>
  <c r="BR10" i="15"/>
  <c r="BT10" i="15"/>
  <c r="BV10" i="15"/>
  <c r="R11" i="15"/>
  <c r="BN11" i="15"/>
  <c r="BR11" i="15"/>
  <c r="BT11" i="15"/>
  <c r="BV11" i="15"/>
  <c r="R12" i="15"/>
  <c r="BN12" i="15"/>
  <c r="BR12" i="15"/>
  <c r="BT12" i="15"/>
  <c r="BV12" i="15"/>
  <c r="R13" i="15"/>
  <c r="BN13" i="15"/>
  <c r="BR13" i="15"/>
  <c r="BT13" i="15"/>
  <c r="BV13" i="15"/>
  <c r="BN14" i="15"/>
  <c r="BR14" i="15"/>
  <c r="BT14" i="15"/>
  <c r="BV14" i="15"/>
  <c r="BR15" i="15"/>
  <c r="BV15" i="15"/>
  <c r="N16" i="15"/>
  <c r="P16" i="15"/>
  <c r="R16" i="15"/>
  <c r="T16" i="15"/>
  <c r="V16" i="15"/>
  <c r="X16" i="15"/>
  <c r="Z16" i="15"/>
  <c r="AB16" i="15"/>
  <c r="AD16" i="15"/>
  <c r="AF16" i="15"/>
  <c r="AH16" i="15"/>
  <c r="AJ16" i="15"/>
  <c r="AL16" i="15"/>
  <c r="AN16" i="15"/>
  <c r="AP16" i="15"/>
  <c r="AR16" i="15"/>
  <c r="AT16" i="15"/>
  <c r="AV16" i="15"/>
  <c r="AX16" i="15"/>
  <c r="AZ16" i="15"/>
  <c r="BB16" i="15"/>
  <c r="BD16" i="15"/>
  <c r="BF16" i="15"/>
  <c r="BH16" i="15"/>
  <c r="BJ16" i="15"/>
  <c r="BL16" i="15"/>
  <c r="BN16" i="15"/>
  <c r="BP16" i="15"/>
  <c r="BR16" i="15"/>
  <c r="BT16" i="15"/>
  <c r="BV16" i="15"/>
  <c r="R18" i="15"/>
  <c r="BN18" i="15"/>
  <c r="BR18" i="15"/>
  <c r="BT18" i="15"/>
  <c r="BV18" i="15"/>
  <c r="AV19" i="15"/>
  <c r="AZ19" i="15"/>
  <c r="BN19" i="15"/>
  <c r="BP19" i="15"/>
  <c r="BR19" i="15"/>
  <c r="BT19" i="15"/>
  <c r="BV19" i="15"/>
  <c r="BN20" i="15"/>
  <c r="BR20" i="15"/>
  <c r="BT20" i="15"/>
  <c r="BV20" i="15"/>
  <c r="BN21" i="15"/>
  <c r="BR21" i="15"/>
  <c r="BT21" i="15"/>
  <c r="BV21" i="15"/>
  <c r="BN22" i="15"/>
  <c r="BR22" i="15"/>
  <c r="BT22" i="15"/>
  <c r="BV22" i="15"/>
  <c r="BN23" i="15"/>
  <c r="BR23" i="15"/>
  <c r="BT23" i="15"/>
  <c r="BV23" i="15"/>
  <c r="BN24" i="15"/>
  <c r="BR24" i="15"/>
  <c r="BT24" i="15"/>
  <c r="BV24" i="15"/>
  <c r="R25" i="15"/>
  <c r="BN25" i="15"/>
  <c r="BR25" i="15"/>
  <c r="BT25" i="15"/>
  <c r="BV25" i="15"/>
  <c r="R26" i="15"/>
  <c r="BN26" i="15"/>
  <c r="BR26" i="15"/>
  <c r="BT26" i="15"/>
  <c r="BV26" i="15"/>
  <c r="R27" i="15"/>
  <c r="BN27" i="15"/>
  <c r="BR27" i="15"/>
  <c r="BT27" i="15"/>
  <c r="BV27" i="15"/>
  <c r="R28" i="15"/>
  <c r="BN28" i="15"/>
  <c r="BR28" i="15"/>
  <c r="BT28" i="15"/>
  <c r="BV28" i="15"/>
  <c r="R29" i="15"/>
  <c r="BN29" i="15"/>
  <c r="BR29" i="15"/>
  <c r="BT29" i="15"/>
  <c r="BV29" i="15"/>
  <c r="R30" i="15"/>
  <c r="BN30" i="15"/>
  <c r="BR30" i="15"/>
  <c r="BT30" i="15"/>
  <c r="BV30" i="15"/>
  <c r="R31" i="15"/>
  <c r="BN31" i="15"/>
  <c r="BR31" i="15"/>
  <c r="BT31" i="15"/>
  <c r="BV31" i="15"/>
  <c r="R32" i="15"/>
  <c r="BN32" i="15"/>
  <c r="BR32" i="15"/>
  <c r="BT32" i="15"/>
  <c r="BV32" i="15"/>
  <c r="BN33" i="15"/>
  <c r="BR33" i="15"/>
  <c r="BT33" i="15"/>
  <c r="BV33" i="15"/>
  <c r="BR34" i="15"/>
  <c r="BT34" i="15"/>
  <c r="BV34" i="15"/>
  <c r="N35" i="15"/>
  <c r="P35" i="15"/>
  <c r="R35" i="15"/>
  <c r="T35" i="15"/>
  <c r="V35" i="15"/>
  <c r="X35" i="15"/>
  <c r="Z35" i="15"/>
  <c r="AB35" i="15"/>
  <c r="AD35" i="15"/>
  <c r="AF35" i="15"/>
  <c r="AH35" i="15"/>
  <c r="AJ35" i="15"/>
  <c r="AL35" i="15"/>
  <c r="AN35" i="15"/>
  <c r="AP35" i="15"/>
  <c r="AR35" i="15"/>
  <c r="AT35" i="15"/>
  <c r="AV35" i="15"/>
  <c r="AX35" i="15"/>
  <c r="AZ35" i="15"/>
  <c r="BB35" i="15"/>
  <c r="BD35" i="15"/>
  <c r="BF35" i="15"/>
  <c r="BH35" i="15"/>
  <c r="BJ35" i="15"/>
  <c r="BL35" i="15"/>
  <c r="BN35" i="15"/>
  <c r="BP35" i="15"/>
  <c r="BR35" i="15"/>
  <c r="BT35" i="15"/>
  <c r="BV35" i="15"/>
  <c r="N37" i="15"/>
  <c r="P37" i="15"/>
  <c r="R37" i="15"/>
  <c r="T37" i="15"/>
  <c r="V37" i="15"/>
  <c r="X37" i="15"/>
  <c r="Z37" i="15"/>
  <c r="AB37" i="15"/>
  <c r="AD37" i="15"/>
  <c r="AF37" i="15"/>
  <c r="AH37" i="15"/>
  <c r="AJ37" i="15"/>
  <c r="AL37" i="15"/>
  <c r="AN37" i="15"/>
  <c r="AP37" i="15"/>
  <c r="AR37" i="15"/>
  <c r="AT37" i="15"/>
  <c r="AV37" i="15"/>
  <c r="AX37" i="15"/>
  <c r="AZ37" i="15"/>
  <c r="BB37" i="15"/>
  <c r="BD37" i="15"/>
  <c r="BF37" i="15"/>
  <c r="BH37" i="15"/>
  <c r="BJ37" i="15"/>
  <c r="BL37" i="15"/>
  <c r="BN37" i="15"/>
  <c r="BP37" i="15"/>
  <c r="BR37" i="15"/>
  <c r="BT37" i="15"/>
  <c r="BV37" i="15"/>
  <c r="AV43" i="15"/>
  <c r="AZ43" i="15"/>
  <c r="BN43" i="15"/>
  <c r="BP43" i="15"/>
  <c r="BR43" i="15"/>
  <c r="BT43" i="15"/>
  <c r="BV43" i="15"/>
  <c r="AR44" i="15"/>
  <c r="AV44" i="15"/>
  <c r="AZ44" i="15"/>
  <c r="BN44" i="15"/>
  <c r="BP44" i="15"/>
  <c r="BR44" i="15"/>
  <c r="BT44" i="15"/>
  <c r="BV44" i="15"/>
  <c r="AR45" i="15"/>
  <c r="AV45" i="15"/>
  <c r="AZ45" i="15"/>
  <c r="BN45" i="15"/>
  <c r="BP45" i="15"/>
  <c r="BR45" i="15"/>
  <c r="BT45" i="15"/>
  <c r="BV45" i="15"/>
  <c r="AV46" i="15"/>
  <c r="AZ46" i="15"/>
  <c r="BN46" i="15"/>
  <c r="BP46" i="15"/>
  <c r="BR46" i="15"/>
  <c r="BT46" i="15"/>
  <c r="BV46" i="15"/>
  <c r="AV47" i="15"/>
  <c r="AZ47" i="15"/>
  <c r="BN47" i="15"/>
  <c r="BR47" i="15"/>
  <c r="BT47" i="15"/>
  <c r="BV47" i="15"/>
  <c r="BN48" i="15"/>
  <c r="BR48" i="15"/>
  <c r="BT48" i="15"/>
  <c r="BV48" i="15"/>
  <c r="BN49" i="15"/>
  <c r="BR49" i="15"/>
  <c r="BT49" i="15"/>
  <c r="BV49" i="15"/>
  <c r="BN50" i="15"/>
  <c r="BR50" i="15"/>
  <c r="BT50" i="15"/>
  <c r="BV50" i="15"/>
  <c r="AZ51" i="15"/>
  <c r="BN51" i="15"/>
  <c r="BR51" i="15"/>
  <c r="BT51" i="15"/>
  <c r="BV51" i="15"/>
  <c r="AZ52" i="15"/>
  <c r="BN52" i="15"/>
  <c r="BR52" i="15"/>
  <c r="BT52" i="15"/>
  <c r="BV52" i="15"/>
  <c r="BN53" i="15"/>
  <c r="BR53" i="15"/>
  <c r="BT53" i="15"/>
  <c r="BV53" i="15"/>
  <c r="R54" i="15"/>
  <c r="S54" i="15"/>
  <c r="T54" i="15"/>
  <c r="U54" i="15"/>
  <c r="V54" i="15"/>
  <c r="W54" i="15"/>
  <c r="X54" i="15"/>
  <c r="Y54" i="15"/>
  <c r="Z54" i="15"/>
  <c r="AA54" i="15"/>
  <c r="AB54" i="15"/>
  <c r="AC54" i="15"/>
  <c r="AD54" i="15"/>
  <c r="AE54" i="15"/>
  <c r="AF54" i="15"/>
  <c r="AG54" i="15"/>
  <c r="AH54" i="15"/>
  <c r="AJ54" i="15"/>
  <c r="AL54" i="15"/>
  <c r="AN54" i="15"/>
  <c r="AP54" i="15"/>
  <c r="AR54" i="15"/>
  <c r="AS54" i="15"/>
  <c r="AT54" i="15"/>
  <c r="AU54" i="15"/>
  <c r="AV54" i="15"/>
  <c r="AW54" i="15"/>
  <c r="AX54" i="15"/>
  <c r="AY54" i="15"/>
  <c r="AZ54" i="15"/>
  <c r="BA54" i="15"/>
  <c r="BB54" i="15"/>
  <c r="BC54" i="15"/>
  <c r="BD54" i="15"/>
  <c r="BE54" i="15"/>
  <c r="BF54" i="15"/>
  <c r="BG54" i="15"/>
  <c r="BH54" i="15"/>
  <c r="BI54" i="15"/>
  <c r="BJ54" i="15"/>
  <c r="BK54" i="15"/>
  <c r="BL54" i="15"/>
  <c r="BM54" i="15"/>
  <c r="BN54" i="15"/>
  <c r="BO54" i="15"/>
  <c r="BP54" i="15"/>
  <c r="BQ54" i="15"/>
  <c r="BR54" i="15"/>
  <c r="BS54" i="15"/>
  <c r="BT54" i="15"/>
  <c r="BV54" i="15"/>
  <c r="AZ57" i="15"/>
  <c r="BN57" i="15"/>
  <c r="BR57" i="15"/>
  <c r="BT57" i="15"/>
  <c r="BV57" i="15"/>
  <c r="AZ58" i="15"/>
  <c r="BN58" i="15"/>
  <c r="BP58" i="15"/>
  <c r="BR58" i="15"/>
  <c r="BT58" i="15"/>
  <c r="BV58" i="15"/>
  <c r="BN59" i="15"/>
  <c r="BR59" i="15"/>
  <c r="BT59" i="15"/>
  <c r="BV59" i="15"/>
  <c r="BN60" i="15"/>
  <c r="BP60" i="15"/>
  <c r="BR60" i="15"/>
  <c r="BT60" i="15"/>
  <c r="BV60" i="15"/>
  <c r="BN61" i="15"/>
  <c r="BR61" i="15"/>
  <c r="BT61" i="15"/>
  <c r="BV61" i="15"/>
  <c r="R63" i="15"/>
  <c r="S63" i="15"/>
  <c r="T63" i="15"/>
  <c r="U63" i="15"/>
  <c r="V63" i="15"/>
  <c r="W63" i="15"/>
  <c r="X63" i="15"/>
  <c r="Y63" i="15"/>
  <c r="Z63" i="15"/>
  <c r="AA63" i="15"/>
  <c r="AB63" i="15"/>
  <c r="AC63" i="15"/>
  <c r="AD63" i="15"/>
  <c r="AE63" i="15"/>
  <c r="AF63" i="15"/>
  <c r="AG63" i="15"/>
  <c r="AH63" i="15"/>
  <c r="AJ63" i="15"/>
  <c r="AL63" i="15"/>
  <c r="AN63" i="15"/>
  <c r="AP63" i="15"/>
  <c r="AR63" i="15"/>
  <c r="AS63" i="15"/>
  <c r="AT63" i="15"/>
  <c r="AU63" i="15"/>
  <c r="AV63" i="15"/>
  <c r="AW63" i="15"/>
  <c r="AX63" i="15"/>
  <c r="AY63" i="15"/>
  <c r="AZ63" i="15"/>
  <c r="BA63" i="15"/>
  <c r="BB63" i="15"/>
  <c r="BC63" i="15"/>
  <c r="BD63" i="15"/>
  <c r="BE63" i="15"/>
  <c r="BF63" i="15"/>
  <c r="BG63" i="15"/>
  <c r="BH63" i="15"/>
  <c r="BI63" i="15"/>
  <c r="BJ63" i="15"/>
  <c r="BK63" i="15"/>
  <c r="BL63" i="15"/>
  <c r="BM63" i="15"/>
  <c r="BN63" i="15"/>
  <c r="BO63" i="15"/>
  <c r="BP63" i="15"/>
  <c r="BQ63" i="15"/>
  <c r="BR63" i="15"/>
  <c r="BS63" i="15"/>
  <c r="BT63" i="15"/>
  <c r="BV63" i="15"/>
  <c r="R66" i="15"/>
  <c r="AV66" i="15"/>
  <c r="AZ66" i="15"/>
  <c r="BN66" i="15"/>
  <c r="BR66" i="15"/>
  <c r="BT66" i="15"/>
  <c r="BV66" i="15"/>
  <c r="AV67" i="15"/>
  <c r="AZ67" i="15"/>
  <c r="BN67" i="15"/>
  <c r="BP67" i="15"/>
  <c r="BR67" i="15"/>
  <c r="BT67" i="15"/>
  <c r="BV67" i="15"/>
  <c r="AZ68" i="15"/>
  <c r="BN68" i="15"/>
  <c r="BR68" i="15"/>
  <c r="BT68" i="15"/>
  <c r="BV68" i="15"/>
  <c r="BN69" i="15"/>
  <c r="BP69" i="15"/>
  <c r="BR69" i="15"/>
  <c r="BT69" i="15"/>
  <c r="BV69" i="15"/>
  <c r="AZ70" i="15"/>
  <c r="BN70" i="15"/>
  <c r="BR70" i="15"/>
  <c r="BT70" i="15"/>
  <c r="BV70" i="15"/>
  <c r="AV71" i="15"/>
  <c r="AZ71" i="15"/>
  <c r="BN71" i="15"/>
  <c r="BP71" i="15"/>
  <c r="BR71" i="15"/>
  <c r="BT71" i="15"/>
  <c r="BV71" i="15"/>
  <c r="AZ72" i="15"/>
  <c r="BN72" i="15"/>
  <c r="BR72" i="15"/>
  <c r="BT72" i="15"/>
  <c r="BV72" i="15"/>
  <c r="BN73" i="15"/>
  <c r="BP73" i="15"/>
  <c r="BR73" i="15"/>
  <c r="BT73" i="15"/>
  <c r="BV73" i="15"/>
  <c r="AZ74" i="15"/>
  <c r="BN74" i="15"/>
  <c r="BR74" i="15"/>
  <c r="BT74" i="15"/>
  <c r="BV74" i="15"/>
  <c r="AZ75" i="15"/>
  <c r="BN75" i="15"/>
  <c r="BP75" i="15"/>
  <c r="BR75" i="15"/>
  <c r="BT75" i="15"/>
  <c r="BV75" i="15"/>
  <c r="BN76" i="15"/>
  <c r="BR76" i="15"/>
  <c r="BT76" i="15"/>
  <c r="BV76" i="15"/>
  <c r="BN77" i="15"/>
  <c r="BP77" i="15"/>
  <c r="BR77" i="15"/>
  <c r="BT77" i="15"/>
  <c r="BV77" i="15"/>
  <c r="AZ78" i="15"/>
  <c r="BN78" i="15"/>
  <c r="BR78" i="15"/>
  <c r="BT78" i="15"/>
  <c r="BV78" i="15"/>
  <c r="AZ79" i="15"/>
  <c r="BN79" i="15"/>
  <c r="BP79" i="15"/>
  <c r="BR79" i="15"/>
  <c r="BT79" i="15"/>
  <c r="BV79" i="15"/>
  <c r="BN80" i="15"/>
  <c r="BP80" i="15"/>
  <c r="BR80" i="15"/>
  <c r="BT80" i="15"/>
  <c r="BV80" i="15"/>
  <c r="BN81" i="15"/>
  <c r="BP81" i="15"/>
  <c r="BR81" i="15"/>
  <c r="BT81" i="15"/>
  <c r="BV81" i="15"/>
  <c r="R82" i="15"/>
  <c r="BN82" i="15"/>
  <c r="BR82" i="15"/>
  <c r="BT82" i="15"/>
  <c r="BV82" i="15"/>
  <c r="AZ83" i="15"/>
  <c r="BN83" i="15"/>
  <c r="BP83" i="15"/>
  <c r="BR83" i="15"/>
  <c r="BT83" i="15"/>
  <c r="BV83" i="15"/>
  <c r="BN84" i="15"/>
  <c r="BP84" i="15"/>
  <c r="BR84" i="15"/>
  <c r="BT84" i="15"/>
  <c r="BV84" i="15"/>
  <c r="BR85" i="15"/>
  <c r="BT85" i="15"/>
  <c r="BV85" i="15"/>
  <c r="R86" i="15"/>
  <c r="S86" i="15"/>
  <c r="T86" i="15"/>
  <c r="U86" i="15"/>
  <c r="V86" i="15"/>
  <c r="W86" i="15"/>
  <c r="X86" i="15"/>
  <c r="Y86" i="15"/>
  <c r="Z86" i="15"/>
  <c r="AA86" i="15"/>
  <c r="AB86" i="15"/>
  <c r="AC86" i="15"/>
  <c r="AD86" i="15"/>
  <c r="AE86" i="15"/>
  <c r="AF86" i="15"/>
  <c r="AG86" i="15"/>
  <c r="AH86" i="15"/>
  <c r="AJ86" i="15"/>
  <c r="AL86" i="15"/>
  <c r="AN86" i="15"/>
  <c r="AP86" i="15"/>
  <c r="AR86" i="15"/>
  <c r="AS86" i="15"/>
  <c r="AT86" i="15"/>
  <c r="AU86" i="15"/>
  <c r="AV86" i="15"/>
  <c r="AW86" i="15"/>
  <c r="AX86" i="15"/>
  <c r="AY86" i="15"/>
  <c r="AZ86" i="15"/>
  <c r="BA86" i="15"/>
  <c r="BB86" i="15"/>
  <c r="BC86" i="15"/>
  <c r="BD86" i="15"/>
  <c r="BE86" i="15"/>
  <c r="BF86" i="15"/>
  <c r="BG86" i="15"/>
  <c r="BH86" i="15"/>
  <c r="BI86" i="15"/>
  <c r="BJ86" i="15"/>
  <c r="BK86" i="15"/>
  <c r="BL86" i="15"/>
  <c r="BM86" i="15"/>
  <c r="BN86" i="15"/>
  <c r="BO86" i="15"/>
  <c r="BP86" i="15"/>
  <c r="BQ86" i="15"/>
  <c r="BR86" i="15"/>
  <c r="BS86" i="15"/>
  <c r="BT86" i="15"/>
  <c r="BU86" i="15"/>
  <c r="BV86" i="15"/>
  <c r="AZ89" i="15"/>
  <c r="BN89" i="15"/>
  <c r="BP89" i="15"/>
  <c r="BR89" i="15"/>
  <c r="BT89" i="15"/>
  <c r="BV89" i="15"/>
  <c r="R91" i="15"/>
  <c r="S91" i="15"/>
  <c r="T91" i="15"/>
  <c r="U91" i="15"/>
  <c r="V91" i="15"/>
  <c r="W91" i="15"/>
  <c r="X91" i="15"/>
  <c r="Y91" i="15"/>
  <c r="Z91" i="15"/>
  <c r="AA91" i="15"/>
  <c r="AB91" i="15"/>
  <c r="AC91" i="15"/>
  <c r="AD91" i="15"/>
  <c r="AE91" i="15"/>
  <c r="AF91" i="15"/>
  <c r="AG91" i="15"/>
  <c r="AH91" i="15"/>
  <c r="AJ91" i="15"/>
  <c r="AL91" i="15"/>
  <c r="AN91" i="15"/>
  <c r="AP91" i="15"/>
  <c r="AR91" i="15"/>
  <c r="AS91" i="15"/>
  <c r="AT91" i="15"/>
  <c r="AU91" i="15"/>
  <c r="AV91" i="15"/>
  <c r="AW91" i="15"/>
  <c r="AX91" i="15"/>
  <c r="AY91" i="15"/>
  <c r="AZ91" i="15"/>
  <c r="BA91" i="15"/>
  <c r="BB91" i="15"/>
  <c r="BC91" i="15"/>
  <c r="BD91" i="15"/>
  <c r="BE91" i="15"/>
  <c r="BF91" i="15"/>
  <c r="BG91" i="15"/>
  <c r="BH91" i="15"/>
  <c r="BI91" i="15"/>
  <c r="BJ91" i="15"/>
  <c r="BK91" i="15"/>
  <c r="BL91" i="15"/>
  <c r="BM91" i="15"/>
  <c r="BN91" i="15"/>
  <c r="BO91" i="15"/>
  <c r="BP91" i="15"/>
  <c r="BQ91" i="15"/>
  <c r="BR91" i="15"/>
  <c r="BS91" i="15"/>
  <c r="BT91" i="15"/>
  <c r="BV91" i="15"/>
  <c r="BN93" i="15"/>
  <c r="BV93" i="15"/>
  <c r="AR95" i="15"/>
  <c r="AV95" i="15"/>
  <c r="BN95" i="15"/>
  <c r="BT95" i="15"/>
  <c r="BV95" i="15"/>
  <c r="N97" i="15"/>
  <c r="P97" i="15"/>
  <c r="R97" i="15"/>
  <c r="S97" i="15"/>
  <c r="T97" i="15"/>
  <c r="U97" i="15"/>
  <c r="V97" i="15"/>
  <c r="W97" i="15"/>
  <c r="X97" i="15"/>
  <c r="Y97" i="15"/>
  <c r="Z97" i="15"/>
  <c r="AA97" i="15"/>
  <c r="AB97" i="15"/>
  <c r="AC97" i="15"/>
  <c r="AD97" i="15"/>
  <c r="AE97" i="15"/>
  <c r="AF97" i="15"/>
  <c r="AG97" i="15"/>
  <c r="AH97" i="15"/>
  <c r="AJ97" i="15"/>
  <c r="AL97" i="15"/>
  <c r="AN97" i="15"/>
  <c r="AP97" i="15"/>
  <c r="AR97" i="15"/>
  <c r="AS97" i="15"/>
  <c r="AT97" i="15"/>
  <c r="AU97" i="15"/>
  <c r="AV97" i="15"/>
  <c r="AW97" i="15"/>
  <c r="AX97" i="15"/>
  <c r="AY97" i="15"/>
  <c r="AZ97" i="15"/>
  <c r="BA97" i="15"/>
  <c r="BB97" i="15"/>
  <c r="BC97" i="15"/>
  <c r="BD97" i="15"/>
  <c r="BE97" i="15"/>
  <c r="BF97" i="15"/>
  <c r="BG97" i="15"/>
  <c r="BH97" i="15"/>
  <c r="BI97" i="15"/>
  <c r="BJ97" i="15"/>
  <c r="BK97" i="15"/>
  <c r="BL97" i="15"/>
  <c r="BM97" i="15"/>
  <c r="BN97" i="15"/>
  <c r="BO97" i="15"/>
  <c r="BP97" i="15"/>
  <c r="BQ97" i="15"/>
  <c r="BR97" i="15"/>
  <c r="BS97" i="15"/>
  <c r="BT97" i="15"/>
  <c r="BU97" i="15"/>
  <c r="BV97" i="15"/>
  <c r="BW97" i="15"/>
  <c r="BN100" i="15"/>
  <c r="BR100" i="15"/>
  <c r="BT100" i="15"/>
  <c r="BV100" i="15"/>
  <c r="BN101" i="15"/>
  <c r="BR101" i="15"/>
  <c r="BT101" i="15"/>
  <c r="BV101" i="15"/>
  <c r="BN102" i="15"/>
  <c r="BR102" i="15"/>
  <c r="BT102" i="15"/>
  <c r="BV102" i="15"/>
  <c r="R103" i="15"/>
  <c r="BN103" i="15"/>
  <c r="BR103" i="15"/>
  <c r="BT103" i="15"/>
  <c r="BV103" i="15"/>
  <c r="R104" i="15"/>
  <c r="BN104" i="15"/>
  <c r="BR104" i="15"/>
  <c r="BT104" i="15"/>
  <c r="BV104" i="15"/>
  <c r="R105" i="15"/>
  <c r="BN105" i="15"/>
  <c r="BT105" i="15"/>
  <c r="BV105" i="15"/>
  <c r="BR106" i="15"/>
  <c r="N107" i="15"/>
  <c r="P107" i="15"/>
  <c r="R107" i="15"/>
  <c r="T107" i="15"/>
  <c r="V107" i="15"/>
  <c r="X107" i="15"/>
  <c r="Z107" i="15"/>
  <c r="AB107" i="15"/>
  <c r="AD107" i="15"/>
  <c r="AF107" i="15"/>
  <c r="AH107" i="15"/>
  <c r="AJ107" i="15"/>
  <c r="AL107" i="15"/>
  <c r="AN107" i="15"/>
  <c r="AP107" i="15"/>
  <c r="AR107" i="15"/>
  <c r="AT107" i="15"/>
  <c r="AV107" i="15"/>
  <c r="AX107" i="15"/>
  <c r="AZ107" i="15"/>
  <c r="BB107" i="15"/>
  <c r="BD107" i="15"/>
  <c r="BF107" i="15"/>
  <c r="BH107" i="15"/>
  <c r="BJ107" i="15"/>
  <c r="BL107" i="15"/>
  <c r="BN107" i="15"/>
  <c r="BP107" i="15"/>
  <c r="BR107" i="15"/>
  <c r="BT107" i="15"/>
  <c r="BV107" i="15"/>
  <c r="R110" i="15"/>
  <c r="BN110" i="15"/>
  <c r="BR110" i="15"/>
  <c r="BT110" i="15"/>
  <c r="BV110" i="15"/>
  <c r="N112" i="15"/>
  <c r="P112" i="15"/>
  <c r="R112" i="15"/>
  <c r="T112" i="15"/>
  <c r="V112" i="15"/>
  <c r="X112" i="15"/>
  <c r="Z112" i="15"/>
  <c r="AB112" i="15"/>
  <c r="AD112" i="15"/>
  <c r="AF112" i="15"/>
  <c r="AH112" i="15"/>
  <c r="AJ112" i="15"/>
  <c r="AL112" i="15"/>
  <c r="AN112" i="15"/>
  <c r="AP112" i="15"/>
  <c r="AR112" i="15"/>
  <c r="AT112" i="15"/>
  <c r="AV112" i="15"/>
  <c r="AX112" i="15"/>
  <c r="AZ112" i="15"/>
  <c r="BB112" i="15"/>
  <c r="BD112" i="15"/>
  <c r="BF112" i="15"/>
  <c r="BH112" i="15"/>
  <c r="BJ112" i="15"/>
  <c r="BL112" i="15"/>
  <c r="BN112" i="15"/>
  <c r="BP112" i="15"/>
  <c r="BR112" i="15"/>
  <c r="BT112" i="15"/>
  <c r="BV112" i="15"/>
  <c r="R116" i="15"/>
  <c r="BN116" i="15"/>
  <c r="BR116" i="15"/>
  <c r="BT116" i="15"/>
  <c r="BV116" i="15"/>
  <c r="R117" i="15"/>
  <c r="BN117" i="15"/>
  <c r="BR117" i="15"/>
  <c r="BT117" i="15"/>
  <c r="BV117" i="15"/>
  <c r="R118" i="15"/>
  <c r="BN118" i="15"/>
  <c r="BR118" i="15"/>
  <c r="BT118" i="15"/>
  <c r="BV118" i="15"/>
  <c r="R119" i="15"/>
  <c r="BN119" i="15"/>
  <c r="BR119" i="15"/>
  <c r="BT119" i="15"/>
  <c r="BV119" i="15"/>
  <c r="R120" i="15"/>
  <c r="BN120" i="15"/>
  <c r="BR120" i="15"/>
  <c r="BT120" i="15"/>
  <c r="BV120" i="15"/>
  <c r="R121" i="15"/>
  <c r="BN121" i="15"/>
  <c r="BR121" i="15"/>
  <c r="BT121" i="15"/>
  <c r="BV121" i="15"/>
  <c r="R122" i="15"/>
  <c r="BN122" i="15"/>
  <c r="BR122" i="15"/>
  <c r="BT122" i="15"/>
  <c r="BV122" i="15"/>
  <c r="R123" i="15"/>
  <c r="BN123" i="15"/>
  <c r="BR123" i="15"/>
  <c r="BT123" i="15"/>
  <c r="BV123" i="15"/>
  <c r="R124" i="15"/>
  <c r="BN124" i="15"/>
  <c r="BR124" i="15"/>
  <c r="BT124" i="15"/>
  <c r="BV124" i="15"/>
  <c r="R125" i="15"/>
  <c r="BN125" i="15"/>
  <c r="BR125" i="15"/>
  <c r="BT125" i="15"/>
  <c r="BV125" i="15"/>
  <c r="N127" i="15"/>
  <c r="P127" i="15"/>
  <c r="R127" i="15"/>
  <c r="T127" i="15"/>
  <c r="V127" i="15"/>
  <c r="X127" i="15"/>
  <c r="Z127" i="15"/>
  <c r="AB127" i="15"/>
  <c r="AD127" i="15"/>
  <c r="AF127" i="15"/>
  <c r="AH127" i="15"/>
  <c r="AJ127" i="15"/>
  <c r="AN127" i="15"/>
  <c r="AP127" i="15"/>
  <c r="AR127" i="15"/>
  <c r="AT127" i="15"/>
  <c r="AV127" i="15"/>
  <c r="AX127" i="15"/>
  <c r="AZ127" i="15"/>
  <c r="BB127" i="15"/>
  <c r="BD127" i="15"/>
  <c r="BF127" i="15"/>
  <c r="BH127" i="15"/>
  <c r="BJ127" i="15"/>
  <c r="BL127" i="15"/>
  <c r="BN127" i="15"/>
  <c r="BP127" i="15"/>
  <c r="BR127" i="15"/>
  <c r="BT127" i="15"/>
  <c r="BV127" i="15"/>
  <c r="BN131" i="15"/>
  <c r="BR131" i="15"/>
  <c r="BT131" i="15"/>
  <c r="BV131" i="15"/>
  <c r="AZ132" i="15"/>
  <c r="BN132" i="15"/>
  <c r="BR132" i="15"/>
  <c r="BT132" i="15"/>
  <c r="BV132" i="15"/>
  <c r="BN133" i="15"/>
  <c r="BR133" i="15"/>
  <c r="BT133" i="15"/>
  <c r="BV133" i="15"/>
  <c r="N134" i="15"/>
  <c r="P134" i="15"/>
  <c r="R134" i="15"/>
  <c r="T134" i="15"/>
  <c r="V134" i="15"/>
  <c r="X134" i="15"/>
  <c r="Z134" i="15"/>
  <c r="AB134" i="15"/>
  <c r="AD134" i="15"/>
  <c r="AF134" i="15"/>
  <c r="AH134" i="15"/>
  <c r="AJ134" i="15"/>
  <c r="AL134" i="15"/>
  <c r="AN134" i="15"/>
  <c r="AP134" i="15"/>
  <c r="AR134" i="15"/>
  <c r="AT134" i="15"/>
  <c r="AV134" i="15"/>
  <c r="AX134" i="15"/>
  <c r="AZ134" i="15"/>
  <c r="BB134" i="15"/>
  <c r="BD134" i="15"/>
  <c r="BF134" i="15"/>
  <c r="BH134" i="15"/>
  <c r="BJ134" i="15"/>
  <c r="BL134" i="15"/>
  <c r="BN134" i="15"/>
  <c r="BP134" i="15"/>
  <c r="BR134" i="15"/>
  <c r="BT134" i="15"/>
  <c r="BV134" i="15"/>
  <c r="BN136" i="15"/>
  <c r="BR136" i="15"/>
  <c r="BT136" i="15"/>
  <c r="BV136" i="15"/>
  <c r="BN138" i="15"/>
  <c r="BR138" i="15"/>
  <c r="BT138" i="15"/>
  <c r="BV138" i="15"/>
  <c r="BN140" i="15"/>
  <c r="BR140" i="15"/>
  <c r="BT140" i="15"/>
  <c r="BV140" i="15"/>
  <c r="BN142" i="15"/>
  <c r="BR142" i="15"/>
  <c r="BT142" i="15"/>
  <c r="BV142" i="15"/>
  <c r="BN145" i="15"/>
  <c r="BR145" i="15"/>
  <c r="BT145" i="15"/>
  <c r="BV145" i="15"/>
  <c r="BN146" i="15"/>
  <c r="BR146" i="15"/>
  <c r="BT146" i="15"/>
  <c r="BV146" i="15"/>
  <c r="BN147" i="15"/>
  <c r="BR147" i="15"/>
  <c r="BT147" i="15"/>
  <c r="BV147" i="15"/>
  <c r="BR148" i="15"/>
  <c r="BT148" i="15"/>
  <c r="BV148" i="15"/>
  <c r="N149" i="15"/>
  <c r="P149" i="15"/>
  <c r="R149" i="15"/>
  <c r="T149" i="15"/>
  <c r="V149" i="15"/>
  <c r="X149" i="15"/>
  <c r="Z149" i="15"/>
  <c r="AB149" i="15"/>
  <c r="AD149" i="15"/>
  <c r="AF149" i="15"/>
  <c r="AH149" i="15"/>
  <c r="AJ149" i="15"/>
  <c r="AL149" i="15"/>
  <c r="AN149" i="15"/>
  <c r="AP149" i="15"/>
  <c r="AR149" i="15"/>
  <c r="AT149" i="15"/>
  <c r="AV149" i="15"/>
  <c r="AX149" i="15"/>
  <c r="AZ149" i="15"/>
  <c r="BB149" i="15"/>
  <c r="BD149" i="15"/>
  <c r="BF149" i="15"/>
  <c r="BH149" i="15"/>
  <c r="BJ149" i="15"/>
  <c r="BL149" i="15"/>
  <c r="BN149" i="15"/>
  <c r="BP149" i="15"/>
  <c r="BR149" i="15"/>
  <c r="BT149" i="15"/>
  <c r="BV149" i="15"/>
  <c r="BN152" i="15"/>
  <c r="BR152" i="15"/>
  <c r="BT152" i="15"/>
  <c r="BV152" i="15"/>
  <c r="BN153" i="15"/>
  <c r="BR153" i="15"/>
  <c r="BT153" i="15"/>
  <c r="BV153" i="15"/>
  <c r="BN154" i="15"/>
  <c r="BR154" i="15"/>
  <c r="BT154" i="15"/>
  <c r="BV154" i="15"/>
  <c r="BN155" i="15"/>
  <c r="BR155" i="15"/>
  <c r="BT155" i="15"/>
  <c r="BV155" i="15"/>
  <c r="BN156" i="15"/>
  <c r="BR156" i="15"/>
  <c r="BT156" i="15"/>
  <c r="BV156" i="15"/>
  <c r="AN157" i="15"/>
  <c r="AZ157" i="15"/>
  <c r="BN157" i="15"/>
  <c r="BR157" i="15"/>
  <c r="BT157" i="15"/>
  <c r="BV157" i="15"/>
  <c r="BR158" i="15"/>
  <c r="N159" i="15"/>
  <c r="P159" i="15"/>
  <c r="R159" i="15"/>
  <c r="T159" i="15"/>
  <c r="V159" i="15"/>
  <c r="X159" i="15"/>
  <c r="Z159" i="15"/>
  <c r="AB159" i="15"/>
  <c r="AD159" i="15"/>
  <c r="AF159" i="15"/>
  <c r="AH159" i="15"/>
  <c r="AJ159" i="15"/>
  <c r="AL159" i="15"/>
  <c r="AN159" i="15"/>
  <c r="AP159" i="15"/>
  <c r="AR159" i="15"/>
  <c r="AT159" i="15"/>
  <c r="AV159" i="15"/>
  <c r="AX159" i="15"/>
  <c r="AZ159" i="15"/>
  <c r="BB159" i="15"/>
  <c r="BD159" i="15"/>
  <c r="BF159" i="15"/>
  <c r="BH159" i="15"/>
  <c r="BJ159" i="15"/>
  <c r="BL159" i="15"/>
  <c r="BN159" i="15"/>
  <c r="BP159" i="15"/>
  <c r="BR159" i="15"/>
  <c r="BT159" i="15"/>
  <c r="BV159" i="15"/>
  <c r="Q162" i="15"/>
  <c r="BN162" i="15"/>
  <c r="BR162" i="15"/>
  <c r="BT162" i="15"/>
  <c r="BV162" i="15"/>
  <c r="O163" i="15"/>
  <c r="Q163" i="15"/>
  <c r="BN163" i="15"/>
  <c r="BR163" i="15"/>
  <c r="BT163" i="15"/>
  <c r="BV163" i="15"/>
  <c r="M164" i="15"/>
  <c r="O164" i="15"/>
  <c r="Q164" i="15"/>
  <c r="BB164" i="15"/>
  <c r="BN164" i="15"/>
  <c r="BR164" i="15"/>
  <c r="BT164" i="15"/>
  <c r="BV164" i="15"/>
  <c r="BB165" i="15"/>
  <c r="BN165" i="15"/>
  <c r="BR165" i="15"/>
  <c r="BT165" i="15"/>
  <c r="BV165" i="15"/>
  <c r="BN166" i="15"/>
  <c r="BR166" i="15"/>
  <c r="BT166" i="15"/>
  <c r="BV166" i="15"/>
  <c r="BB167" i="15"/>
  <c r="BN167" i="15"/>
  <c r="BR167" i="15"/>
  <c r="BT167" i="15"/>
  <c r="BV167" i="15"/>
  <c r="BB168" i="15"/>
  <c r="BN168" i="15"/>
  <c r="BR168" i="15"/>
  <c r="BT168" i="15"/>
  <c r="BV168" i="15"/>
  <c r="BB169" i="15"/>
  <c r="BN169" i="15"/>
  <c r="BR169" i="15"/>
  <c r="BT169" i="15"/>
  <c r="BV169" i="15"/>
  <c r="BB170" i="15"/>
  <c r="BN170" i="15"/>
  <c r="BR170" i="15"/>
  <c r="BT170" i="15"/>
  <c r="BV170" i="15"/>
  <c r="BB171" i="15"/>
  <c r="BN171" i="15"/>
  <c r="BR171" i="15"/>
  <c r="BT171" i="15"/>
  <c r="BV171" i="15"/>
  <c r="BB172" i="15"/>
  <c r="BN172" i="15"/>
  <c r="BR172" i="15"/>
  <c r="BT172" i="15"/>
  <c r="BV172" i="15"/>
  <c r="BB173" i="15"/>
  <c r="BN173" i="15"/>
  <c r="BR173" i="15"/>
  <c r="BT173" i="15"/>
  <c r="BV173" i="15"/>
  <c r="BB174" i="15"/>
  <c r="BN174" i="15"/>
  <c r="BR174" i="15"/>
  <c r="BT174" i="15"/>
  <c r="BV174" i="15"/>
  <c r="BB175" i="15"/>
  <c r="BN175" i="15"/>
  <c r="BR175" i="15"/>
  <c r="BT175" i="15"/>
  <c r="BV175" i="15"/>
  <c r="BB176" i="15"/>
  <c r="BN176" i="15"/>
  <c r="BR176" i="15"/>
  <c r="BT176" i="15"/>
  <c r="BV176" i="15"/>
  <c r="BB177" i="15"/>
  <c r="BN177" i="15"/>
  <c r="BR177" i="15"/>
  <c r="BT177" i="15"/>
  <c r="BV177" i="15"/>
  <c r="BB178" i="15"/>
  <c r="BN178" i="15"/>
  <c r="BR178" i="15"/>
  <c r="BT178" i="15"/>
  <c r="BV178" i="15"/>
  <c r="BB179" i="15"/>
  <c r="BN179" i="15"/>
  <c r="BR179" i="15"/>
  <c r="BT179" i="15"/>
  <c r="BV179" i="15"/>
  <c r="BN180" i="15"/>
  <c r="R181" i="15"/>
  <c r="BN181" i="15"/>
  <c r="BR181" i="15"/>
  <c r="BT181" i="15"/>
  <c r="BV181" i="15"/>
  <c r="M182" i="15"/>
  <c r="O182" i="15"/>
  <c r="Q182" i="15"/>
  <c r="R182" i="15"/>
  <c r="T182" i="15"/>
  <c r="V182" i="15"/>
  <c r="X182" i="15"/>
  <c r="Z182" i="15"/>
  <c r="AB182" i="15"/>
  <c r="AD182" i="15"/>
  <c r="AF182" i="15"/>
  <c r="AH182" i="15"/>
  <c r="AJ182" i="15"/>
  <c r="AL182" i="15"/>
  <c r="AN182" i="15"/>
  <c r="AP182" i="15"/>
  <c r="AR182" i="15"/>
  <c r="AT182" i="15"/>
  <c r="AU182" i="15"/>
  <c r="AV182" i="15"/>
  <c r="AW182" i="15"/>
  <c r="AX182" i="15"/>
  <c r="AY182" i="15"/>
  <c r="AZ182" i="15"/>
  <c r="BA182" i="15"/>
  <c r="BB182" i="15"/>
  <c r="BC182" i="15"/>
  <c r="BD182" i="15"/>
  <c r="BE182" i="15"/>
  <c r="BF182" i="15"/>
  <c r="BG182" i="15"/>
  <c r="BH182" i="15"/>
  <c r="BI182" i="15"/>
  <c r="BJ182" i="15"/>
  <c r="BK182" i="15"/>
  <c r="BL182" i="15"/>
  <c r="BM182" i="15"/>
  <c r="BN182" i="15"/>
  <c r="BO182" i="15"/>
  <c r="BP182" i="15"/>
  <c r="BQ182" i="15"/>
  <c r="BR182" i="15"/>
  <c r="BS182" i="15"/>
  <c r="BT182" i="15"/>
  <c r="BU182" i="15"/>
  <c r="BV182" i="15"/>
  <c r="BW182" i="15"/>
  <c r="BN184" i="15"/>
  <c r="BR184" i="15"/>
  <c r="BT184" i="15"/>
  <c r="BV184" i="15"/>
  <c r="R187" i="15"/>
  <c r="BN187" i="15"/>
  <c r="BR187" i="15"/>
  <c r="BT187" i="15"/>
  <c r="BV187" i="15"/>
  <c r="BN188" i="15"/>
  <c r="BR188" i="15"/>
  <c r="BT188" i="15"/>
  <c r="BV188" i="15"/>
  <c r="BN189" i="15"/>
  <c r="BR189" i="15"/>
  <c r="BT189" i="15"/>
  <c r="BV189" i="15"/>
  <c r="N190" i="15"/>
  <c r="P190" i="15"/>
  <c r="R190" i="15"/>
  <c r="T190" i="15"/>
  <c r="V190" i="15"/>
  <c r="X190" i="15"/>
  <c r="Z190" i="15"/>
  <c r="AB190" i="15"/>
  <c r="AD190" i="15"/>
  <c r="AF190" i="15"/>
  <c r="AH190" i="15"/>
  <c r="AJ190" i="15"/>
  <c r="AL190" i="15"/>
  <c r="AN190" i="15"/>
  <c r="AP190" i="15"/>
  <c r="AR190" i="15"/>
  <c r="AT190" i="15"/>
  <c r="AV190" i="15"/>
  <c r="AX190" i="15"/>
  <c r="AZ190" i="15"/>
  <c r="BB190" i="15"/>
  <c r="BD190" i="15"/>
  <c r="BF190" i="15"/>
  <c r="BH190" i="15"/>
  <c r="BJ190" i="15"/>
  <c r="BL190" i="15"/>
  <c r="BN190" i="15"/>
  <c r="BP190" i="15"/>
  <c r="BR190" i="15"/>
  <c r="BT190" i="15"/>
  <c r="BV190" i="15"/>
  <c r="BN192" i="15"/>
  <c r="BR192" i="15"/>
  <c r="BT192" i="15"/>
  <c r="BV192" i="15"/>
  <c r="AL194" i="15"/>
  <c r="BN194" i="15"/>
  <c r="BR194" i="15"/>
  <c r="BT194" i="15"/>
  <c r="BV194" i="15"/>
  <c r="AJ197" i="15"/>
  <c r="BN197" i="15"/>
  <c r="BR197" i="15"/>
  <c r="BT197" i="15"/>
  <c r="BV197" i="15"/>
  <c r="AT198" i="15"/>
  <c r="AV198" i="15"/>
  <c r="BN198" i="15"/>
  <c r="BR198" i="15"/>
  <c r="BT198" i="15"/>
  <c r="BV198" i="15"/>
  <c r="R199" i="15"/>
  <c r="BN199" i="15"/>
  <c r="BR199" i="15"/>
  <c r="BT199" i="15"/>
  <c r="BV199" i="15"/>
  <c r="P200" i="15"/>
  <c r="R200" i="15"/>
  <c r="AR200" i="15"/>
  <c r="AT200" i="15"/>
  <c r="AV200" i="15"/>
  <c r="BN200" i="15"/>
  <c r="BR200" i="15"/>
  <c r="BT200" i="15"/>
  <c r="BV200" i="15"/>
  <c r="AT201" i="15"/>
  <c r="BN201" i="15"/>
  <c r="BR201" i="15"/>
  <c r="BT201" i="15"/>
  <c r="BV201" i="15"/>
  <c r="BN202" i="15"/>
  <c r="BR202" i="15"/>
  <c r="BT202" i="15"/>
  <c r="BV202" i="15"/>
  <c r="N203" i="15"/>
  <c r="P203" i="15"/>
  <c r="R203" i="15"/>
  <c r="S203" i="15"/>
  <c r="T203" i="15"/>
  <c r="U203" i="15"/>
  <c r="V203" i="15"/>
  <c r="W203" i="15"/>
  <c r="X203" i="15"/>
  <c r="Y203" i="15"/>
  <c r="Z203" i="15"/>
  <c r="AA203" i="15"/>
  <c r="AB203" i="15"/>
  <c r="AC203" i="15"/>
  <c r="AD203" i="15"/>
  <c r="AE203" i="15"/>
  <c r="AF203" i="15"/>
  <c r="AG203" i="15"/>
  <c r="AH203" i="15"/>
  <c r="AJ203" i="15"/>
  <c r="AL203" i="15"/>
  <c r="AN203" i="15"/>
  <c r="AP203" i="15"/>
  <c r="AR203" i="15"/>
  <c r="AS203" i="15"/>
  <c r="AT203" i="15"/>
  <c r="AU203" i="15"/>
  <c r="AV203" i="15"/>
  <c r="AW203" i="15"/>
  <c r="AX203" i="15"/>
  <c r="AY203" i="15"/>
  <c r="AZ203" i="15"/>
  <c r="BA203" i="15"/>
  <c r="BB203" i="15"/>
  <c r="BC203" i="15"/>
  <c r="BD203" i="15"/>
  <c r="BE203" i="15"/>
  <c r="BF203" i="15"/>
  <c r="BG203" i="15"/>
  <c r="BH203" i="15"/>
  <c r="BI203" i="15"/>
  <c r="BJ203" i="15"/>
  <c r="BK203" i="15"/>
  <c r="BL203" i="15"/>
  <c r="BM203" i="15"/>
  <c r="BN203" i="15"/>
  <c r="BO203" i="15"/>
  <c r="BP203" i="15"/>
  <c r="BQ203" i="15"/>
  <c r="BR203" i="15"/>
  <c r="BS203" i="15"/>
  <c r="BT203" i="15"/>
  <c r="BU203" i="15"/>
  <c r="BV203" i="15"/>
  <c r="BW203" i="15"/>
  <c r="P206" i="15"/>
  <c r="AT206" i="15"/>
  <c r="BN206" i="15"/>
  <c r="BR206" i="15"/>
  <c r="BT206" i="15"/>
  <c r="BV206" i="15"/>
  <c r="P207" i="15"/>
  <c r="AT207" i="15"/>
  <c r="BN207" i="15"/>
  <c r="BR207" i="15"/>
  <c r="BT207" i="15"/>
  <c r="BV207" i="15"/>
  <c r="BN208" i="15"/>
  <c r="BR208" i="15"/>
  <c r="BT208" i="15"/>
  <c r="BV208" i="15"/>
  <c r="N209" i="15"/>
  <c r="O209" i="15"/>
  <c r="P209" i="15"/>
  <c r="Q209" i="15"/>
  <c r="R209" i="15"/>
  <c r="T209" i="15"/>
  <c r="V209" i="15"/>
  <c r="X209" i="15"/>
  <c r="Z209" i="15"/>
  <c r="AB209" i="15"/>
  <c r="AD209" i="15"/>
  <c r="AF209" i="15"/>
  <c r="AH209" i="15"/>
  <c r="AJ209" i="15"/>
  <c r="AL209" i="15"/>
  <c r="AN209" i="15"/>
  <c r="AP209" i="15"/>
  <c r="AR209" i="15"/>
  <c r="AT209" i="15"/>
  <c r="AV209" i="15"/>
  <c r="AX209" i="15"/>
  <c r="AZ209" i="15"/>
  <c r="BB209" i="15"/>
  <c r="BD209" i="15"/>
  <c r="BF209" i="15"/>
  <c r="BH209" i="15"/>
  <c r="BJ209" i="15"/>
  <c r="BL209" i="15"/>
  <c r="BN209" i="15"/>
  <c r="BP209" i="15"/>
  <c r="BR209" i="15"/>
  <c r="BT209" i="15"/>
  <c r="BV209" i="15"/>
  <c r="P211" i="15"/>
  <c r="AN211" i="15"/>
  <c r="AP211" i="15"/>
  <c r="AR211" i="15"/>
  <c r="AT211" i="15"/>
  <c r="AV211" i="15"/>
  <c r="AX211" i="15"/>
  <c r="AZ211" i="15"/>
  <c r="BN211" i="15"/>
  <c r="BR211" i="15"/>
  <c r="BT211" i="15"/>
  <c r="BV211" i="15"/>
  <c r="R213" i="15"/>
  <c r="S213" i="15"/>
  <c r="T213" i="15"/>
  <c r="U213" i="15"/>
  <c r="V213" i="15"/>
  <c r="W213" i="15"/>
  <c r="X213" i="15"/>
  <c r="Y213" i="15"/>
  <c r="Z213" i="15"/>
  <c r="AA213" i="15"/>
  <c r="AB213" i="15"/>
  <c r="AC213" i="15"/>
  <c r="AD213" i="15"/>
  <c r="AE213" i="15"/>
  <c r="AF213" i="15"/>
  <c r="AG213" i="15"/>
  <c r="AH213" i="15"/>
  <c r="AJ213" i="15"/>
  <c r="AL213" i="15"/>
  <c r="AN213" i="15"/>
  <c r="AP213" i="15"/>
  <c r="AR213" i="15"/>
  <c r="AS213" i="15"/>
  <c r="AT213" i="15"/>
  <c r="AU213" i="15"/>
  <c r="AV213" i="15"/>
  <c r="AW213" i="15"/>
  <c r="AX213" i="15"/>
  <c r="AY213" i="15"/>
  <c r="AZ213" i="15"/>
  <c r="BA213" i="15"/>
  <c r="BB213" i="15"/>
  <c r="BC213" i="15"/>
  <c r="BD213" i="15"/>
  <c r="BE213" i="15"/>
  <c r="BF213" i="15"/>
  <c r="BG213" i="15"/>
  <c r="BH213" i="15"/>
  <c r="BI213" i="15"/>
  <c r="BJ213" i="15"/>
  <c r="BK213" i="15"/>
  <c r="BL213" i="15"/>
  <c r="BM213" i="15"/>
  <c r="BN213" i="15"/>
  <c r="BO213" i="15"/>
  <c r="BP213" i="15"/>
  <c r="BQ213" i="15"/>
  <c r="BR213" i="15"/>
  <c r="BS213" i="15"/>
  <c r="BT213" i="15"/>
  <c r="BU213" i="15"/>
  <c r="BV213" i="15"/>
  <c r="BW213" i="15"/>
  <c r="P215" i="15"/>
  <c r="R215" i="15"/>
  <c r="BN215" i="15"/>
  <c r="BR215" i="15"/>
  <c r="BT215" i="15"/>
  <c r="BV215" i="15"/>
  <c r="BN217" i="15"/>
  <c r="BT217" i="15"/>
  <c r="BV217" i="15"/>
  <c r="R219" i="15"/>
  <c r="S219" i="15"/>
  <c r="T219" i="15"/>
  <c r="U219" i="15"/>
  <c r="V219" i="15"/>
  <c r="W219" i="15"/>
  <c r="X219" i="15"/>
  <c r="Y219" i="15"/>
  <c r="Z219" i="15"/>
  <c r="AA219" i="15"/>
  <c r="AB219" i="15"/>
  <c r="AC219" i="15"/>
  <c r="AD219" i="15"/>
  <c r="AE219" i="15"/>
  <c r="AF219" i="15"/>
  <c r="AG219" i="15"/>
  <c r="AH219" i="15"/>
  <c r="AJ219" i="15"/>
  <c r="AL219" i="15"/>
  <c r="AN219" i="15"/>
  <c r="AP219" i="15"/>
  <c r="AR219" i="15"/>
  <c r="AS219" i="15"/>
  <c r="AT219" i="15"/>
  <c r="AU219" i="15"/>
  <c r="AV219" i="15"/>
  <c r="AW219" i="15"/>
  <c r="AX219" i="15"/>
  <c r="AY219" i="15"/>
  <c r="AZ219" i="15"/>
  <c r="BA219" i="15"/>
  <c r="BB219" i="15"/>
  <c r="BC219" i="15"/>
  <c r="BD219" i="15"/>
  <c r="BE219" i="15"/>
  <c r="BF219" i="15"/>
  <c r="BG219" i="15"/>
  <c r="BH219" i="15"/>
  <c r="BI219" i="15"/>
  <c r="BJ219" i="15"/>
  <c r="BK219" i="15"/>
  <c r="BL219" i="15"/>
  <c r="BM219" i="15"/>
  <c r="BN219" i="15"/>
  <c r="BO219" i="15"/>
  <c r="BP219" i="15"/>
  <c r="BQ219" i="15"/>
  <c r="BR219" i="15"/>
  <c r="BS219" i="15"/>
  <c r="BT219" i="15"/>
  <c r="BU219" i="15"/>
  <c r="BV219" i="15"/>
  <c r="AR222" i="15"/>
  <c r="BN222" i="15"/>
  <c r="BT222" i="15"/>
  <c r="BV222" i="15"/>
  <c r="BN223" i="15"/>
  <c r="R225" i="15"/>
  <c r="S225" i="15"/>
  <c r="T225" i="15"/>
  <c r="U225" i="15"/>
  <c r="V225" i="15"/>
  <c r="W225" i="15"/>
  <c r="X225" i="15"/>
  <c r="Y225" i="15"/>
  <c r="Z225" i="15"/>
  <c r="AA225" i="15"/>
  <c r="AB225" i="15"/>
  <c r="AC225" i="15"/>
  <c r="AD225" i="15"/>
  <c r="AE225" i="15"/>
  <c r="AF225" i="15"/>
  <c r="AG225" i="15"/>
  <c r="AH225" i="15"/>
  <c r="AJ225" i="15"/>
  <c r="AL225" i="15"/>
  <c r="AN225" i="15"/>
  <c r="AP225" i="15"/>
  <c r="AR225" i="15"/>
  <c r="AS225" i="15"/>
  <c r="AT225" i="15"/>
  <c r="AU225" i="15"/>
  <c r="AV225" i="15"/>
  <c r="AW225" i="15"/>
  <c r="AX225" i="15"/>
  <c r="AY225" i="15"/>
  <c r="AZ225" i="15"/>
  <c r="BA225" i="15"/>
  <c r="BB225" i="15"/>
  <c r="BC225" i="15"/>
  <c r="BD225" i="15"/>
  <c r="BE225" i="15"/>
  <c r="BF225" i="15"/>
  <c r="BG225" i="15"/>
  <c r="BH225" i="15"/>
  <c r="BI225" i="15"/>
  <c r="BJ225" i="15"/>
  <c r="BK225" i="15"/>
  <c r="BL225" i="15"/>
  <c r="BM225" i="15"/>
  <c r="BN225" i="15"/>
  <c r="BO225" i="15"/>
  <c r="BP225" i="15"/>
  <c r="BQ225" i="15"/>
  <c r="BR225" i="15"/>
  <c r="BS225" i="15"/>
  <c r="BT225" i="15"/>
  <c r="BU225" i="15"/>
  <c r="BV225" i="15"/>
  <c r="BW225" i="15"/>
  <c r="BN230" i="15"/>
  <c r="BB231" i="15"/>
  <c r="BN231" i="15"/>
  <c r="BR231" i="15"/>
  <c r="BT231" i="15"/>
  <c r="BV231" i="15"/>
  <c r="BN232" i="15"/>
  <c r="BR232" i="15"/>
  <c r="BT232" i="15"/>
  <c r="BV232" i="15"/>
  <c r="BB233" i="15"/>
  <c r="BN233" i="15"/>
  <c r="BR233" i="15"/>
  <c r="BT233" i="15"/>
  <c r="BV233" i="15"/>
  <c r="R234" i="15"/>
  <c r="BB234" i="15"/>
  <c r="BC234" i="15"/>
  <c r="BD234" i="15"/>
  <c r="BE234" i="15"/>
  <c r="BF234" i="15"/>
  <c r="BG234" i="15"/>
  <c r="BH234" i="15"/>
  <c r="BI234" i="15"/>
  <c r="BJ234" i="15"/>
  <c r="BK234" i="15"/>
  <c r="BL234" i="15"/>
  <c r="BM234" i="15"/>
  <c r="BN234" i="15"/>
  <c r="BO234" i="15"/>
  <c r="BP234" i="15"/>
  <c r="BQ234" i="15"/>
  <c r="BR234" i="15"/>
  <c r="BS234" i="15"/>
  <c r="BT234" i="15"/>
  <c r="BU234" i="15"/>
  <c r="BV234" i="15"/>
  <c r="BW234" i="15"/>
  <c r="R237" i="15"/>
  <c r="S237" i="15"/>
  <c r="T237" i="15"/>
  <c r="U237" i="15"/>
  <c r="V237" i="15"/>
  <c r="W237" i="15"/>
  <c r="X237" i="15"/>
  <c r="Y237" i="15"/>
  <c r="Z237" i="15"/>
  <c r="AA237" i="15"/>
  <c r="AB237" i="15"/>
  <c r="AC237" i="15"/>
  <c r="AD237" i="15"/>
  <c r="AE237" i="15"/>
  <c r="AF237" i="15"/>
  <c r="AG237" i="15"/>
  <c r="AH237" i="15"/>
  <c r="AJ237" i="15"/>
  <c r="AL237" i="15"/>
  <c r="AN237" i="15"/>
  <c r="AP237" i="15"/>
  <c r="AR237" i="15"/>
  <c r="AS237" i="15"/>
  <c r="AT237" i="15"/>
  <c r="AU237" i="15"/>
  <c r="AV237" i="15"/>
  <c r="AW237" i="15"/>
  <c r="AX237" i="15"/>
  <c r="AY237" i="15"/>
  <c r="AZ237" i="15"/>
  <c r="BA237" i="15"/>
  <c r="BB237" i="15"/>
  <c r="BC237" i="15"/>
  <c r="BD237" i="15"/>
  <c r="BE237" i="15"/>
  <c r="BF237" i="15"/>
  <c r="BG237" i="15"/>
  <c r="BH237" i="15"/>
  <c r="BI237" i="15"/>
  <c r="BJ237" i="15"/>
  <c r="BK237" i="15"/>
  <c r="BL237" i="15"/>
  <c r="BM237" i="15"/>
  <c r="BN237" i="15"/>
  <c r="BO237" i="15"/>
  <c r="BP237" i="15"/>
  <c r="BQ237" i="15"/>
  <c r="BR237" i="15"/>
  <c r="BS237" i="15"/>
  <c r="BT237" i="15"/>
  <c r="BU237" i="15"/>
  <c r="BV237" i="15"/>
  <c r="BW237" i="15"/>
  <c r="K13" i="19"/>
  <c r="K14" i="19"/>
  <c r="K15" i="19"/>
  <c r="K16" i="19"/>
  <c r="K17" i="19"/>
  <c r="K19" i="19"/>
  <c r="K20" i="19"/>
  <c r="K21" i="19"/>
  <c r="K22" i="19"/>
  <c r="K23" i="19"/>
  <c r="G27" i="19"/>
  <c r="H27" i="19"/>
  <c r="I27" i="19"/>
  <c r="J27" i="19"/>
  <c r="K27" i="19"/>
  <c r="G28" i="19"/>
  <c r="H28" i="19"/>
  <c r="I28" i="19"/>
  <c r="J28" i="19"/>
  <c r="K28" i="19"/>
  <c r="G29" i="19"/>
  <c r="I29" i="19"/>
  <c r="J29" i="19"/>
  <c r="G30" i="19"/>
  <c r="H30" i="19"/>
  <c r="I30" i="19"/>
  <c r="J30" i="19"/>
  <c r="K30" i="19"/>
  <c r="G31" i="19"/>
  <c r="H31" i="19"/>
  <c r="I31" i="19"/>
  <c r="J31" i="19"/>
  <c r="K31" i="19"/>
  <c r="H35" i="19"/>
  <c r="H43" i="19"/>
  <c r="H46" i="19"/>
  <c r="E7" i="7"/>
  <c r="E8" i="7"/>
  <c r="E13" i="7"/>
  <c r="E14" i="7"/>
  <c r="E18" i="7"/>
  <c r="E23" i="7"/>
  <c r="E25" i="7"/>
  <c r="E26" i="7"/>
  <c r="E30" i="7"/>
  <c r="E31" i="7"/>
  <c r="E33" i="7"/>
  <c r="E37" i="7"/>
  <c r="E41" i="7"/>
  <c r="C6" i="16"/>
  <c r="D6" i="16"/>
  <c r="E6" i="16"/>
  <c r="F6" i="16"/>
  <c r="G6" i="16"/>
  <c r="H6" i="16"/>
  <c r="I6" i="16"/>
  <c r="J6" i="16"/>
  <c r="K6" i="16"/>
  <c r="L6" i="16"/>
  <c r="M6" i="16"/>
  <c r="N6" i="16"/>
  <c r="O6" i="16"/>
  <c r="P6" i="16"/>
  <c r="Q6" i="16"/>
  <c r="R6" i="16"/>
  <c r="D7" i="16"/>
  <c r="E7" i="16"/>
  <c r="F7" i="16"/>
  <c r="G7" i="16"/>
  <c r="H7" i="16"/>
  <c r="I7" i="16"/>
  <c r="J7" i="16"/>
  <c r="K7" i="16"/>
  <c r="L7" i="16"/>
  <c r="M7" i="16"/>
  <c r="N7" i="16"/>
  <c r="O7" i="16"/>
  <c r="P7" i="16"/>
  <c r="Q7" i="16"/>
  <c r="R7" i="16"/>
  <c r="H9" i="16"/>
  <c r="I9" i="16"/>
  <c r="G10" i="16"/>
  <c r="H10" i="16"/>
  <c r="I10" i="16"/>
  <c r="J10" i="16"/>
  <c r="K10" i="16"/>
  <c r="L10" i="16"/>
  <c r="M10" i="16"/>
  <c r="N10" i="16"/>
  <c r="O10" i="16"/>
  <c r="P10" i="16"/>
  <c r="Q10" i="16"/>
  <c r="R10" i="16"/>
  <c r="G11" i="16"/>
  <c r="H11" i="16"/>
  <c r="I11" i="16"/>
  <c r="J11" i="16"/>
  <c r="K11" i="16"/>
  <c r="L11" i="16"/>
  <c r="M11" i="16"/>
  <c r="N11" i="16"/>
  <c r="O11" i="16"/>
  <c r="P11" i="16"/>
  <c r="Q11" i="16"/>
  <c r="R11" i="16"/>
  <c r="E15" i="16"/>
  <c r="F15" i="16"/>
  <c r="G15" i="16"/>
  <c r="H15" i="16"/>
  <c r="I15" i="16"/>
  <c r="J15" i="16"/>
  <c r="K15" i="16"/>
  <c r="L15" i="16"/>
  <c r="M15" i="16"/>
  <c r="N15" i="16"/>
  <c r="O15" i="16"/>
  <c r="P15" i="16"/>
  <c r="Q15" i="16"/>
  <c r="R15" i="16"/>
  <c r="D16" i="16"/>
  <c r="E16" i="16"/>
  <c r="F16" i="16"/>
  <c r="G16" i="16"/>
  <c r="H16" i="16"/>
  <c r="I16" i="16"/>
  <c r="J16" i="16"/>
  <c r="K16" i="16"/>
  <c r="L16" i="16"/>
  <c r="M16" i="16"/>
  <c r="N16" i="16"/>
  <c r="O16" i="16"/>
  <c r="P16" i="16"/>
  <c r="Q16" i="16"/>
  <c r="R16" i="16"/>
  <c r="H18" i="16"/>
  <c r="I18" i="16"/>
  <c r="G19" i="16"/>
  <c r="H19" i="16"/>
  <c r="I19" i="16"/>
  <c r="J19" i="16"/>
  <c r="K19" i="16"/>
  <c r="L19" i="16"/>
  <c r="M19" i="16"/>
  <c r="N19" i="16"/>
  <c r="O19" i="16"/>
  <c r="P19" i="16"/>
  <c r="Q19" i="16"/>
  <c r="R19" i="16"/>
  <c r="G20" i="16"/>
  <c r="H20" i="16"/>
  <c r="I20" i="16"/>
  <c r="J20" i="16"/>
  <c r="K20" i="16"/>
  <c r="L20" i="16"/>
  <c r="M20" i="16"/>
  <c r="N20" i="16"/>
  <c r="O20" i="16"/>
  <c r="P20" i="16"/>
  <c r="Q20" i="16"/>
  <c r="R20" i="16"/>
  <c r="C26" i="16"/>
  <c r="D26" i="16"/>
  <c r="E26" i="16"/>
  <c r="F26" i="16"/>
  <c r="G26" i="16"/>
  <c r="H26" i="16"/>
  <c r="I26" i="16"/>
  <c r="J26" i="16"/>
  <c r="K26" i="16"/>
  <c r="L26" i="16"/>
  <c r="M26" i="16"/>
  <c r="N26" i="16"/>
  <c r="O26" i="16"/>
  <c r="P26" i="16"/>
  <c r="Q26" i="16"/>
  <c r="R26" i="16"/>
  <c r="D27" i="16"/>
  <c r="E27" i="16"/>
  <c r="F27" i="16"/>
  <c r="G27" i="16"/>
  <c r="H27" i="16"/>
  <c r="I27" i="16"/>
  <c r="J27" i="16"/>
  <c r="K27" i="16"/>
  <c r="L27" i="16"/>
  <c r="M27" i="16"/>
  <c r="N27" i="16"/>
  <c r="O27" i="16"/>
  <c r="P27" i="16"/>
  <c r="Q27" i="16"/>
  <c r="R27" i="16"/>
  <c r="H29" i="16"/>
  <c r="I29" i="16"/>
  <c r="G30" i="16"/>
  <c r="H30" i="16"/>
  <c r="I30" i="16"/>
  <c r="J30" i="16"/>
  <c r="K30" i="16"/>
  <c r="L30" i="16"/>
  <c r="M30" i="16"/>
  <c r="N30" i="16"/>
  <c r="O30" i="16"/>
  <c r="P30" i="16"/>
  <c r="Q30" i="16"/>
  <c r="R30" i="16"/>
  <c r="G31" i="16"/>
  <c r="H31" i="16"/>
  <c r="I31" i="16"/>
  <c r="J31" i="16"/>
  <c r="K31" i="16"/>
  <c r="L31" i="16"/>
  <c r="M31" i="16"/>
  <c r="N31" i="16"/>
  <c r="O31" i="16"/>
  <c r="P31" i="16"/>
  <c r="Q31" i="16"/>
  <c r="R31" i="16"/>
  <c r="C37" i="16"/>
  <c r="D37" i="16"/>
  <c r="E37" i="16"/>
  <c r="F37" i="16"/>
  <c r="G37" i="16"/>
  <c r="H37" i="16"/>
  <c r="I37" i="16"/>
  <c r="J37" i="16"/>
  <c r="K37" i="16"/>
  <c r="L37" i="16"/>
  <c r="M37" i="16"/>
  <c r="N37" i="16"/>
  <c r="O37" i="16"/>
  <c r="P37" i="16"/>
  <c r="Q37" i="16"/>
  <c r="R37" i="16"/>
  <c r="C38" i="16"/>
  <c r="D38" i="16"/>
  <c r="E38" i="16"/>
  <c r="F38" i="16"/>
  <c r="G38" i="16"/>
  <c r="H38" i="16"/>
  <c r="I38" i="16"/>
  <c r="J38" i="16"/>
  <c r="K38" i="16"/>
  <c r="L38" i="16"/>
  <c r="M38" i="16"/>
  <c r="N38" i="16"/>
  <c r="O38" i="16"/>
  <c r="P38" i="16"/>
  <c r="Q38" i="16"/>
  <c r="R38" i="16"/>
  <c r="C39" i="16"/>
  <c r="D39" i="16"/>
  <c r="E39" i="16"/>
  <c r="F39" i="16"/>
  <c r="G39" i="16"/>
  <c r="H39" i="16"/>
  <c r="I39" i="16"/>
  <c r="J39" i="16"/>
  <c r="K39" i="16"/>
  <c r="L39" i="16"/>
  <c r="M39" i="16"/>
  <c r="N39" i="16"/>
  <c r="O39" i="16"/>
  <c r="P39" i="16"/>
  <c r="Q39" i="16"/>
  <c r="R39" i="16"/>
  <c r="G41" i="16"/>
  <c r="H41" i="16"/>
  <c r="I41" i="16"/>
  <c r="J41" i="16"/>
  <c r="K41" i="16"/>
  <c r="L41" i="16"/>
  <c r="M41" i="16"/>
  <c r="N41" i="16"/>
  <c r="O41" i="16"/>
  <c r="P41" i="16"/>
  <c r="Q41" i="16"/>
  <c r="R41" i="16"/>
  <c r="G42" i="16"/>
  <c r="H42" i="16"/>
  <c r="I42" i="16"/>
  <c r="J42" i="16"/>
  <c r="K42" i="16"/>
  <c r="L42" i="16"/>
  <c r="M42" i="16"/>
  <c r="N42" i="16"/>
  <c r="O42" i="16"/>
  <c r="P42" i="16"/>
  <c r="Q42" i="16"/>
  <c r="R42" i="16"/>
  <c r="G43" i="16"/>
  <c r="H43" i="16"/>
  <c r="I43" i="16"/>
  <c r="J43" i="16"/>
  <c r="K43" i="16"/>
  <c r="L43" i="16"/>
  <c r="M43" i="16"/>
  <c r="N43" i="16"/>
  <c r="O43" i="16"/>
  <c r="P43" i="16"/>
  <c r="Q43" i="16"/>
  <c r="R43" i="16"/>
  <c r="J45" i="16"/>
  <c r="I46" i="16"/>
  <c r="J46" i="16"/>
  <c r="K14" i="8"/>
  <c r="K15" i="8"/>
  <c r="K16" i="8"/>
  <c r="E18" i="8"/>
  <c r="G18" i="8"/>
  <c r="I18" i="8"/>
  <c r="K18" i="8"/>
  <c r="O2" i="5"/>
  <c r="BV3" i="5"/>
  <c r="G9" i="5"/>
  <c r="I9" i="5"/>
  <c r="K9" i="5"/>
  <c r="E11" i="5"/>
  <c r="G11" i="5"/>
  <c r="I11" i="5"/>
  <c r="K11" i="5"/>
  <c r="M11" i="5"/>
  <c r="O11" i="5"/>
  <c r="A13" i="5"/>
  <c r="E13" i="5"/>
  <c r="G13" i="5"/>
  <c r="I13" i="5"/>
  <c r="K13" i="5"/>
  <c r="M13" i="5"/>
  <c r="O13" i="5"/>
  <c r="E15" i="5"/>
  <c r="G15" i="5"/>
  <c r="I15" i="5"/>
  <c r="K15" i="5"/>
  <c r="M15" i="5"/>
  <c r="O15" i="5"/>
  <c r="C17" i="5"/>
  <c r="E17" i="5"/>
  <c r="G17" i="5"/>
  <c r="I17" i="5"/>
  <c r="K17" i="5"/>
  <c r="M17" i="5"/>
  <c r="O17" i="5"/>
  <c r="E18" i="5"/>
  <c r="K18" i="5"/>
  <c r="E22" i="5"/>
  <c r="G22" i="5"/>
  <c r="I22" i="5"/>
  <c r="K22" i="5"/>
  <c r="I24" i="5"/>
  <c r="M24" i="5"/>
  <c r="A26" i="5"/>
  <c r="I26" i="5"/>
  <c r="M26" i="5"/>
  <c r="I28" i="5"/>
  <c r="M28" i="5"/>
  <c r="E30" i="5"/>
  <c r="G30" i="5"/>
  <c r="I30" i="5"/>
  <c r="K30" i="5"/>
  <c r="M30" i="5"/>
  <c r="G35" i="5"/>
  <c r="I35" i="5"/>
  <c r="K35" i="5"/>
  <c r="G37" i="5"/>
  <c r="K37" i="5"/>
  <c r="G39" i="5"/>
  <c r="I39" i="5"/>
  <c r="K39" i="5"/>
  <c r="G41" i="5"/>
  <c r="K41" i="5"/>
  <c r="E43" i="5"/>
  <c r="G43" i="5"/>
  <c r="I43" i="5"/>
  <c r="K43" i="5"/>
  <c r="C57" i="5"/>
  <c r="C58" i="5"/>
  <c r="C59" i="5"/>
  <c r="C60" i="5"/>
  <c r="C61" i="5"/>
  <c r="C62" i="5"/>
  <c r="C63" i="5"/>
  <c r="C64" i="5"/>
  <c r="C65" i="5"/>
  <c r="C66" i="5"/>
  <c r="C67" i="5"/>
  <c r="C69" i="5"/>
  <c r="C70" i="5"/>
  <c r="C71" i="5"/>
  <c r="C74" i="5"/>
  <c r="C77" i="5"/>
  <c r="C78" i="5"/>
  <c r="C79" i="5"/>
  <c r="C80" i="5"/>
  <c r="C81" i="5"/>
  <c r="C82" i="5"/>
  <c r="C83" i="5"/>
  <c r="C84" i="5"/>
  <c r="C85" i="5"/>
  <c r="C86" i="5"/>
  <c r="C87" i="5"/>
  <c r="C88" i="5"/>
  <c r="C89" i="5"/>
  <c r="C90" i="5"/>
  <c r="C92" i="5"/>
  <c r="C93" i="5"/>
  <c r="C95" i="5"/>
  <c r="C96" i="5"/>
  <c r="C97" i="5"/>
  <c r="C98" i="5"/>
  <c r="C99" i="5"/>
  <c r="C100" i="5"/>
  <c r="C101" i="5"/>
  <c r="C102" i="5"/>
  <c r="C103" i="5"/>
  <c r="C105" i="5"/>
  <c r="C107" i="5"/>
  <c r="C108" i="5"/>
  <c r="A111" i="5"/>
  <c r="A1" i="13"/>
  <c r="A2" i="13"/>
  <c r="BT2" i="13"/>
  <c r="BP3" i="13"/>
  <c r="BT3" i="13"/>
  <c r="BV3" i="13"/>
  <c r="B4" i="13"/>
  <c r="N7" i="13"/>
  <c r="R7" i="13"/>
  <c r="T7" i="13"/>
  <c r="V7" i="13"/>
  <c r="X7" i="13"/>
  <c r="Z7" i="13"/>
  <c r="AB7" i="13"/>
  <c r="AD7" i="13"/>
  <c r="AF7" i="13"/>
  <c r="AH7" i="13"/>
  <c r="AJ7" i="13"/>
  <c r="AL7" i="13"/>
  <c r="AN7" i="13"/>
  <c r="AP7" i="13"/>
  <c r="AR7" i="13"/>
  <c r="AT7" i="13"/>
  <c r="AV7" i="13"/>
  <c r="AX7" i="13"/>
  <c r="AZ7" i="13"/>
  <c r="BB7" i="13"/>
  <c r="BD7" i="13"/>
  <c r="BF7" i="13"/>
  <c r="BH7" i="13"/>
  <c r="BJ7" i="13"/>
  <c r="BL7" i="13"/>
  <c r="BN7" i="13"/>
  <c r="AV9" i="13"/>
  <c r="BL9" i="13"/>
  <c r="BN9" i="13"/>
  <c r="BP9" i="13"/>
  <c r="BR9" i="13"/>
  <c r="BT9" i="13"/>
  <c r="BL10" i="13"/>
  <c r="BP10" i="13"/>
  <c r="BR10" i="13"/>
  <c r="BT10" i="13"/>
  <c r="BT11" i="13"/>
  <c r="N12" i="13"/>
  <c r="P12" i="13"/>
  <c r="R12" i="13"/>
  <c r="T12" i="13"/>
  <c r="V12" i="13"/>
  <c r="X12" i="13"/>
  <c r="Z12" i="13"/>
  <c r="AB12" i="13"/>
  <c r="AD12" i="13"/>
  <c r="AF12" i="13"/>
  <c r="AH12" i="13"/>
  <c r="AJ12" i="13"/>
  <c r="AL12" i="13"/>
  <c r="AN12" i="13"/>
  <c r="AP12" i="13"/>
  <c r="AR12" i="13"/>
  <c r="AT12" i="13"/>
  <c r="AV12" i="13"/>
  <c r="AX12" i="13"/>
  <c r="AZ12" i="13"/>
  <c r="BB12" i="13"/>
  <c r="BD12" i="13"/>
  <c r="BF12" i="13"/>
  <c r="BH12" i="13"/>
  <c r="BJ12" i="13"/>
  <c r="BL12" i="13"/>
  <c r="BN12" i="13"/>
  <c r="BP12" i="13"/>
  <c r="BR12" i="13"/>
  <c r="BT12" i="13"/>
  <c r="R14" i="13"/>
  <c r="BL14" i="13"/>
  <c r="BP14" i="13"/>
  <c r="BR14" i="13"/>
  <c r="BT14" i="13"/>
  <c r="AX15" i="13"/>
  <c r="BL15" i="13"/>
  <c r="BN15" i="13"/>
  <c r="BP15" i="13"/>
  <c r="BR15" i="13"/>
  <c r="BT15" i="13"/>
  <c r="BL16" i="13"/>
  <c r="BP16" i="13"/>
  <c r="BR16" i="13"/>
  <c r="BT16" i="13"/>
  <c r="BL17" i="13"/>
  <c r="BP17" i="13"/>
  <c r="BR17" i="13"/>
  <c r="BT17" i="13"/>
  <c r="BL18" i="13"/>
  <c r="BP18" i="13"/>
  <c r="BR18" i="13"/>
  <c r="BT18" i="13"/>
  <c r="BL19" i="13"/>
  <c r="BP19" i="13"/>
  <c r="BR19" i="13"/>
  <c r="BT19" i="13"/>
  <c r="BL20" i="13"/>
  <c r="BP20" i="13"/>
  <c r="BR20" i="13"/>
  <c r="BT20" i="13"/>
  <c r="BL21" i="13"/>
  <c r="BP21" i="13"/>
  <c r="BR21" i="13"/>
  <c r="BT21" i="13"/>
  <c r="R22" i="13"/>
  <c r="BL22" i="13"/>
  <c r="BP22" i="13"/>
  <c r="BR22" i="13"/>
  <c r="BT22" i="13"/>
  <c r="R23" i="13"/>
  <c r="BL23" i="13"/>
  <c r="BP23" i="13"/>
  <c r="BR23" i="13"/>
  <c r="BT23" i="13"/>
  <c r="R24" i="13"/>
  <c r="BL24" i="13"/>
  <c r="BP24" i="13"/>
  <c r="BR24" i="13"/>
  <c r="BT24" i="13"/>
  <c r="R25" i="13"/>
  <c r="BL25" i="13"/>
  <c r="BP25" i="13"/>
  <c r="BR25" i="13"/>
  <c r="BT25" i="13"/>
  <c r="R26" i="13"/>
  <c r="BL26" i="13"/>
  <c r="BP26" i="13"/>
  <c r="BR26" i="13"/>
  <c r="BT26" i="13"/>
  <c r="R27" i="13"/>
  <c r="BL27" i="13"/>
  <c r="BP27" i="13"/>
  <c r="BR27" i="13"/>
  <c r="BT27" i="13"/>
  <c r="R28" i="13"/>
  <c r="BL28" i="13"/>
  <c r="BP28" i="13"/>
  <c r="BR28" i="13"/>
  <c r="BT28" i="13"/>
  <c r="R29" i="13"/>
  <c r="BL29" i="13"/>
  <c r="BP29" i="13"/>
  <c r="BR29" i="13"/>
  <c r="BT29" i="13"/>
  <c r="BL30" i="13"/>
  <c r="BP30" i="13"/>
  <c r="BR30" i="13"/>
  <c r="BT30" i="13"/>
  <c r="BP31" i="13"/>
  <c r="BR31" i="13"/>
  <c r="BT31" i="13"/>
  <c r="N32" i="13"/>
  <c r="P32" i="13"/>
  <c r="R32" i="13"/>
  <c r="T32" i="13"/>
  <c r="V32" i="13"/>
  <c r="X32" i="13"/>
  <c r="Z32" i="13"/>
  <c r="AB32" i="13"/>
  <c r="AD32" i="13"/>
  <c r="AF32" i="13"/>
  <c r="AH32" i="13"/>
  <c r="AJ32" i="13"/>
  <c r="AL32" i="13"/>
  <c r="AN32" i="13"/>
  <c r="AP32" i="13"/>
  <c r="AR32" i="13"/>
  <c r="AT32" i="13"/>
  <c r="AV32" i="13"/>
  <c r="AX32" i="13"/>
  <c r="AZ32" i="13"/>
  <c r="BB32" i="13"/>
  <c r="BD32" i="13"/>
  <c r="BF32" i="13"/>
  <c r="BH32" i="13"/>
  <c r="BJ32" i="13"/>
  <c r="BL32" i="13"/>
  <c r="BN32" i="13"/>
  <c r="BP32" i="13"/>
  <c r="BR32" i="13"/>
  <c r="BT32" i="13"/>
  <c r="N34" i="13"/>
  <c r="P34" i="13"/>
  <c r="R34" i="13"/>
  <c r="T34" i="13"/>
  <c r="V34" i="13"/>
  <c r="X34" i="13"/>
  <c r="Z34" i="13"/>
  <c r="AB34" i="13"/>
  <c r="AD34" i="13"/>
  <c r="AF34" i="13"/>
  <c r="AH34" i="13"/>
  <c r="AJ34" i="13"/>
  <c r="AL34" i="13"/>
  <c r="AN34" i="13"/>
  <c r="AP34" i="13"/>
  <c r="AR34" i="13"/>
  <c r="AT34" i="13"/>
  <c r="AV34" i="13"/>
  <c r="AX34" i="13"/>
  <c r="AZ34" i="13"/>
  <c r="BB34" i="13"/>
  <c r="BD34" i="13"/>
  <c r="BF34" i="13"/>
  <c r="BH34" i="13"/>
  <c r="BJ34" i="13"/>
  <c r="BL34" i="13"/>
  <c r="BN34" i="13"/>
  <c r="BP34" i="13"/>
  <c r="BR34" i="13"/>
  <c r="BT34" i="13"/>
  <c r="AT40" i="13"/>
  <c r="AX40" i="13"/>
  <c r="BL40" i="13"/>
  <c r="BN40" i="13"/>
  <c r="BP40" i="13"/>
  <c r="BR40" i="13"/>
  <c r="BT40" i="13"/>
  <c r="AP41" i="13"/>
  <c r="AT41" i="13"/>
  <c r="AX41" i="13"/>
  <c r="BL41" i="13"/>
  <c r="BN41" i="13"/>
  <c r="BP41" i="13"/>
  <c r="BR41" i="13"/>
  <c r="BT41" i="13"/>
  <c r="AP42" i="13"/>
  <c r="AT42" i="13"/>
  <c r="AX42" i="13"/>
  <c r="BL42" i="13"/>
  <c r="BN42" i="13"/>
  <c r="BP42" i="13"/>
  <c r="BR42" i="13"/>
  <c r="BT42" i="13"/>
  <c r="AT43" i="13"/>
  <c r="AX43" i="13"/>
  <c r="BL43" i="13"/>
  <c r="BN43" i="13"/>
  <c r="BP43" i="13"/>
  <c r="BR43" i="13"/>
  <c r="BT43" i="13"/>
  <c r="AT44" i="13"/>
  <c r="AX44" i="13"/>
  <c r="BL44" i="13"/>
  <c r="BP44" i="13"/>
  <c r="BR44" i="13"/>
  <c r="BT44" i="13"/>
  <c r="BL45" i="13"/>
  <c r="BP45" i="13"/>
  <c r="BR45" i="13"/>
  <c r="BT45" i="13"/>
  <c r="BL46" i="13"/>
  <c r="BP46" i="13"/>
  <c r="BR46" i="13"/>
  <c r="BT46" i="13"/>
  <c r="BL47" i="13"/>
  <c r="BP47" i="13"/>
  <c r="BR47" i="13"/>
  <c r="R48" i="13"/>
  <c r="S48" i="13"/>
  <c r="T48" i="13"/>
  <c r="U48" i="13"/>
  <c r="V48" i="13"/>
  <c r="W48" i="13"/>
  <c r="X48" i="13"/>
  <c r="Y48" i="13"/>
  <c r="Z48" i="13"/>
  <c r="AA48" i="13"/>
  <c r="AB48" i="13"/>
  <c r="AC48" i="13"/>
  <c r="AD48" i="13"/>
  <c r="AE48" i="13"/>
  <c r="AF48" i="13"/>
  <c r="AG48" i="13"/>
  <c r="AH48" i="13"/>
  <c r="AI48" i="13"/>
  <c r="AJ48" i="13"/>
  <c r="AK48" i="13"/>
  <c r="AL48" i="13"/>
  <c r="AM48" i="13"/>
  <c r="AN48" i="13"/>
  <c r="AO48" i="13"/>
  <c r="AP48" i="13"/>
  <c r="AQ48" i="13"/>
  <c r="AR48" i="13"/>
  <c r="AS48" i="13"/>
  <c r="AT48" i="13"/>
  <c r="AU48" i="13"/>
  <c r="AV48" i="13"/>
  <c r="AW48" i="13"/>
  <c r="AX48" i="13"/>
  <c r="AY48" i="13"/>
  <c r="AZ48" i="13"/>
  <c r="BA48" i="13"/>
  <c r="BB48" i="13"/>
  <c r="BC48" i="13"/>
  <c r="BD48" i="13"/>
  <c r="BE48" i="13"/>
  <c r="BF48" i="13"/>
  <c r="BG48" i="13"/>
  <c r="BH48" i="13"/>
  <c r="BI48" i="13"/>
  <c r="BJ48" i="13"/>
  <c r="BK48" i="13"/>
  <c r="BL48" i="13"/>
  <c r="BM48" i="13"/>
  <c r="BN48" i="13"/>
  <c r="BO48" i="13"/>
  <c r="BP48" i="13"/>
  <c r="BQ48" i="13"/>
  <c r="BR48" i="13"/>
  <c r="BS48" i="13"/>
  <c r="BT48" i="13"/>
  <c r="BL50" i="13"/>
  <c r="BL51" i="13"/>
  <c r="BP51" i="13"/>
  <c r="BR51" i="13"/>
  <c r="BT51" i="13"/>
  <c r="AT52" i="13"/>
  <c r="AX52" i="13"/>
  <c r="BL52" i="13"/>
  <c r="BN52" i="13"/>
  <c r="BP52" i="13"/>
  <c r="BR52" i="13"/>
  <c r="BT52" i="13"/>
  <c r="BL53" i="13"/>
  <c r="BN53" i="13"/>
  <c r="BP53" i="13"/>
  <c r="BR53" i="13"/>
  <c r="BT53" i="13"/>
  <c r="AX54" i="13"/>
  <c r="BL54" i="13"/>
  <c r="BN54" i="13"/>
  <c r="BP54" i="13"/>
  <c r="BR54" i="13"/>
  <c r="BT54" i="13"/>
  <c r="R55" i="13"/>
  <c r="S55" i="13"/>
  <c r="T55" i="13"/>
  <c r="U55" i="13"/>
  <c r="V55" i="13"/>
  <c r="W55" i="13"/>
  <c r="X55" i="13"/>
  <c r="Y55" i="13"/>
  <c r="Z55" i="13"/>
  <c r="AA55" i="13"/>
  <c r="AB55" i="13"/>
  <c r="AC55" i="13"/>
  <c r="AD55" i="13"/>
  <c r="AE55" i="13"/>
  <c r="AF55" i="13"/>
  <c r="AG55" i="13"/>
  <c r="AH55" i="13"/>
  <c r="AI55" i="13"/>
  <c r="AJ55" i="13"/>
  <c r="AK55" i="13"/>
  <c r="AL55" i="13"/>
  <c r="AM55" i="13"/>
  <c r="AN55" i="13"/>
  <c r="AO55" i="13"/>
  <c r="AP55" i="13"/>
  <c r="AQ55" i="13"/>
  <c r="AR55" i="13"/>
  <c r="AS55" i="13"/>
  <c r="AT55" i="13"/>
  <c r="AU55" i="13"/>
  <c r="AV55" i="13"/>
  <c r="AW55" i="13"/>
  <c r="AX55" i="13"/>
  <c r="AY55" i="13"/>
  <c r="AZ55" i="13"/>
  <c r="BA55" i="13"/>
  <c r="BB55" i="13"/>
  <c r="BC55" i="13"/>
  <c r="BD55" i="13"/>
  <c r="BE55" i="13"/>
  <c r="BF55" i="13"/>
  <c r="BG55" i="13"/>
  <c r="BH55" i="13"/>
  <c r="BI55" i="13"/>
  <c r="BJ55" i="13"/>
  <c r="BK55" i="13"/>
  <c r="BL55" i="13"/>
  <c r="BM55" i="13"/>
  <c r="BN55" i="13"/>
  <c r="BO55" i="13"/>
  <c r="BP55" i="13"/>
  <c r="BQ55" i="13"/>
  <c r="BR55" i="13"/>
  <c r="BS55" i="13"/>
  <c r="BT55" i="13"/>
  <c r="R58" i="13"/>
  <c r="AX58" i="13"/>
  <c r="BL58" i="13"/>
  <c r="BN58" i="13"/>
  <c r="BP58" i="13"/>
  <c r="BR58" i="13"/>
  <c r="BT58" i="13"/>
  <c r="AX59" i="13"/>
  <c r="BL59" i="13"/>
  <c r="BM59" i="13"/>
  <c r="BO59" i="13"/>
  <c r="BP59" i="13"/>
  <c r="BQ59" i="13"/>
  <c r="BR59" i="13"/>
  <c r="BS59" i="13"/>
  <c r="BT59" i="13"/>
  <c r="AT60" i="13"/>
  <c r="AX60" i="13"/>
  <c r="BL60" i="13"/>
  <c r="BM60" i="13"/>
  <c r="BN60" i="13"/>
  <c r="BO60" i="13"/>
  <c r="BP60" i="13"/>
  <c r="BQ60" i="13"/>
  <c r="BR60" i="13"/>
  <c r="BS60" i="13"/>
  <c r="BT60" i="13"/>
  <c r="AT61" i="13"/>
  <c r="AX61" i="13"/>
  <c r="BL61" i="13"/>
  <c r="BP61" i="13"/>
  <c r="BR61" i="13"/>
  <c r="BT61" i="13"/>
  <c r="AT62" i="13"/>
  <c r="AX62" i="13"/>
  <c r="BL62" i="13"/>
  <c r="BN62" i="13"/>
  <c r="BP62" i="13"/>
  <c r="BR62" i="13"/>
  <c r="BT62" i="13"/>
  <c r="AT63" i="13"/>
  <c r="AX63" i="13"/>
  <c r="BL63" i="13"/>
  <c r="BP63" i="13"/>
  <c r="BR63" i="13"/>
  <c r="BT63" i="13"/>
  <c r="AT64" i="13"/>
  <c r="AX64" i="13"/>
  <c r="BL64" i="13"/>
  <c r="BN64" i="13"/>
  <c r="BP64" i="13"/>
  <c r="BR64" i="13"/>
  <c r="BT64" i="13"/>
  <c r="AX65" i="13"/>
  <c r="BL65" i="13"/>
  <c r="BP65" i="13"/>
  <c r="BR65" i="13"/>
  <c r="BT65" i="13"/>
  <c r="AX66" i="13"/>
  <c r="BL66" i="13"/>
  <c r="BM66" i="13"/>
  <c r="BN66" i="13"/>
  <c r="BO66" i="13"/>
  <c r="BP66" i="13"/>
  <c r="BQ66" i="13"/>
  <c r="BR66" i="13"/>
  <c r="BS66" i="13"/>
  <c r="BT66" i="13"/>
  <c r="BU66" i="13"/>
  <c r="BV66" i="13"/>
  <c r="BW66" i="13"/>
  <c r="AX67" i="13"/>
  <c r="BL67" i="13"/>
  <c r="BP67" i="13"/>
  <c r="BR67" i="13"/>
  <c r="BT67" i="13"/>
  <c r="AX68" i="13"/>
  <c r="BL68" i="13"/>
  <c r="BN68" i="13"/>
  <c r="BP68" i="13"/>
  <c r="BR68" i="13"/>
  <c r="BT68" i="13"/>
  <c r="BL69" i="13"/>
  <c r="BP69" i="13"/>
  <c r="BR69" i="13"/>
  <c r="BT69" i="13"/>
  <c r="AX70" i="13"/>
  <c r="BL70" i="13"/>
  <c r="BP70" i="13"/>
  <c r="BR70" i="13"/>
  <c r="BT70" i="13"/>
  <c r="BL71" i="13"/>
  <c r="BP71" i="13"/>
  <c r="BR71" i="13"/>
  <c r="BT71" i="13"/>
  <c r="AX72" i="13"/>
  <c r="BL72" i="13"/>
  <c r="BN72" i="13"/>
  <c r="BP72" i="13"/>
  <c r="BR72" i="13"/>
  <c r="BT72" i="13"/>
  <c r="AX73" i="13"/>
  <c r="BL73" i="13"/>
  <c r="BN73" i="13"/>
  <c r="BP73" i="13"/>
  <c r="BR73" i="13"/>
  <c r="BT73" i="13"/>
  <c r="AX74" i="13"/>
  <c r="BL74" i="13"/>
  <c r="BN74" i="13"/>
  <c r="BP74" i="13"/>
  <c r="BR74" i="13"/>
  <c r="BT74" i="13"/>
  <c r="R75" i="13"/>
  <c r="BL75" i="13"/>
  <c r="BP75" i="13"/>
  <c r="BR75" i="13"/>
  <c r="BT75" i="13"/>
  <c r="AP76" i="13"/>
  <c r="AT76" i="13"/>
  <c r="AX76" i="13"/>
  <c r="BL76" i="13"/>
  <c r="BN76" i="13"/>
  <c r="BP76" i="13"/>
  <c r="BR76" i="13"/>
  <c r="BT76" i="13"/>
  <c r="AX77" i="13"/>
  <c r="BL77" i="13"/>
  <c r="BN77" i="13"/>
  <c r="BP77" i="13"/>
  <c r="BR77" i="13"/>
  <c r="BT77" i="13"/>
  <c r="AX78" i="13"/>
  <c r="BL78" i="13"/>
  <c r="BP78" i="13"/>
  <c r="BR78" i="13"/>
  <c r="BT78" i="13"/>
  <c r="R80" i="13"/>
  <c r="S80" i="13"/>
  <c r="T80" i="13"/>
  <c r="U80" i="13"/>
  <c r="V80" i="13"/>
  <c r="W80" i="13"/>
  <c r="X80" i="13"/>
  <c r="Y80" i="13"/>
  <c r="Z80" i="13"/>
  <c r="AA80" i="13"/>
  <c r="AB80" i="13"/>
  <c r="AC80" i="13"/>
  <c r="AD80" i="13"/>
  <c r="AE80" i="13"/>
  <c r="AF80" i="13"/>
  <c r="AG80" i="13"/>
  <c r="AH80" i="13"/>
  <c r="AI80" i="13"/>
  <c r="AJ80" i="13"/>
  <c r="AK80" i="13"/>
  <c r="AL80" i="13"/>
  <c r="AM80" i="13"/>
  <c r="AN80" i="13"/>
  <c r="AO80" i="13"/>
  <c r="AP80" i="13"/>
  <c r="AQ80" i="13"/>
  <c r="AR80" i="13"/>
  <c r="AS80" i="13"/>
  <c r="AT80" i="13"/>
  <c r="AU80" i="13"/>
  <c r="AV80" i="13"/>
  <c r="AW80" i="13"/>
  <c r="AX80" i="13"/>
  <c r="AY80" i="13"/>
  <c r="AZ80" i="13"/>
  <c r="BA80" i="13"/>
  <c r="BB80" i="13"/>
  <c r="BC80" i="13"/>
  <c r="BD80" i="13"/>
  <c r="BE80" i="13"/>
  <c r="BF80" i="13"/>
  <c r="BG80" i="13"/>
  <c r="BH80" i="13"/>
  <c r="BI80" i="13"/>
  <c r="BJ80" i="13"/>
  <c r="BK80" i="13"/>
  <c r="BL80" i="13"/>
  <c r="BM80" i="13"/>
  <c r="BN80" i="13"/>
  <c r="BO80" i="13"/>
  <c r="BP80" i="13"/>
  <c r="BQ80" i="13"/>
  <c r="BR80" i="13"/>
  <c r="BS80" i="13"/>
  <c r="BT80" i="13"/>
  <c r="BU80" i="13"/>
  <c r="AX83" i="13"/>
  <c r="BL83" i="13"/>
  <c r="BN83" i="13"/>
  <c r="BP83" i="13"/>
  <c r="BR83" i="13"/>
  <c r="BT83" i="13"/>
  <c r="R85" i="13"/>
  <c r="S85" i="13"/>
  <c r="T85" i="13"/>
  <c r="U85" i="13"/>
  <c r="V85" i="13"/>
  <c r="W85" i="13"/>
  <c r="X85" i="13"/>
  <c r="Y85" i="13"/>
  <c r="Z85" i="13"/>
  <c r="AA85" i="13"/>
  <c r="AB85" i="13"/>
  <c r="AC85" i="13"/>
  <c r="AD85" i="13"/>
  <c r="AE85" i="13"/>
  <c r="AF85" i="13"/>
  <c r="AG85" i="13"/>
  <c r="AH85" i="13"/>
  <c r="AI85" i="13"/>
  <c r="AJ85" i="13"/>
  <c r="AK85" i="13"/>
  <c r="AL85" i="13"/>
  <c r="AM85" i="13"/>
  <c r="AN85" i="13"/>
  <c r="AO85" i="13"/>
  <c r="AP85" i="13"/>
  <c r="AQ85" i="13"/>
  <c r="AR85" i="13"/>
  <c r="AS85" i="13"/>
  <c r="AT85" i="13"/>
  <c r="AU85" i="13"/>
  <c r="AV85" i="13"/>
  <c r="AW85" i="13"/>
  <c r="AX85" i="13"/>
  <c r="AY85" i="13"/>
  <c r="AZ85" i="13"/>
  <c r="BA85" i="13"/>
  <c r="BB85" i="13"/>
  <c r="BC85" i="13"/>
  <c r="BD85" i="13"/>
  <c r="BE85" i="13"/>
  <c r="BF85" i="13"/>
  <c r="BG85" i="13"/>
  <c r="BH85" i="13"/>
  <c r="BI85" i="13"/>
  <c r="BJ85" i="13"/>
  <c r="BK85" i="13"/>
  <c r="BL85" i="13"/>
  <c r="BM85" i="13"/>
  <c r="BN85" i="13"/>
  <c r="BO85" i="13"/>
  <c r="BP85" i="13"/>
  <c r="BQ85" i="13"/>
  <c r="BR85" i="13"/>
  <c r="BS85" i="13"/>
  <c r="BT85" i="13"/>
  <c r="AT87" i="13"/>
  <c r="BL87" i="13"/>
  <c r="BT87" i="13"/>
  <c r="AP89" i="13"/>
  <c r="AT89" i="13"/>
  <c r="BL89" i="13"/>
  <c r="BP89" i="13"/>
  <c r="BT89" i="13"/>
  <c r="N91" i="13"/>
  <c r="P91" i="13"/>
  <c r="R91" i="13"/>
  <c r="S91" i="13"/>
  <c r="T91" i="13"/>
  <c r="U91" i="13"/>
  <c r="V91" i="13"/>
  <c r="W91" i="13"/>
  <c r="X91" i="13"/>
  <c r="Y91" i="13"/>
  <c r="Z91" i="13"/>
  <c r="AA91" i="13"/>
  <c r="AB91" i="13"/>
  <c r="AC91" i="13"/>
  <c r="AD91" i="13"/>
  <c r="AE91" i="13"/>
  <c r="AF91" i="13"/>
  <c r="AG91" i="13"/>
  <c r="AH91" i="13"/>
  <c r="AI91" i="13"/>
  <c r="AJ91" i="13"/>
  <c r="AK91" i="13"/>
  <c r="AL91" i="13"/>
  <c r="AM91" i="13"/>
  <c r="AN91" i="13"/>
  <c r="AO91" i="13"/>
  <c r="AP91" i="13"/>
  <c r="AQ91" i="13"/>
  <c r="AR91" i="13"/>
  <c r="AS91" i="13"/>
  <c r="AT91" i="13"/>
  <c r="AU91" i="13"/>
  <c r="AV91" i="13"/>
  <c r="AW91" i="13"/>
  <c r="AX91" i="13"/>
  <c r="AY91" i="13"/>
  <c r="AZ91" i="13"/>
  <c r="BA91" i="13"/>
  <c r="BB91" i="13"/>
  <c r="BC91" i="13"/>
  <c r="BD91" i="13"/>
  <c r="BE91" i="13"/>
  <c r="BF91" i="13"/>
  <c r="BG91" i="13"/>
  <c r="BH91" i="13"/>
  <c r="BI91" i="13"/>
  <c r="BJ91" i="13"/>
  <c r="BK91" i="13"/>
  <c r="BL91" i="13"/>
  <c r="BM91" i="13"/>
  <c r="BN91" i="13"/>
  <c r="BO91" i="13"/>
  <c r="BP91" i="13"/>
  <c r="BQ91" i="13"/>
  <c r="BR91" i="13"/>
  <c r="BS91" i="13"/>
  <c r="BT91" i="13"/>
  <c r="BU91" i="13"/>
  <c r="AH95" i="13"/>
  <c r="BL95" i="13"/>
  <c r="BP95" i="13"/>
  <c r="BR95" i="13"/>
  <c r="BT95" i="13"/>
  <c r="AH96" i="13"/>
  <c r="BL96" i="13"/>
  <c r="BP96" i="13"/>
  <c r="BR96" i="13"/>
  <c r="BT96" i="13"/>
  <c r="BL97" i="13"/>
  <c r="BP97" i="13"/>
  <c r="BR97" i="13"/>
  <c r="BT97" i="13"/>
  <c r="R98" i="13"/>
  <c r="BL98" i="13"/>
  <c r="BP98" i="13"/>
  <c r="BR98" i="13"/>
  <c r="BT98" i="13"/>
  <c r="R99" i="13"/>
  <c r="BL99" i="13"/>
  <c r="BP99" i="13"/>
  <c r="BR99" i="13"/>
  <c r="BT99" i="13"/>
  <c r="R100" i="13"/>
  <c r="BL100" i="13"/>
  <c r="BP100" i="13"/>
  <c r="BR100" i="13"/>
  <c r="BT100" i="13"/>
  <c r="BP101" i="13"/>
  <c r="BT101" i="13"/>
  <c r="N102" i="13"/>
  <c r="P102" i="13"/>
  <c r="R102" i="13"/>
  <c r="T102" i="13"/>
  <c r="V102" i="13"/>
  <c r="X102" i="13"/>
  <c r="Z102" i="13"/>
  <c r="AB102" i="13"/>
  <c r="AD102" i="13"/>
  <c r="AF102" i="13"/>
  <c r="AH102" i="13"/>
  <c r="AJ102" i="13"/>
  <c r="AL102" i="13"/>
  <c r="AN102" i="13"/>
  <c r="AP102" i="13"/>
  <c r="AR102" i="13"/>
  <c r="AT102" i="13"/>
  <c r="AV102" i="13"/>
  <c r="AX102" i="13"/>
  <c r="AZ102" i="13"/>
  <c r="BB102" i="13"/>
  <c r="BD102" i="13"/>
  <c r="BF102" i="13"/>
  <c r="BH102" i="13"/>
  <c r="BJ102" i="13"/>
  <c r="BL102" i="13"/>
  <c r="BN102" i="13"/>
  <c r="BP102" i="13"/>
  <c r="BR102" i="13"/>
  <c r="BT102" i="13"/>
  <c r="BL105" i="13"/>
  <c r="BP105" i="13"/>
  <c r="BR105" i="13"/>
  <c r="BT105" i="13"/>
  <c r="BT106" i="13"/>
  <c r="N107" i="13"/>
  <c r="P107" i="13"/>
  <c r="R107" i="13"/>
  <c r="T107" i="13"/>
  <c r="V107" i="13"/>
  <c r="X107" i="13"/>
  <c r="Z107" i="13"/>
  <c r="AB107" i="13"/>
  <c r="AD107" i="13"/>
  <c r="AF107" i="13"/>
  <c r="AH107" i="13"/>
  <c r="AJ107" i="13"/>
  <c r="AL107" i="13"/>
  <c r="AN107" i="13"/>
  <c r="AP107" i="13"/>
  <c r="AR107" i="13"/>
  <c r="AT107" i="13"/>
  <c r="AV107" i="13"/>
  <c r="AX107" i="13"/>
  <c r="AZ107" i="13"/>
  <c r="BB107" i="13"/>
  <c r="BD107" i="13"/>
  <c r="BF107" i="13"/>
  <c r="BH107" i="13"/>
  <c r="BJ107" i="13"/>
  <c r="BL107" i="13"/>
  <c r="BN107" i="13"/>
  <c r="BP107" i="13"/>
  <c r="BR107" i="13"/>
  <c r="BT107" i="13"/>
  <c r="BL112" i="13"/>
  <c r="BP112" i="13"/>
  <c r="BR112" i="13"/>
  <c r="BT112" i="13"/>
  <c r="AX113" i="13"/>
  <c r="BL113" i="13"/>
  <c r="BP113" i="13"/>
  <c r="BR113" i="13"/>
  <c r="BT113" i="13"/>
  <c r="BL114" i="13"/>
  <c r="BP114" i="13"/>
  <c r="BR114" i="13"/>
  <c r="BT114" i="13"/>
  <c r="N115" i="13"/>
  <c r="P115" i="13"/>
  <c r="R115" i="13"/>
  <c r="T115" i="13"/>
  <c r="V115" i="13"/>
  <c r="X115" i="13"/>
  <c r="Z115" i="13"/>
  <c r="AB115" i="13"/>
  <c r="AD115" i="13"/>
  <c r="AF115" i="13"/>
  <c r="AH115" i="13"/>
  <c r="AJ115" i="13"/>
  <c r="AL115" i="13"/>
  <c r="AN115" i="13"/>
  <c r="AP115" i="13"/>
  <c r="AR115" i="13"/>
  <c r="AT115" i="13"/>
  <c r="AV115" i="13"/>
  <c r="AX115" i="13"/>
  <c r="AZ115" i="13"/>
  <c r="BB115" i="13"/>
  <c r="BD115" i="13"/>
  <c r="BF115" i="13"/>
  <c r="BH115" i="13"/>
  <c r="BJ115" i="13"/>
  <c r="BL115" i="13"/>
  <c r="BN115" i="13"/>
  <c r="BP115" i="13"/>
  <c r="BR115" i="13"/>
  <c r="BT115" i="13"/>
  <c r="BL117" i="13"/>
  <c r="BP117" i="13"/>
  <c r="BR117" i="13"/>
  <c r="BT117" i="13"/>
  <c r="BL119" i="13"/>
  <c r="BP119" i="13"/>
  <c r="BR119" i="13"/>
  <c r="BT119" i="13"/>
  <c r="BL121" i="13"/>
  <c r="BP121" i="13"/>
  <c r="BR121" i="13"/>
  <c r="BT121" i="13"/>
  <c r="BL123" i="13"/>
  <c r="BP123" i="13"/>
  <c r="BR123" i="13"/>
  <c r="BT123" i="13"/>
  <c r="BL126" i="13"/>
  <c r="BP126" i="13"/>
  <c r="BR126" i="13"/>
  <c r="BT126" i="13"/>
  <c r="BL127" i="13"/>
  <c r="BP127" i="13"/>
  <c r="BR127" i="13"/>
  <c r="BT127" i="13"/>
  <c r="R128" i="13"/>
  <c r="AL128" i="13"/>
  <c r="AN128" i="13"/>
  <c r="AV128" i="13"/>
  <c r="BL128" i="13"/>
  <c r="BP128" i="13"/>
  <c r="BR128" i="13"/>
  <c r="BT128" i="13"/>
  <c r="BP129" i="13"/>
  <c r="BR129" i="13"/>
  <c r="BT129" i="13"/>
  <c r="N130" i="13"/>
  <c r="P130" i="13"/>
  <c r="R130" i="13"/>
  <c r="T130" i="13"/>
  <c r="V130" i="13"/>
  <c r="X130" i="13"/>
  <c r="Z130" i="13"/>
  <c r="AB130" i="13"/>
  <c r="AD130" i="13"/>
  <c r="AF130" i="13"/>
  <c r="AH130" i="13"/>
  <c r="AJ130" i="13"/>
  <c r="AL130" i="13"/>
  <c r="AN130" i="13"/>
  <c r="AP130" i="13"/>
  <c r="AR130" i="13"/>
  <c r="AT130" i="13"/>
  <c r="AV130" i="13"/>
  <c r="AX130" i="13"/>
  <c r="AZ130" i="13"/>
  <c r="BB130" i="13"/>
  <c r="BD130" i="13"/>
  <c r="BF130" i="13"/>
  <c r="BH130" i="13"/>
  <c r="BJ130" i="13"/>
  <c r="BL130" i="13"/>
  <c r="BN130" i="13"/>
  <c r="BP130" i="13"/>
  <c r="BR130" i="13"/>
  <c r="BT130" i="13"/>
  <c r="BL131" i="13"/>
  <c r="BL133" i="13"/>
  <c r="BP133" i="13"/>
  <c r="BR133" i="13"/>
  <c r="BT133" i="13"/>
  <c r="BL134" i="13"/>
  <c r="BP134" i="13"/>
  <c r="BR134" i="13"/>
  <c r="BT134" i="13"/>
  <c r="Z135" i="13"/>
  <c r="AB135" i="13"/>
  <c r="AR135" i="13"/>
  <c r="BL135" i="13"/>
  <c r="BP135" i="13"/>
  <c r="BR135" i="13"/>
  <c r="BT135" i="13"/>
  <c r="N137" i="13"/>
  <c r="P137" i="13"/>
  <c r="R137" i="13"/>
  <c r="T137" i="13"/>
  <c r="V137" i="13"/>
  <c r="X137" i="13"/>
  <c r="Z137" i="13"/>
  <c r="AB137" i="13"/>
  <c r="AD137" i="13"/>
  <c r="AF137" i="13"/>
  <c r="AH137" i="13"/>
  <c r="AJ137" i="13"/>
  <c r="AL137" i="13"/>
  <c r="AN137" i="13"/>
  <c r="AP137" i="13"/>
  <c r="AR137" i="13"/>
  <c r="AT137" i="13"/>
  <c r="AV137" i="13"/>
  <c r="AX137" i="13"/>
  <c r="AZ137" i="13"/>
  <c r="BB137" i="13"/>
  <c r="BD137" i="13"/>
  <c r="BF137" i="13"/>
  <c r="BH137" i="13"/>
  <c r="BJ137" i="13"/>
  <c r="BL137" i="13"/>
  <c r="BN137" i="13"/>
  <c r="BP137" i="13"/>
  <c r="BR137" i="13"/>
  <c r="BT137" i="13"/>
  <c r="BL139" i="13"/>
  <c r="BP139" i="13"/>
  <c r="BR139" i="13"/>
  <c r="BT139" i="13"/>
  <c r="BL141" i="13"/>
  <c r="BP141" i="13"/>
  <c r="BR141" i="13"/>
  <c r="BT141" i="13"/>
  <c r="R144" i="13"/>
  <c r="BL144" i="13"/>
  <c r="BP144" i="13"/>
  <c r="BR144" i="13"/>
  <c r="BT144" i="13"/>
  <c r="BL145" i="13"/>
  <c r="BP145" i="13"/>
  <c r="BR145" i="13"/>
  <c r="BT145" i="13"/>
  <c r="BL146" i="13"/>
  <c r="BP146" i="13"/>
  <c r="BR146" i="13"/>
  <c r="BT146" i="13"/>
  <c r="N147" i="13"/>
  <c r="P147" i="13"/>
  <c r="R147" i="13"/>
  <c r="T147" i="13"/>
  <c r="V147" i="13"/>
  <c r="X147" i="13"/>
  <c r="Z147" i="13"/>
  <c r="AB147" i="13"/>
  <c r="AD147" i="13"/>
  <c r="AF147" i="13"/>
  <c r="AH147" i="13"/>
  <c r="AJ147" i="13"/>
  <c r="AL147" i="13"/>
  <c r="AN147" i="13"/>
  <c r="AP147" i="13"/>
  <c r="AR147" i="13"/>
  <c r="AT147" i="13"/>
  <c r="AV147" i="13"/>
  <c r="AX147" i="13"/>
  <c r="AZ147" i="13"/>
  <c r="BB147" i="13"/>
  <c r="BD147" i="13"/>
  <c r="BF147" i="13"/>
  <c r="BH147" i="13"/>
  <c r="BJ147" i="13"/>
  <c r="BL147" i="13"/>
  <c r="BN147" i="13"/>
  <c r="BP147" i="13"/>
  <c r="BR147" i="13"/>
  <c r="BT147" i="13"/>
  <c r="BL149" i="13"/>
  <c r="BP149" i="13"/>
  <c r="BR149" i="13"/>
  <c r="BT149" i="13"/>
  <c r="AB151" i="13"/>
  <c r="AD151" i="13"/>
  <c r="BL151" i="13"/>
  <c r="BP151" i="13"/>
  <c r="BR151" i="13"/>
  <c r="BT151" i="13"/>
  <c r="BL154" i="13"/>
  <c r="BP154" i="13"/>
  <c r="BR154" i="13"/>
  <c r="BT154" i="13"/>
  <c r="Z155" i="13"/>
  <c r="AD155" i="13"/>
  <c r="BL155" i="13"/>
  <c r="BP155" i="13"/>
  <c r="BR155" i="13"/>
  <c r="BT155" i="13"/>
  <c r="BL156" i="13"/>
  <c r="BP156" i="13"/>
  <c r="BR156" i="13"/>
  <c r="BT156" i="13"/>
  <c r="P157" i="13"/>
  <c r="AD157" i="13"/>
  <c r="AP157" i="13"/>
  <c r="AR157" i="13"/>
  <c r="AZ157" i="13"/>
  <c r="BL157" i="13"/>
  <c r="BP157" i="13"/>
  <c r="BR157" i="13"/>
  <c r="BT157" i="13"/>
  <c r="AR158" i="13"/>
  <c r="BL158" i="13"/>
  <c r="BP158" i="13"/>
  <c r="BR158" i="13"/>
  <c r="BT158" i="13"/>
  <c r="AH159" i="13"/>
  <c r="BL159" i="13"/>
  <c r="BP159" i="13"/>
  <c r="BR159" i="13"/>
  <c r="BT159" i="13"/>
  <c r="N160" i="13"/>
  <c r="P160" i="13"/>
  <c r="R160" i="13"/>
  <c r="S160" i="13"/>
  <c r="T160" i="13"/>
  <c r="U160" i="13"/>
  <c r="V160" i="13"/>
  <c r="W160" i="13"/>
  <c r="X160" i="13"/>
  <c r="Y160" i="13"/>
  <c r="Z160" i="13"/>
  <c r="AA160" i="13"/>
  <c r="AB160" i="13"/>
  <c r="AC160" i="13"/>
  <c r="AD160" i="13"/>
  <c r="AE160" i="13"/>
  <c r="AF160" i="13"/>
  <c r="AG160" i="13"/>
  <c r="AH160" i="13"/>
  <c r="AI160" i="13"/>
  <c r="AJ160" i="13"/>
  <c r="AK160" i="13"/>
  <c r="AL160" i="13"/>
  <c r="AM160" i="13"/>
  <c r="AN160" i="13"/>
  <c r="AO160" i="13"/>
  <c r="AP160" i="13"/>
  <c r="AQ160" i="13"/>
  <c r="AR160" i="13"/>
  <c r="AS160" i="13"/>
  <c r="AT160" i="13"/>
  <c r="AU160" i="13"/>
  <c r="AV160" i="13"/>
  <c r="AW160" i="13"/>
  <c r="AX160" i="13"/>
  <c r="AY160" i="13"/>
  <c r="AZ160" i="13"/>
  <c r="BA160" i="13"/>
  <c r="BB160" i="13"/>
  <c r="BC160" i="13"/>
  <c r="BD160" i="13"/>
  <c r="BE160" i="13"/>
  <c r="BF160" i="13"/>
  <c r="BG160" i="13"/>
  <c r="BH160" i="13"/>
  <c r="BI160" i="13"/>
  <c r="BJ160" i="13"/>
  <c r="BK160" i="13"/>
  <c r="BL160" i="13"/>
  <c r="BM160" i="13"/>
  <c r="BN160" i="13"/>
  <c r="BO160" i="13"/>
  <c r="BP160" i="13"/>
  <c r="BQ160" i="13"/>
  <c r="BR160" i="13"/>
  <c r="BS160" i="13"/>
  <c r="BT160" i="13"/>
  <c r="P163" i="13"/>
  <c r="BL163" i="13"/>
  <c r="BP163" i="13"/>
  <c r="BR163" i="13"/>
  <c r="BT163" i="13"/>
  <c r="AR164" i="13"/>
  <c r="BL164" i="13"/>
  <c r="BP164" i="13"/>
  <c r="BR164" i="13"/>
  <c r="BT164" i="13"/>
  <c r="AR165" i="13"/>
  <c r="BL165" i="13"/>
  <c r="BP165" i="13"/>
  <c r="BR165" i="13"/>
  <c r="BT165" i="13"/>
  <c r="BL166" i="13"/>
  <c r="BP166" i="13"/>
  <c r="BR166" i="13"/>
  <c r="BT166" i="13"/>
  <c r="N167" i="13"/>
  <c r="O167" i="13"/>
  <c r="P167" i="13"/>
  <c r="Q167" i="13"/>
  <c r="R167" i="13"/>
  <c r="T167" i="13"/>
  <c r="V167" i="13"/>
  <c r="X167" i="13"/>
  <c r="Z167" i="13"/>
  <c r="AB167" i="13"/>
  <c r="AD167" i="13"/>
  <c r="AF167" i="13"/>
  <c r="AH167" i="13"/>
  <c r="AJ167" i="13"/>
  <c r="AL167" i="13"/>
  <c r="AN167" i="13"/>
  <c r="AP167" i="13"/>
  <c r="AR167" i="13"/>
  <c r="AT167" i="13"/>
  <c r="AV167" i="13"/>
  <c r="AX167" i="13"/>
  <c r="AZ167" i="13"/>
  <c r="BB167" i="13"/>
  <c r="BD167" i="13"/>
  <c r="BF167" i="13"/>
  <c r="BH167" i="13"/>
  <c r="BJ167" i="13"/>
  <c r="BL167" i="13"/>
  <c r="BN167" i="13"/>
  <c r="BP167" i="13"/>
  <c r="BR167" i="13"/>
  <c r="BT167" i="13"/>
  <c r="P169" i="13"/>
  <c r="V169" i="13"/>
  <c r="Z169" i="13"/>
  <c r="AF169" i="13"/>
  <c r="AH169" i="13"/>
  <c r="AJ169" i="13"/>
  <c r="AL169" i="13"/>
  <c r="AN169" i="13"/>
  <c r="AP169" i="13"/>
  <c r="AR169" i="13"/>
  <c r="AT169" i="13"/>
  <c r="AV169" i="13"/>
  <c r="AX169" i="13"/>
  <c r="BL169" i="13"/>
  <c r="BN169" i="13"/>
  <c r="BP169" i="13"/>
  <c r="BR169" i="13"/>
  <c r="BT169" i="13"/>
  <c r="R171" i="13"/>
  <c r="S171" i="13"/>
  <c r="T171" i="13"/>
  <c r="U171" i="13"/>
  <c r="V171" i="13"/>
  <c r="W171" i="13"/>
  <c r="X171" i="13"/>
  <c r="Y171" i="13"/>
  <c r="Z171" i="13"/>
  <c r="AA171" i="13"/>
  <c r="AB171" i="13"/>
  <c r="AC171" i="13"/>
  <c r="AD171" i="13"/>
  <c r="AE171" i="13"/>
  <c r="AF171" i="13"/>
  <c r="AG171" i="13"/>
  <c r="AH171" i="13"/>
  <c r="AI171" i="13"/>
  <c r="AJ171" i="13"/>
  <c r="AK171" i="13"/>
  <c r="AL171" i="13"/>
  <c r="AM171" i="13"/>
  <c r="AN171" i="13"/>
  <c r="AO171" i="13"/>
  <c r="AP171" i="13"/>
  <c r="AQ171" i="13"/>
  <c r="AR171" i="13"/>
  <c r="AS171" i="13"/>
  <c r="AT171" i="13"/>
  <c r="AU171" i="13"/>
  <c r="AV171" i="13"/>
  <c r="AW171" i="13"/>
  <c r="AX171" i="13"/>
  <c r="AY171" i="13"/>
  <c r="AZ171" i="13"/>
  <c r="BA171" i="13"/>
  <c r="BB171" i="13"/>
  <c r="BC171" i="13"/>
  <c r="BD171" i="13"/>
  <c r="BE171" i="13"/>
  <c r="BF171" i="13"/>
  <c r="BG171" i="13"/>
  <c r="BH171" i="13"/>
  <c r="BI171" i="13"/>
  <c r="BJ171" i="13"/>
  <c r="BK171" i="13"/>
  <c r="BL171" i="13"/>
  <c r="BM171" i="13"/>
  <c r="BN171" i="13"/>
  <c r="BO171" i="13"/>
  <c r="BP171" i="13"/>
  <c r="BQ171" i="13"/>
  <c r="BR171" i="13"/>
  <c r="BS171" i="13"/>
  <c r="BT171" i="13"/>
  <c r="BU171" i="13"/>
  <c r="P173" i="13"/>
  <c r="R173" i="13"/>
  <c r="BP173" i="13"/>
  <c r="BR173" i="13"/>
  <c r="BT173" i="13"/>
  <c r="R176" i="13"/>
  <c r="S176" i="13"/>
  <c r="T176" i="13"/>
  <c r="U176" i="13"/>
  <c r="V176" i="13"/>
  <c r="W176" i="13"/>
  <c r="X176" i="13"/>
  <c r="Y176" i="13"/>
  <c r="Z176" i="13"/>
  <c r="AA176" i="13"/>
  <c r="AB176" i="13"/>
  <c r="AC176" i="13"/>
  <c r="AD176" i="13"/>
  <c r="AE176" i="13"/>
  <c r="AF176" i="13"/>
  <c r="AG176" i="13"/>
  <c r="AH176" i="13"/>
  <c r="AI176" i="13"/>
  <c r="AJ176" i="13"/>
  <c r="AK176" i="13"/>
  <c r="AL176" i="13"/>
  <c r="AM176" i="13"/>
  <c r="AN176" i="13"/>
  <c r="AO176" i="13"/>
  <c r="AP176" i="13"/>
  <c r="AQ176" i="13"/>
  <c r="AR176" i="13"/>
  <c r="AS176" i="13"/>
  <c r="AT176" i="13"/>
  <c r="AU176" i="13"/>
  <c r="AV176" i="13"/>
  <c r="AW176" i="13"/>
  <c r="AX176" i="13"/>
  <c r="AY176" i="13"/>
  <c r="AZ176" i="13"/>
  <c r="BA176" i="13"/>
  <c r="BB176" i="13"/>
  <c r="BC176" i="13"/>
  <c r="BD176" i="13"/>
  <c r="BE176" i="13"/>
  <c r="BF176" i="13"/>
  <c r="BG176" i="13"/>
  <c r="BH176" i="13"/>
  <c r="BI176" i="13"/>
  <c r="BJ176" i="13"/>
  <c r="BK176" i="13"/>
  <c r="BL176" i="13"/>
  <c r="BM176" i="13"/>
  <c r="BN176" i="13"/>
  <c r="BO176" i="13"/>
  <c r="BP176" i="13"/>
  <c r="BQ176" i="13"/>
  <c r="BR176" i="13"/>
  <c r="BS176" i="13"/>
  <c r="BT176" i="13"/>
  <c r="BR177" i="13"/>
  <c r="P179" i="13"/>
  <c r="AB179" i="13"/>
  <c r="BL179" i="13"/>
  <c r="BP179" i="13"/>
  <c r="BR179" i="13"/>
  <c r="BT179" i="13"/>
  <c r="BL181" i="13"/>
  <c r="BP181" i="13"/>
  <c r="BR181" i="13"/>
  <c r="BT181" i="13"/>
  <c r="BL183" i="13"/>
  <c r="BR183" i="13"/>
  <c r="R185" i="13"/>
  <c r="S185" i="13"/>
  <c r="T185" i="13"/>
  <c r="U185" i="13"/>
  <c r="V185" i="13"/>
  <c r="W185" i="13"/>
  <c r="X185" i="13"/>
  <c r="Y185" i="13"/>
  <c r="Z185" i="13"/>
  <c r="AA185" i="13"/>
  <c r="AB185" i="13"/>
  <c r="AC185" i="13"/>
  <c r="AD185" i="13"/>
  <c r="AE185" i="13"/>
  <c r="AF185" i="13"/>
  <c r="AG185" i="13"/>
  <c r="AH185" i="13"/>
  <c r="AI185" i="13"/>
  <c r="AJ185" i="13"/>
  <c r="AL185" i="13"/>
  <c r="AN185" i="13"/>
  <c r="AO185" i="13"/>
  <c r="AP185" i="13"/>
  <c r="AQ185" i="13"/>
  <c r="AR185" i="13"/>
  <c r="AS185" i="13"/>
  <c r="AT185" i="13"/>
  <c r="AU185" i="13"/>
  <c r="AV185" i="13"/>
  <c r="AW185" i="13"/>
  <c r="AX185" i="13"/>
  <c r="AY185" i="13"/>
  <c r="AZ185" i="13"/>
  <c r="BA185" i="13"/>
  <c r="BB185" i="13"/>
  <c r="BC185" i="13"/>
  <c r="BD185" i="13"/>
  <c r="BE185" i="13"/>
  <c r="BF185" i="13"/>
  <c r="BG185" i="13"/>
  <c r="BH185" i="13"/>
  <c r="BI185" i="13"/>
  <c r="BJ185" i="13"/>
  <c r="BK185" i="13"/>
  <c r="BL185" i="13"/>
  <c r="BM185" i="13"/>
  <c r="BN185" i="13"/>
  <c r="BO185" i="13"/>
  <c r="BP185" i="13"/>
  <c r="BQ185" i="13"/>
  <c r="BR185" i="13"/>
  <c r="BS185" i="13"/>
  <c r="BT185" i="13"/>
  <c r="BU185" i="13"/>
  <c r="BL189" i="13"/>
  <c r="BR189" i="13"/>
  <c r="BL190" i="13"/>
  <c r="BR190" i="13"/>
  <c r="BT190" i="13"/>
  <c r="BL191" i="13"/>
  <c r="BR191" i="13"/>
  <c r="BL192" i="13"/>
  <c r="BR192" i="13"/>
  <c r="BT192" i="13"/>
  <c r="N194" i="13"/>
  <c r="P194" i="13"/>
  <c r="R194" i="13"/>
  <c r="T194" i="13"/>
  <c r="V194" i="13"/>
  <c r="X194" i="13"/>
  <c r="Z194" i="13"/>
  <c r="AA194" i="13"/>
  <c r="AB194" i="13"/>
  <c r="AC194" i="13"/>
  <c r="AD194" i="13"/>
  <c r="BL194" i="13"/>
  <c r="BP194" i="13"/>
  <c r="BR194" i="13"/>
  <c r="BT194" i="13"/>
  <c r="N198" i="13"/>
  <c r="P198" i="13"/>
  <c r="R198" i="13"/>
  <c r="S198" i="13"/>
  <c r="T198" i="13"/>
  <c r="U198" i="13"/>
  <c r="V198" i="13"/>
  <c r="W198" i="13"/>
  <c r="X198" i="13"/>
  <c r="Y198" i="13"/>
  <c r="Z198" i="13"/>
  <c r="AA198" i="13"/>
  <c r="AB198" i="13"/>
  <c r="AC198" i="13"/>
  <c r="AD198" i="13"/>
  <c r="AE198" i="13"/>
  <c r="AF198" i="13"/>
  <c r="AG198" i="13"/>
  <c r="AH198" i="13"/>
  <c r="AI198" i="13"/>
  <c r="AJ198" i="13"/>
  <c r="AK198" i="13"/>
  <c r="AL198" i="13"/>
  <c r="AM198" i="13"/>
  <c r="AN198" i="13"/>
  <c r="AO198" i="13"/>
  <c r="AP198" i="13"/>
  <c r="AQ198" i="13"/>
  <c r="AR198" i="13"/>
  <c r="AS198" i="13"/>
  <c r="AT198" i="13"/>
  <c r="AU198" i="13"/>
  <c r="AV198" i="13"/>
  <c r="AW198" i="13"/>
  <c r="AX198" i="13"/>
  <c r="AY198" i="13"/>
  <c r="AZ198" i="13"/>
  <c r="BA198" i="13"/>
  <c r="BB198" i="13"/>
  <c r="BC198" i="13"/>
  <c r="BD198" i="13"/>
  <c r="BE198" i="13"/>
  <c r="BF198" i="13"/>
  <c r="BG198" i="13"/>
  <c r="BH198" i="13"/>
  <c r="BI198" i="13"/>
  <c r="BJ198" i="13"/>
  <c r="BK198" i="13"/>
  <c r="BL198" i="13"/>
  <c r="BM198" i="13"/>
  <c r="BN198" i="13"/>
  <c r="BO198" i="13"/>
  <c r="BP198" i="13"/>
  <c r="BQ198" i="13"/>
  <c r="BR198" i="13"/>
  <c r="BS198" i="13"/>
  <c r="BT198" i="13"/>
  <c r="N200" i="13"/>
  <c r="P200" i="13"/>
  <c r="R200" i="13"/>
  <c r="S200" i="13"/>
  <c r="T200" i="13"/>
  <c r="U200" i="13"/>
  <c r="V200" i="13"/>
  <c r="W200" i="13"/>
  <c r="X200" i="13"/>
  <c r="Y200" i="13"/>
  <c r="Z200" i="13"/>
  <c r="AA200" i="13"/>
  <c r="AB200" i="13"/>
  <c r="AC200" i="13"/>
  <c r="AD200" i="13"/>
  <c r="AE200" i="13"/>
  <c r="AF200" i="13"/>
  <c r="AG200" i="13"/>
  <c r="AH200" i="13"/>
  <c r="AI200" i="13"/>
  <c r="AJ200" i="13"/>
  <c r="AK200" i="13"/>
  <c r="AL200" i="13"/>
  <c r="AM200" i="13"/>
  <c r="AN200" i="13"/>
  <c r="AO200" i="13"/>
  <c r="AP200" i="13"/>
  <c r="AQ200" i="13"/>
  <c r="AR200" i="13"/>
  <c r="AS200" i="13"/>
  <c r="AT200" i="13"/>
  <c r="AU200" i="13"/>
  <c r="AV200" i="13"/>
  <c r="AW200" i="13"/>
  <c r="AX200" i="13"/>
  <c r="AY200" i="13"/>
  <c r="AZ200" i="13"/>
  <c r="BA200" i="13"/>
  <c r="BB200" i="13"/>
  <c r="BC200" i="13"/>
  <c r="BD200" i="13"/>
  <c r="BE200" i="13"/>
  <c r="BF200" i="13"/>
  <c r="BG200" i="13"/>
  <c r="BH200" i="13"/>
  <c r="BI200" i="13"/>
  <c r="BJ200" i="13"/>
  <c r="BK200" i="13"/>
  <c r="BL200" i="13"/>
  <c r="BM200" i="13"/>
  <c r="BN200" i="13"/>
  <c r="BO200" i="13"/>
  <c r="BP200" i="13"/>
  <c r="BQ200" i="13"/>
  <c r="BR200" i="13"/>
  <c r="BS200" i="13"/>
  <c r="BT200" i="13"/>
  <c r="K12" i="20"/>
  <c r="K13" i="20"/>
  <c r="K14" i="20"/>
  <c r="K16" i="20"/>
  <c r="K17" i="20"/>
  <c r="K18" i="20"/>
  <c r="G22" i="20"/>
  <c r="H22" i="20"/>
  <c r="I22" i="20"/>
  <c r="J22" i="20"/>
  <c r="K22" i="20"/>
  <c r="G23" i="20"/>
  <c r="H23" i="20"/>
  <c r="I23" i="20"/>
  <c r="J23" i="20"/>
  <c r="K23" i="20"/>
  <c r="G24" i="20"/>
  <c r="I24" i="20"/>
  <c r="J24" i="20"/>
  <c r="K24" i="20"/>
  <c r="G25" i="20"/>
  <c r="H25" i="20"/>
  <c r="I25" i="20"/>
  <c r="J25" i="20"/>
  <c r="K25" i="20"/>
  <c r="G26" i="20"/>
  <c r="H26" i="20"/>
  <c r="I26" i="20"/>
  <c r="J26" i="20"/>
  <c r="K26" i="20"/>
  <c r="H30" i="20"/>
  <c r="H40" i="20"/>
  <c r="H43" i="20"/>
  <c r="A1" i="12"/>
  <c r="A2" i="12"/>
  <c r="BT2" i="12"/>
  <c r="BP3" i="12"/>
  <c r="BT3" i="12"/>
  <c r="BV3" i="12"/>
  <c r="B4" i="12"/>
  <c r="N7" i="12"/>
  <c r="R7" i="12"/>
  <c r="T7" i="12"/>
  <c r="V7" i="12"/>
  <c r="X7" i="12"/>
  <c r="Z7" i="12"/>
  <c r="AB7" i="12"/>
  <c r="AD7" i="12"/>
  <c r="AF7" i="12"/>
  <c r="AH7" i="12"/>
  <c r="AJ7" i="12"/>
  <c r="AL7" i="12"/>
  <c r="AN7" i="12"/>
  <c r="AP7" i="12"/>
  <c r="AR7" i="12"/>
  <c r="AT7" i="12"/>
  <c r="AV7" i="12"/>
  <c r="AX7" i="12"/>
  <c r="AZ7" i="12"/>
  <c r="BB7" i="12"/>
  <c r="BD7" i="12"/>
  <c r="BF7" i="12"/>
  <c r="BH7" i="12"/>
  <c r="BJ7" i="12"/>
  <c r="BL7" i="12"/>
  <c r="BN7" i="12"/>
  <c r="BL9" i="12"/>
  <c r="BN9" i="12"/>
  <c r="BP9" i="12"/>
  <c r="BR9" i="12"/>
  <c r="BT9" i="12"/>
  <c r="BL10" i="12"/>
  <c r="BP10" i="12"/>
  <c r="BR10" i="12"/>
  <c r="BT10" i="12"/>
  <c r="BP11" i="12"/>
  <c r="N12" i="12"/>
  <c r="P12" i="12"/>
  <c r="R12" i="12"/>
  <c r="T12" i="12"/>
  <c r="V12" i="12"/>
  <c r="X12" i="12"/>
  <c r="Z12" i="12"/>
  <c r="AB12" i="12"/>
  <c r="AD12" i="12"/>
  <c r="AF12" i="12"/>
  <c r="AH12" i="12"/>
  <c r="AJ12" i="12"/>
  <c r="AL12" i="12"/>
  <c r="AN12" i="12"/>
  <c r="AP12" i="12"/>
  <c r="AR12" i="12"/>
  <c r="AT12" i="12"/>
  <c r="AV12" i="12"/>
  <c r="AX12" i="12"/>
  <c r="AZ12" i="12"/>
  <c r="BB12" i="12"/>
  <c r="BD12" i="12"/>
  <c r="BF12" i="12"/>
  <c r="BH12" i="12"/>
  <c r="BJ12" i="12"/>
  <c r="BL12" i="12"/>
  <c r="BN12" i="12"/>
  <c r="BP12" i="12"/>
  <c r="BR12" i="12"/>
  <c r="BT12" i="12"/>
  <c r="R14" i="12"/>
  <c r="BL14" i="12"/>
  <c r="BP14" i="12"/>
  <c r="BR14" i="12"/>
  <c r="BT14" i="12"/>
  <c r="AH15" i="12"/>
  <c r="BL15" i="12"/>
  <c r="BN15" i="12"/>
  <c r="BP15" i="12"/>
  <c r="BR15" i="12"/>
  <c r="BT15" i="12"/>
  <c r="BP16" i="12"/>
  <c r="BR16" i="12"/>
  <c r="BT16" i="12"/>
  <c r="BP17" i="12"/>
  <c r="BR17" i="12"/>
  <c r="BT17" i="12"/>
  <c r="BP18" i="12"/>
  <c r="BR18" i="12"/>
  <c r="BT18" i="12"/>
  <c r="BP19" i="12"/>
  <c r="BR19" i="12"/>
  <c r="BT19" i="12"/>
  <c r="BP20" i="12"/>
  <c r="BR20" i="12"/>
  <c r="BT20" i="12"/>
  <c r="R21" i="12"/>
  <c r="BL21" i="12"/>
  <c r="BP21" i="12"/>
  <c r="BR21" i="12"/>
  <c r="BT21" i="12"/>
  <c r="R22" i="12"/>
  <c r="BL22" i="12"/>
  <c r="BP22" i="12"/>
  <c r="BR22" i="12"/>
  <c r="BT22" i="12"/>
  <c r="R23" i="12"/>
  <c r="BL23" i="12"/>
  <c r="BP23" i="12"/>
  <c r="BR23" i="12"/>
  <c r="BT23" i="12"/>
  <c r="R24" i="12"/>
  <c r="BL24" i="12"/>
  <c r="BP24" i="12"/>
  <c r="BR24" i="12"/>
  <c r="BT24" i="12"/>
  <c r="R25" i="12"/>
  <c r="BL25" i="12"/>
  <c r="BP25" i="12"/>
  <c r="BR25" i="12"/>
  <c r="BT25" i="12"/>
  <c r="R26" i="12"/>
  <c r="BL26" i="12"/>
  <c r="BP26" i="12"/>
  <c r="BR26" i="12"/>
  <c r="BT26" i="12"/>
  <c r="R27" i="12"/>
  <c r="BL27" i="12"/>
  <c r="BP27" i="12"/>
  <c r="BR27" i="12"/>
  <c r="BT27" i="12"/>
  <c r="R28" i="12"/>
  <c r="BL28" i="12"/>
  <c r="BP28" i="12"/>
  <c r="BR28" i="12"/>
  <c r="BT28" i="12"/>
  <c r="BL29" i="12"/>
  <c r="BP29" i="12"/>
  <c r="BR29" i="12"/>
  <c r="BT29" i="12"/>
  <c r="BP30" i="12"/>
  <c r="BR30" i="12"/>
  <c r="BT30" i="12"/>
  <c r="N31" i="12"/>
  <c r="P31" i="12"/>
  <c r="R31" i="12"/>
  <c r="T31" i="12"/>
  <c r="V31" i="12"/>
  <c r="X31" i="12"/>
  <c r="Z31" i="12"/>
  <c r="AB31" i="12"/>
  <c r="AD31" i="12"/>
  <c r="AF31" i="12"/>
  <c r="AH31" i="12"/>
  <c r="AJ31" i="12"/>
  <c r="AL31" i="12"/>
  <c r="AN31" i="12"/>
  <c r="AP31" i="12"/>
  <c r="AR31" i="12"/>
  <c r="AT31" i="12"/>
  <c r="AV31" i="12"/>
  <c r="AX31" i="12"/>
  <c r="AZ31" i="12"/>
  <c r="BB31" i="12"/>
  <c r="BD31" i="12"/>
  <c r="BF31" i="12"/>
  <c r="BH31" i="12"/>
  <c r="BJ31" i="12"/>
  <c r="BL31" i="12"/>
  <c r="BN31" i="12"/>
  <c r="BP31" i="12"/>
  <c r="BR31" i="12"/>
  <c r="BT31" i="12"/>
  <c r="N33" i="12"/>
  <c r="P33" i="12"/>
  <c r="R33" i="12"/>
  <c r="T33" i="12"/>
  <c r="V33" i="12"/>
  <c r="X33" i="12"/>
  <c r="Z33" i="12"/>
  <c r="AB33" i="12"/>
  <c r="AD33" i="12"/>
  <c r="AF33" i="12"/>
  <c r="AH33" i="12"/>
  <c r="AJ33" i="12"/>
  <c r="AL33" i="12"/>
  <c r="AN33" i="12"/>
  <c r="AP33" i="12"/>
  <c r="AR33" i="12"/>
  <c r="AT33" i="12"/>
  <c r="AV33" i="12"/>
  <c r="AX33" i="12"/>
  <c r="AZ33" i="12"/>
  <c r="BB33" i="12"/>
  <c r="BD33" i="12"/>
  <c r="BF33" i="12"/>
  <c r="BH33" i="12"/>
  <c r="BJ33" i="12"/>
  <c r="BL33" i="12"/>
  <c r="BN33" i="12"/>
  <c r="BP33" i="12"/>
  <c r="BR33" i="12"/>
  <c r="BT33" i="12"/>
  <c r="AR39" i="12"/>
  <c r="AT39" i="12"/>
  <c r="AX39" i="12"/>
  <c r="BL39" i="12"/>
  <c r="BN39" i="12"/>
  <c r="BP39" i="12"/>
  <c r="BR39" i="12"/>
  <c r="BT39" i="12"/>
  <c r="AP40" i="12"/>
  <c r="AR40" i="12"/>
  <c r="AT40" i="12"/>
  <c r="AX40" i="12"/>
  <c r="BL40" i="12"/>
  <c r="BN40" i="12"/>
  <c r="BP40" i="12"/>
  <c r="BR40" i="12"/>
  <c r="BT40" i="12"/>
  <c r="AP41" i="12"/>
  <c r="AR41" i="12"/>
  <c r="AT41" i="12"/>
  <c r="AX41" i="12"/>
  <c r="BL41" i="12"/>
  <c r="BN41" i="12"/>
  <c r="BP41" i="12"/>
  <c r="BR41" i="12"/>
  <c r="BT41" i="12"/>
  <c r="R42" i="12"/>
  <c r="AP42" i="12"/>
  <c r="AR42" i="12"/>
  <c r="AT42" i="12"/>
  <c r="AX42" i="12"/>
  <c r="BL42" i="12"/>
  <c r="BP42" i="12"/>
  <c r="BR42" i="12"/>
  <c r="BT42" i="12"/>
  <c r="AR43" i="12"/>
  <c r="AT43" i="12"/>
  <c r="AX43" i="12"/>
  <c r="BL43" i="12"/>
  <c r="BP43" i="12"/>
  <c r="BR43" i="12"/>
  <c r="BT43" i="12"/>
  <c r="BL44" i="12"/>
  <c r="BN44" i="12"/>
  <c r="BP44" i="12"/>
  <c r="BR44" i="12"/>
  <c r="BT44" i="12"/>
  <c r="BL45" i="12"/>
  <c r="BN45" i="12"/>
  <c r="BP45" i="12"/>
  <c r="BR45" i="12"/>
  <c r="BT45" i="12"/>
  <c r="R46" i="12"/>
  <c r="S46" i="12"/>
  <c r="T46" i="12"/>
  <c r="U46" i="12"/>
  <c r="V46" i="12"/>
  <c r="W46" i="12"/>
  <c r="X46" i="12"/>
  <c r="Y46" i="12"/>
  <c r="Z46" i="12"/>
  <c r="AA46" i="12"/>
  <c r="AB46" i="12"/>
  <c r="AC46" i="12"/>
  <c r="AD46" i="12"/>
  <c r="AF46" i="12"/>
  <c r="AH46" i="12"/>
  <c r="AJ46" i="12"/>
  <c r="AK46" i="12"/>
  <c r="AL46" i="12"/>
  <c r="AM46" i="12"/>
  <c r="AN46" i="12"/>
  <c r="AO46" i="12"/>
  <c r="AP46" i="12"/>
  <c r="AQ46" i="12"/>
  <c r="AR46" i="12"/>
  <c r="AS46" i="12"/>
  <c r="AT46" i="12"/>
  <c r="AU46" i="12"/>
  <c r="AV46" i="12"/>
  <c r="AW46" i="12"/>
  <c r="AX46" i="12"/>
  <c r="AY46" i="12"/>
  <c r="AZ46" i="12"/>
  <c r="BA46" i="12"/>
  <c r="BB46" i="12"/>
  <c r="BC46" i="12"/>
  <c r="BD46" i="12"/>
  <c r="BE46" i="12"/>
  <c r="BF46" i="12"/>
  <c r="BG46" i="12"/>
  <c r="BH46" i="12"/>
  <c r="BI46" i="12"/>
  <c r="BJ46" i="12"/>
  <c r="BK46" i="12"/>
  <c r="BL46" i="12"/>
  <c r="BM46" i="12"/>
  <c r="BN46" i="12"/>
  <c r="BO46" i="12"/>
  <c r="BP46" i="12"/>
  <c r="BQ46" i="12"/>
  <c r="BR46" i="12"/>
  <c r="BS46" i="12"/>
  <c r="BT46" i="12"/>
  <c r="AT49" i="12"/>
  <c r="AX49" i="12"/>
  <c r="BL49" i="12"/>
  <c r="BN49" i="12"/>
  <c r="BP49" i="12"/>
  <c r="BR49" i="12"/>
  <c r="BT49" i="12"/>
  <c r="AR50" i="12"/>
  <c r="AT50" i="12"/>
  <c r="AX50" i="12"/>
  <c r="BL50" i="12"/>
  <c r="BN50" i="12"/>
  <c r="BP50" i="12"/>
  <c r="BR50" i="12"/>
  <c r="BT50" i="12"/>
  <c r="AT51" i="12"/>
  <c r="AX51" i="12"/>
  <c r="BL51" i="12"/>
  <c r="BN51" i="12"/>
  <c r="BP51" i="12"/>
  <c r="BR51" i="12"/>
  <c r="BT51" i="12"/>
  <c r="AX52" i="12"/>
  <c r="BL52" i="12"/>
  <c r="BN52" i="12"/>
  <c r="BP52" i="12"/>
  <c r="BR52" i="12"/>
  <c r="BT52" i="12"/>
  <c r="R53" i="12"/>
  <c r="S53" i="12"/>
  <c r="T53" i="12"/>
  <c r="U53" i="12"/>
  <c r="V53" i="12"/>
  <c r="W53" i="12"/>
  <c r="X53" i="12"/>
  <c r="Y53" i="12"/>
  <c r="Z53" i="12"/>
  <c r="AA53" i="12"/>
  <c r="AB53" i="12"/>
  <c r="AC53" i="12"/>
  <c r="AD53" i="12"/>
  <c r="AF53" i="12"/>
  <c r="AH53" i="12"/>
  <c r="AJ53" i="12"/>
  <c r="AK53" i="12"/>
  <c r="AL53" i="12"/>
  <c r="AM53" i="12"/>
  <c r="AN53" i="12"/>
  <c r="AO53" i="12"/>
  <c r="AP53" i="12"/>
  <c r="AQ53" i="12"/>
  <c r="AR53" i="12"/>
  <c r="AS53" i="12"/>
  <c r="AT53" i="12"/>
  <c r="AU53" i="12"/>
  <c r="AV53" i="12"/>
  <c r="AW53" i="12"/>
  <c r="AX53" i="12"/>
  <c r="AY53" i="12"/>
  <c r="AZ53" i="12"/>
  <c r="BA53" i="12"/>
  <c r="BB53" i="12"/>
  <c r="BC53" i="12"/>
  <c r="BD53" i="12"/>
  <c r="BE53" i="12"/>
  <c r="BF53" i="12"/>
  <c r="BG53" i="12"/>
  <c r="BH53" i="12"/>
  <c r="BI53" i="12"/>
  <c r="BJ53" i="12"/>
  <c r="BK53" i="12"/>
  <c r="BL53" i="12"/>
  <c r="BM53" i="12"/>
  <c r="BN53" i="12"/>
  <c r="BO53" i="12"/>
  <c r="BP53" i="12"/>
  <c r="BQ53" i="12"/>
  <c r="BR53" i="12"/>
  <c r="BS53" i="12"/>
  <c r="BT53" i="12"/>
  <c r="R56" i="12"/>
  <c r="AT56" i="12"/>
  <c r="BL56" i="12"/>
  <c r="BN56" i="12"/>
  <c r="BP56" i="12"/>
  <c r="BR56" i="12"/>
  <c r="BT56" i="12"/>
  <c r="AT57" i="12"/>
  <c r="AX57" i="12"/>
  <c r="BL57" i="12"/>
  <c r="BN57" i="12"/>
  <c r="BP57" i="12"/>
  <c r="BR57" i="12"/>
  <c r="BT57" i="12"/>
  <c r="AX58" i="12"/>
  <c r="BL58" i="12"/>
  <c r="BN58" i="12"/>
  <c r="BP58" i="12"/>
  <c r="BR58" i="12"/>
  <c r="BT58" i="12"/>
  <c r="AT59" i="12"/>
  <c r="AX59" i="12"/>
  <c r="BL59" i="12"/>
  <c r="BN59" i="12"/>
  <c r="BP59" i="12"/>
  <c r="BR59" i="12"/>
  <c r="BT59" i="12"/>
  <c r="AT60" i="12"/>
  <c r="AX60" i="12"/>
  <c r="BL60" i="12"/>
  <c r="BN60" i="12"/>
  <c r="BP60" i="12"/>
  <c r="BR60" i="12"/>
  <c r="BT60" i="12"/>
  <c r="AX61" i="12"/>
  <c r="BL61" i="12"/>
  <c r="BN61" i="12"/>
  <c r="BP61" i="12"/>
  <c r="BR61" i="12"/>
  <c r="BT61" i="12"/>
  <c r="AT62" i="12"/>
  <c r="AX62" i="12"/>
  <c r="BL62" i="12"/>
  <c r="BN62" i="12"/>
  <c r="BP62" i="12"/>
  <c r="BR62" i="12"/>
  <c r="BT62" i="12"/>
  <c r="AX63" i="12"/>
  <c r="BL63" i="12"/>
  <c r="BN63" i="12"/>
  <c r="BP63" i="12"/>
  <c r="BR63" i="12"/>
  <c r="BT63" i="12"/>
  <c r="AT64" i="12"/>
  <c r="AX64" i="12"/>
  <c r="BL64" i="12"/>
  <c r="BP64" i="12"/>
  <c r="BR64" i="12"/>
  <c r="BT64" i="12"/>
  <c r="AX65" i="12"/>
  <c r="BL65" i="12"/>
  <c r="BN65" i="12"/>
  <c r="BP65" i="12"/>
  <c r="BR65" i="12"/>
  <c r="BT65" i="12"/>
  <c r="AX66" i="12"/>
  <c r="BL66" i="12"/>
  <c r="BN66" i="12"/>
  <c r="BP66" i="12"/>
  <c r="BR66" i="12"/>
  <c r="BT66" i="12"/>
  <c r="BL67" i="12"/>
  <c r="BN67" i="12"/>
  <c r="BP67" i="12"/>
  <c r="BR67" i="12"/>
  <c r="BT67" i="12"/>
  <c r="AX68" i="12"/>
  <c r="BL68" i="12"/>
  <c r="BN68" i="12"/>
  <c r="BP68" i="12"/>
  <c r="BR68" i="12"/>
  <c r="BT68" i="12"/>
  <c r="AT69" i="12"/>
  <c r="AX69" i="12"/>
  <c r="BL69" i="12"/>
  <c r="BN69" i="12"/>
  <c r="BP69" i="12"/>
  <c r="BR69" i="12"/>
  <c r="BT69" i="12"/>
  <c r="AX70" i="12"/>
  <c r="BL70" i="12"/>
  <c r="BN70" i="12"/>
  <c r="BP70" i="12"/>
  <c r="BR70" i="12"/>
  <c r="BT70" i="12"/>
  <c r="AX71" i="12"/>
  <c r="BL71" i="12"/>
  <c r="BN71" i="12"/>
  <c r="BP71" i="12"/>
  <c r="BR71" i="12"/>
  <c r="BT71" i="12"/>
  <c r="R72" i="12"/>
  <c r="BL72" i="12"/>
  <c r="BN72" i="12"/>
  <c r="BP72" i="12"/>
  <c r="BR72" i="12"/>
  <c r="BT72" i="12"/>
  <c r="AT73" i="12"/>
  <c r="AX73" i="12"/>
  <c r="BL73" i="12"/>
  <c r="BN73" i="12"/>
  <c r="BP73" i="12"/>
  <c r="BR73" i="12"/>
  <c r="BT73" i="12"/>
  <c r="BL74" i="12"/>
  <c r="BN74" i="12"/>
  <c r="BP74" i="12"/>
  <c r="BR74" i="12"/>
  <c r="BT74" i="12"/>
  <c r="BL75" i="12"/>
  <c r="BP75" i="12"/>
  <c r="BR75" i="12"/>
  <c r="BT75" i="12"/>
  <c r="AX76" i="12"/>
  <c r="BL76" i="12"/>
  <c r="BP76" i="12"/>
  <c r="BR76" i="12"/>
  <c r="BT76" i="12"/>
  <c r="AX77" i="12"/>
  <c r="BL77" i="12"/>
  <c r="BP77" i="12"/>
  <c r="BR77" i="12"/>
  <c r="BT77" i="12"/>
  <c r="AX78" i="12"/>
  <c r="BL78" i="12"/>
  <c r="BR78" i="12"/>
  <c r="BT78" i="12"/>
  <c r="R79" i="12"/>
  <c r="S79" i="12"/>
  <c r="T79" i="12"/>
  <c r="U79" i="12"/>
  <c r="V79" i="12"/>
  <c r="W79" i="12"/>
  <c r="X79" i="12"/>
  <c r="Y79" i="12"/>
  <c r="Z79" i="12"/>
  <c r="AA79" i="12"/>
  <c r="AB79" i="12"/>
  <c r="AC79" i="12"/>
  <c r="AD79" i="12"/>
  <c r="AF79" i="12"/>
  <c r="AH79" i="12"/>
  <c r="AJ79" i="12"/>
  <c r="AK79" i="12"/>
  <c r="AL79" i="12"/>
  <c r="AM79" i="12"/>
  <c r="AN79" i="12"/>
  <c r="AO79" i="12"/>
  <c r="AP79" i="12"/>
  <c r="AQ79" i="12"/>
  <c r="AR79" i="12"/>
  <c r="AS79" i="12"/>
  <c r="AT79" i="12"/>
  <c r="AU79" i="12"/>
  <c r="AV79" i="12"/>
  <c r="AW79" i="12"/>
  <c r="AX79" i="12"/>
  <c r="AY79" i="12"/>
  <c r="AZ79" i="12"/>
  <c r="BA79" i="12"/>
  <c r="BB79" i="12"/>
  <c r="BC79" i="12"/>
  <c r="BD79" i="12"/>
  <c r="BE79" i="12"/>
  <c r="BF79" i="12"/>
  <c r="BG79" i="12"/>
  <c r="BH79" i="12"/>
  <c r="BI79" i="12"/>
  <c r="BJ79" i="12"/>
  <c r="BK79" i="12"/>
  <c r="BL79" i="12"/>
  <c r="BM79" i="12"/>
  <c r="BN79" i="12"/>
  <c r="BO79" i="12"/>
  <c r="BP79" i="12"/>
  <c r="BQ79" i="12"/>
  <c r="BR79" i="12"/>
  <c r="BS79" i="12"/>
  <c r="BT79" i="12"/>
  <c r="BU79" i="12"/>
  <c r="AT82" i="12"/>
  <c r="AX82" i="12"/>
  <c r="BL82" i="12"/>
  <c r="BN82" i="12"/>
  <c r="BP82" i="12"/>
  <c r="BR82" i="12"/>
  <c r="BT82" i="12"/>
  <c r="R84" i="12"/>
  <c r="S84" i="12"/>
  <c r="T84" i="12"/>
  <c r="U84" i="12"/>
  <c r="V84" i="12"/>
  <c r="W84" i="12"/>
  <c r="X84" i="12"/>
  <c r="Y84" i="12"/>
  <c r="Z84" i="12"/>
  <c r="AA84" i="12"/>
  <c r="AB84" i="12"/>
  <c r="AC84" i="12"/>
  <c r="AD84" i="12"/>
  <c r="AF84" i="12"/>
  <c r="AH84" i="12"/>
  <c r="AJ84" i="12"/>
  <c r="AK84" i="12"/>
  <c r="AL84" i="12"/>
  <c r="AM84" i="12"/>
  <c r="AN84" i="12"/>
  <c r="AO84" i="12"/>
  <c r="AP84" i="12"/>
  <c r="AQ84" i="12"/>
  <c r="AR84" i="12"/>
  <c r="AS84" i="12"/>
  <c r="AT84" i="12"/>
  <c r="AU84" i="12"/>
  <c r="AV84" i="12"/>
  <c r="AW84" i="12"/>
  <c r="AX84" i="12"/>
  <c r="AY84" i="12"/>
  <c r="AZ84" i="12"/>
  <c r="BA84" i="12"/>
  <c r="BB84" i="12"/>
  <c r="BC84" i="12"/>
  <c r="BD84" i="12"/>
  <c r="BE84" i="12"/>
  <c r="BF84" i="12"/>
  <c r="BG84" i="12"/>
  <c r="BH84" i="12"/>
  <c r="BI84" i="12"/>
  <c r="BJ84" i="12"/>
  <c r="BK84" i="12"/>
  <c r="BL84" i="12"/>
  <c r="BM84" i="12"/>
  <c r="BN84" i="12"/>
  <c r="BO84" i="12"/>
  <c r="BP84" i="12"/>
  <c r="BQ84" i="12"/>
  <c r="BR84" i="12"/>
  <c r="BS84" i="12"/>
  <c r="BT84" i="12"/>
  <c r="BO85" i="12"/>
  <c r="BQ85" i="12"/>
  <c r="BS85" i="12"/>
  <c r="BT85" i="12"/>
  <c r="AP86" i="12"/>
  <c r="AR86" i="12"/>
  <c r="AT86" i="12"/>
  <c r="AX86" i="12"/>
  <c r="BL86" i="12"/>
  <c r="BO86" i="12"/>
  <c r="BQ86" i="12"/>
  <c r="BR86" i="12"/>
  <c r="BS86" i="12"/>
  <c r="BT86" i="12"/>
  <c r="BR87" i="12"/>
  <c r="N88" i="12"/>
  <c r="P88" i="12"/>
  <c r="R88" i="12"/>
  <c r="S88" i="12"/>
  <c r="T88" i="12"/>
  <c r="U88" i="12"/>
  <c r="V88" i="12"/>
  <c r="W88" i="12"/>
  <c r="X88" i="12"/>
  <c r="Y88" i="12"/>
  <c r="Z88" i="12"/>
  <c r="AA88" i="12"/>
  <c r="AB88" i="12"/>
  <c r="AC88" i="12"/>
  <c r="AD88" i="12"/>
  <c r="AF88" i="12"/>
  <c r="AH88" i="12"/>
  <c r="AJ88" i="12"/>
  <c r="AK88" i="12"/>
  <c r="AL88" i="12"/>
  <c r="AM88" i="12"/>
  <c r="AN88" i="12"/>
  <c r="AO88" i="12"/>
  <c r="AP88" i="12"/>
  <c r="AQ88" i="12"/>
  <c r="AR88" i="12"/>
  <c r="AS88" i="12"/>
  <c r="AT88" i="12"/>
  <c r="AU88" i="12"/>
  <c r="AV88" i="12"/>
  <c r="AW88" i="12"/>
  <c r="AX88" i="12"/>
  <c r="AY88" i="12"/>
  <c r="AZ88" i="12"/>
  <c r="BA88" i="12"/>
  <c r="BB88" i="12"/>
  <c r="BC88" i="12"/>
  <c r="BD88" i="12"/>
  <c r="BE88" i="12"/>
  <c r="BF88" i="12"/>
  <c r="BG88" i="12"/>
  <c r="BH88" i="12"/>
  <c r="BI88" i="12"/>
  <c r="BJ88" i="12"/>
  <c r="BK88" i="12"/>
  <c r="BL88" i="12"/>
  <c r="BM88" i="12"/>
  <c r="BN88" i="12"/>
  <c r="BO88" i="12"/>
  <c r="BP88" i="12"/>
  <c r="BQ88" i="12"/>
  <c r="BR88" i="12"/>
  <c r="BS88" i="12"/>
  <c r="BT88" i="12"/>
  <c r="BU88" i="12"/>
  <c r="AH91" i="12"/>
  <c r="BL91" i="12"/>
  <c r="BP91" i="12"/>
  <c r="BR91" i="12"/>
  <c r="BT91" i="12"/>
  <c r="AH92" i="12"/>
  <c r="BL92" i="12"/>
  <c r="BP92" i="12"/>
  <c r="BR92" i="12"/>
  <c r="BT92" i="12"/>
  <c r="BL93" i="12"/>
  <c r="BP93" i="12"/>
  <c r="BR93" i="12"/>
  <c r="BT93" i="12"/>
  <c r="R94" i="12"/>
  <c r="BL94" i="12"/>
  <c r="BP94" i="12"/>
  <c r="BR94" i="12"/>
  <c r="BT94" i="12"/>
  <c r="R95" i="12"/>
  <c r="BL95" i="12"/>
  <c r="BP95" i="12"/>
  <c r="BR95" i="12"/>
  <c r="BT95" i="12"/>
  <c r="R96" i="12"/>
  <c r="BL96" i="12"/>
  <c r="BP96" i="12"/>
  <c r="BR96" i="12"/>
  <c r="BT96" i="12"/>
  <c r="BP97" i="12"/>
  <c r="N98" i="12"/>
  <c r="P98" i="12"/>
  <c r="R98" i="12"/>
  <c r="T98" i="12"/>
  <c r="V98" i="12"/>
  <c r="X98" i="12"/>
  <c r="Z98" i="12"/>
  <c r="AB98" i="12"/>
  <c r="AD98" i="12"/>
  <c r="AF98" i="12"/>
  <c r="AH98" i="12"/>
  <c r="AJ98" i="12"/>
  <c r="AL98" i="12"/>
  <c r="AN98" i="12"/>
  <c r="AP98" i="12"/>
  <c r="AR98" i="12"/>
  <c r="AT98" i="12"/>
  <c r="AV98" i="12"/>
  <c r="AX98" i="12"/>
  <c r="AZ98" i="12"/>
  <c r="BB98" i="12"/>
  <c r="BD98" i="12"/>
  <c r="BF98" i="12"/>
  <c r="BH98" i="12"/>
  <c r="BJ98" i="12"/>
  <c r="BL98" i="12"/>
  <c r="BN98" i="12"/>
  <c r="BP98" i="12"/>
  <c r="BR98" i="12"/>
  <c r="BT98" i="12"/>
  <c r="BL101" i="12"/>
  <c r="BP101" i="12"/>
  <c r="BR101" i="12"/>
  <c r="BT101" i="12"/>
  <c r="BL102" i="12"/>
  <c r="BP102" i="12"/>
  <c r="BR102" i="12"/>
  <c r="BT102" i="12"/>
  <c r="BL103" i="12"/>
  <c r="BP103" i="12"/>
  <c r="BR103" i="12"/>
  <c r="BT103" i="12"/>
  <c r="BL104" i="12"/>
  <c r="BP104" i="12"/>
  <c r="BR104" i="12"/>
  <c r="BT104" i="12"/>
  <c r="BL105" i="12"/>
  <c r="BP105" i="12"/>
  <c r="BR105" i="12"/>
  <c r="BT105" i="12"/>
  <c r="BP106" i="12"/>
  <c r="N107" i="12"/>
  <c r="P107" i="12"/>
  <c r="R107" i="12"/>
  <c r="T107" i="12"/>
  <c r="V107" i="12"/>
  <c r="X107" i="12"/>
  <c r="Z107" i="12"/>
  <c r="AB107" i="12"/>
  <c r="AD107" i="12"/>
  <c r="AF107" i="12"/>
  <c r="AH107" i="12"/>
  <c r="AJ107" i="12"/>
  <c r="AL107" i="12"/>
  <c r="AN107" i="12"/>
  <c r="AP107" i="12"/>
  <c r="AR107" i="12"/>
  <c r="AT107" i="12"/>
  <c r="AV107" i="12"/>
  <c r="AX107" i="12"/>
  <c r="AZ107" i="12"/>
  <c r="BB107" i="12"/>
  <c r="BD107" i="12"/>
  <c r="BF107" i="12"/>
  <c r="BH107" i="12"/>
  <c r="BJ107" i="12"/>
  <c r="BL107" i="12"/>
  <c r="BN107" i="12"/>
  <c r="BP107" i="12"/>
  <c r="BR107" i="12"/>
  <c r="BT107" i="12"/>
  <c r="AJ111" i="12"/>
  <c r="BL113" i="12"/>
  <c r="BP113" i="12"/>
  <c r="BR113" i="12"/>
  <c r="BT113" i="12"/>
  <c r="AX114" i="12"/>
  <c r="BL114" i="12"/>
  <c r="BP114" i="12"/>
  <c r="BR114" i="12"/>
  <c r="BT114" i="12"/>
  <c r="BL115" i="12"/>
  <c r="BP115" i="12"/>
  <c r="BR115" i="12"/>
  <c r="BT115" i="12"/>
  <c r="N116" i="12"/>
  <c r="P116" i="12"/>
  <c r="R116" i="12"/>
  <c r="T116" i="12"/>
  <c r="V116" i="12"/>
  <c r="X116" i="12"/>
  <c r="Z116" i="12"/>
  <c r="AB116" i="12"/>
  <c r="AD116" i="12"/>
  <c r="AF116" i="12"/>
  <c r="AH116" i="12"/>
  <c r="AJ116" i="12"/>
  <c r="AL116" i="12"/>
  <c r="AN116" i="12"/>
  <c r="AP116" i="12"/>
  <c r="AR116" i="12"/>
  <c r="AT116" i="12"/>
  <c r="AV116" i="12"/>
  <c r="AX116" i="12"/>
  <c r="AZ116" i="12"/>
  <c r="BB116" i="12"/>
  <c r="BD116" i="12"/>
  <c r="BF116" i="12"/>
  <c r="BH116" i="12"/>
  <c r="BJ116" i="12"/>
  <c r="BL116" i="12"/>
  <c r="BN116" i="12"/>
  <c r="BP116" i="12"/>
  <c r="BR116" i="12"/>
  <c r="BT116" i="12"/>
  <c r="BL118" i="12"/>
  <c r="BP118" i="12"/>
  <c r="BR118" i="12"/>
  <c r="BT118" i="12"/>
  <c r="BL120" i="12"/>
  <c r="BP120" i="12"/>
  <c r="BR120" i="12"/>
  <c r="BT120" i="12"/>
  <c r="BL122" i="12"/>
  <c r="BP122" i="12"/>
  <c r="BR122" i="12"/>
  <c r="BT122" i="12"/>
  <c r="BL124" i="12"/>
  <c r="BP124" i="12"/>
  <c r="BR124" i="12"/>
  <c r="BT124" i="12"/>
  <c r="BL127" i="12"/>
  <c r="BP127" i="12"/>
  <c r="BR127" i="12"/>
  <c r="BT127" i="12"/>
  <c r="BL128" i="12"/>
  <c r="BP128" i="12"/>
  <c r="BR128" i="12"/>
  <c r="BT128" i="12"/>
  <c r="R129" i="12"/>
  <c r="AV129" i="12"/>
  <c r="BL129" i="12"/>
  <c r="BP129" i="12"/>
  <c r="BR129" i="12"/>
  <c r="BT129" i="12"/>
  <c r="BP130" i="12"/>
  <c r="BR130" i="12"/>
  <c r="BT130" i="12"/>
  <c r="N131" i="12"/>
  <c r="P131" i="12"/>
  <c r="R131" i="12"/>
  <c r="T131" i="12"/>
  <c r="V131" i="12"/>
  <c r="X131" i="12"/>
  <c r="Z131" i="12"/>
  <c r="AB131" i="12"/>
  <c r="AD131" i="12"/>
  <c r="AF131" i="12"/>
  <c r="AH131" i="12"/>
  <c r="AJ131" i="12"/>
  <c r="AL131" i="12"/>
  <c r="AN131" i="12"/>
  <c r="AP131" i="12"/>
  <c r="AR131" i="12"/>
  <c r="AT131" i="12"/>
  <c r="AV131" i="12"/>
  <c r="AX131" i="12"/>
  <c r="AZ131" i="12"/>
  <c r="BB131" i="12"/>
  <c r="BD131" i="12"/>
  <c r="BF131" i="12"/>
  <c r="BH131" i="12"/>
  <c r="BJ131" i="12"/>
  <c r="BL131" i="12"/>
  <c r="BN131" i="12"/>
  <c r="BP131" i="12"/>
  <c r="BR131" i="12"/>
  <c r="BT131" i="12"/>
  <c r="BL134" i="12"/>
  <c r="BP134" i="12"/>
  <c r="BR134" i="12"/>
  <c r="BT134" i="12"/>
  <c r="BL135" i="12"/>
  <c r="BP135" i="12"/>
  <c r="BR135" i="12"/>
  <c r="BT135" i="12"/>
  <c r="AF136" i="12"/>
  <c r="AH136" i="12"/>
  <c r="AJ136" i="12"/>
  <c r="AP136" i="12"/>
  <c r="BL136" i="12"/>
  <c r="BP136" i="12"/>
  <c r="BR136" i="12"/>
  <c r="BT136" i="12"/>
  <c r="BP137" i="12"/>
  <c r="N138" i="12"/>
  <c r="P138" i="12"/>
  <c r="R138" i="12"/>
  <c r="T138" i="12"/>
  <c r="V138" i="12"/>
  <c r="X138" i="12"/>
  <c r="Z138" i="12"/>
  <c r="AB138" i="12"/>
  <c r="AD138" i="12"/>
  <c r="AF138" i="12"/>
  <c r="AH138" i="12"/>
  <c r="AJ138" i="12"/>
  <c r="AL138" i="12"/>
  <c r="AN138" i="12"/>
  <c r="AP138" i="12"/>
  <c r="AR138" i="12"/>
  <c r="AT138" i="12"/>
  <c r="AV138" i="12"/>
  <c r="AX138" i="12"/>
  <c r="AZ138" i="12"/>
  <c r="BB138" i="12"/>
  <c r="BD138" i="12"/>
  <c r="BF138" i="12"/>
  <c r="BH138" i="12"/>
  <c r="BJ138" i="12"/>
  <c r="BL138" i="12"/>
  <c r="BN138" i="12"/>
  <c r="BP138" i="12"/>
  <c r="BR138" i="12"/>
  <c r="BT138" i="12"/>
  <c r="AP140" i="12"/>
  <c r="BL140" i="12"/>
  <c r="BP140" i="12"/>
  <c r="BR140" i="12"/>
  <c r="BT140" i="12"/>
  <c r="BL142" i="12"/>
  <c r="BN142" i="12"/>
  <c r="BP142" i="12"/>
  <c r="BR142" i="12"/>
  <c r="BT142" i="12"/>
  <c r="R145" i="12"/>
  <c r="BL145" i="12"/>
  <c r="BP145" i="12"/>
  <c r="BR145" i="12"/>
  <c r="BT145" i="12"/>
  <c r="BL146" i="12"/>
  <c r="BP146" i="12"/>
  <c r="BR146" i="12"/>
  <c r="BT146" i="12"/>
  <c r="BL147" i="12"/>
  <c r="BP147" i="12"/>
  <c r="BR147" i="12"/>
  <c r="BT147" i="12"/>
  <c r="N148" i="12"/>
  <c r="P148" i="12"/>
  <c r="R148" i="12"/>
  <c r="T148" i="12"/>
  <c r="V148" i="12"/>
  <c r="X148" i="12"/>
  <c r="Z148" i="12"/>
  <c r="AB148" i="12"/>
  <c r="AD148" i="12"/>
  <c r="AF148" i="12"/>
  <c r="AH148" i="12"/>
  <c r="AJ148" i="12"/>
  <c r="AL148" i="12"/>
  <c r="AN148" i="12"/>
  <c r="AP148" i="12"/>
  <c r="AR148" i="12"/>
  <c r="AT148" i="12"/>
  <c r="AV148" i="12"/>
  <c r="AX148" i="12"/>
  <c r="AZ148" i="12"/>
  <c r="BB148" i="12"/>
  <c r="BD148" i="12"/>
  <c r="BF148" i="12"/>
  <c r="BH148" i="12"/>
  <c r="BJ148" i="12"/>
  <c r="BL148" i="12"/>
  <c r="BN148" i="12"/>
  <c r="BP148" i="12"/>
  <c r="BR148" i="12"/>
  <c r="BT148" i="12"/>
  <c r="BL150" i="12"/>
  <c r="BP150" i="12"/>
  <c r="BR150" i="12"/>
  <c r="BT150" i="12"/>
  <c r="BL152" i="12"/>
  <c r="BP152" i="12"/>
  <c r="BR152" i="12"/>
  <c r="BT152" i="12"/>
  <c r="BL155" i="12"/>
  <c r="BP155" i="12"/>
  <c r="BR155" i="12"/>
  <c r="BT155" i="12"/>
  <c r="AT156" i="12"/>
  <c r="BL156" i="12"/>
  <c r="BP156" i="12"/>
  <c r="BR156" i="12"/>
  <c r="BT156" i="12"/>
  <c r="BL157" i="12"/>
  <c r="BP157" i="12"/>
  <c r="BR157" i="12"/>
  <c r="BT157" i="12"/>
  <c r="P158" i="12"/>
  <c r="R158" i="12"/>
  <c r="AF158" i="12"/>
  <c r="AH158" i="12"/>
  <c r="AN158" i="12"/>
  <c r="AP158" i="12"/>
  <c r="AR158" i="12"/>
  <c r="AT158" i="12"/>
  <c r="AX158" i="12"/>
  <c r="AZ158" i="12"/>
  <c r="BL158" i="12"/>
  <c r="BP158" i="12"/>
  <c r="BR158" i="12"/>
  <c r="BT158" i="12"/>
  <c r="AR159" i="12"/>
  <c r="BL159" i="12"/>
  <c r="BP159" i="12"/>
  <c r="BR159" i="12"/>
  <c r="BT159" i="12"/>
  <c r="AF160" i="12"/>
  <c r="AH160" i="12"/>
  <c r="BL160" i="12"/>
  <c r="BP160" i="12"/>
  <c r="BR160" i="12"/>
  <c r="BT160" i="12"/>
  <c r="N161" i="12"/>
  <c r="P161" i="12"/>
  <c r="R161" i="12"/>
  <c r="S161" i="12"/>
  <c r="T161" i="12"/>
  <c r="U161" i="12"/>
  <c r="V161" i="12"/>
  <c r="W161" i="12"/>
  <c r="X161" i="12"/>
  <c r="Y161" i="12"/>
  <c r="Z161" i="12"/>
  <c r="AA161" i="12"/>
  <c r="AB161" i="12"/>
  <c r="AC161" i="12"/>
  <c r="AD161" i="12"/>
  <c r="AF161" i="12"/>
  <c r="AH161" i="12"/>
  <c r="AJ161" i="12"/>
  <c r="AL161" i="12"/>
  <c r="AN161" i="12"/>
  <c r="AO161" i="12"/>
  <c r="AP161" i="12"/>
  <c r="AQ161" i="12"/>
  <c r="AR161" i="12"/>
  <c r="AS161" i="12"/>
  <c r="AT161" i="12"/>
  <c r="AU161" i="12"/>
  <c r="AV161" i="12"/>
  <c r="AW161" i="12"/>
  <c r="AX161" i="12"/>
  <c r="AY161" i="12"/>
  <c r="AZ161" i="12"/>
  <c r="BA161" i="12"/>
  <c r="BB161" i="12"/>
  <c r="BC161" i="12"/>
  <c r="BD161" i="12"/>
  <c r="BE161" i="12"/>
  <c r="BF161" i="12"/>
  <c r="BG161" i="12"/>
  <c r="BH161" i="12"/>
  <c r="BI161" i="12"/>
  <c r="BJ161" i="12"/>
  <c r="BK161" i="12"/>
  <c r="BL161" i="12"/>
  <c r="BM161" i="12"/>
  <c r="BN161" i="12"/>
  <c r="BO161" i="12"/>
  <c r="BP161" i="12"/>
  <c r="BQ161" i="12"/>
  <c r="BR161" i="12"/>
  <c r="BS161" i="12"/>
  <c r="BT161" i="12"/>
  <c r="P164" i="12"/>
  <c r="BL164" i="12"/>
  <c r="BP164" i="12"/>
  <c r="BR164" i="12"/>
  <c r="BT164" i="12"/>
  <c r="BL165" i="12"/>
  <c r="BP165" i="12"/>
  <c r="BR165" i="12"/>
  <c r="BT165" i="12"/>
  <c r="BL166" i="12"/>
  <c r="BP166" i="12"/>
  <c r="BR166" i="12"/>
  <c r="BT166" i="12"/>
  <c r="BL167" i="12"/>
  <c r="BP167" i="12"/>
  <c r="BR167" i="12"/>
  <c r="BT167" i="12"/>
  <c r="N168" i="12"/>
  <c r="O168" i="12"/>
  <c r="P168" i="12"/>
  <c r="Q168" i="12"/>
  <c r="R168" i="12"/>
  <c r="T168" i="12"/>
  <c r="V168" i="12"/>
  <c r="X168" i="12"/>
  <c r="Z168" i="12"/>
  <c r="AB168" i="12"/>
  <c r="AD168" i="12"/>
  <c r="AF168" i="12"/>
  <c r="AH168" i="12"/>
  <c r="AJ168" i="12"/>
  <c r="AL168" i="12"/>
  <c r="AN168" i="12"/>
  <c r="AP168" i="12"/>
  <c r="AR168" i="12"/>
  <c r="AT168" i="12"/>
  <c r="AV168" i="12"/>
  <c r="AX168" i="12"/>
  <c r="AZ168" i="12"/>
  <c r="BB168" i="12"/>
  <c r="BD168" i="12"/>
  <c r="BF168" i="12"/>
  <c r="BH168" i="12"/>
  <c r="BJ168" i="12"/>
  <c r="BL168" i="12"/>
  <c r="BN168" i="12"/>
  <c r="BP168" i="12"/>
  <c r="BR168" i="12"/>
  <c r="BT168" i="12"/>
  <c r="P170" i="12"/>
  <c r="AJ170" i="12"/>
  <c r="AL170" i="12"/>
  <c r="AP170" i="12"/>
  <c r="AR170" i="12"/>
  <c r="AT170" i="12"/>
  <c r="AV170" i="12"/>
  <c r="AX170" i="12"/>
  <c r="BL170" i="12"/>
  <c r="BP170" i="12"/>
  <c r="BR170" i="12"/>
  <c r="BT170" i="12"/>
  <c r="R172" i="12"/>
  <c r="S172" i="12"/>
  <c r="T172" i="12"/>
  <c r="U172" i="12"/>
  <c r="V172" i="12"/>
  <c r="W172" i="12"/>
  <c r="X172" i="12"/>
  <c r="Y172" i="12"/>
  <c r="Z172" i="12"/>
  <c r="AA172" i="12"/>
  <c r="AB172" i="12"/>
  <c r="AC172" i="12"/>
  <c r="AD172" i="12"/>
  <c r="AE172" i="12"/>
  <c r="AF172" i="12"/>
  <c r="AG172" i="12"/>
  <c r="AH172" i="12"/>
  <c r="AI172" i="12"/>
  <c r="AJ172" i="12"/>
  <c r="AK172" i="12"/>
  <c r="AL172" i="12"/>
  <c r="AM172" i="12"/>
  <c r="AN172" i="12"/>
  <c r="AO172" i="12"/>
  <c r="AP172" i="12"/>
  <c r="AQ172" i="12"/>
  <c r="AR172" i="12"/>
  <c r="AS172" i="12"/>
  <c r="AT172" i="12"/>
  <c r="AU172" i="12"/>
  <c r="AV172" i="12"/>
  <c r="AW172" i="12"/>
  <c r="AX172" i="12"/>
  <c r="AY172" i="12"/>
  <c r="AZ172" i="12"/>
  <c r="BA172" i="12"/>
  <c r="BB172" i="12"/>
  <c r="BC172" i="12"/>
  <c r="BD172" i="12"/>
  <c r="BE172" i="12"/>
  <c r="BF172" i="12"/>
  <c r="BG172" i="12"/>
  <c r="BH172" i="12"/>
  <c r="BI172" i="12"/>
  <c r="BJ172" i="12"/>
  <c r="BK172" i="12"/>
  <c r="BL172" i="12"/>
  <c r="BM172" i="12"/>
  <c r="BN172" i="12"/>
  <c r="BO172" i="12"/>
  <c r="BP172" i="12"/>
  <c r="BQ172" i="12"/>
  <c r="BR172" i="12"/>
  <c r="BS172" i="12"/>
  <c r="BT172" i="12"/>
  <c r="BU172" i="12"/>
  <c r="P174" i="12"/>
  <c r="BL174" i="12"/>
  <c r="BP174" i="12"/>
  <c r="BR174" i="12"/>
  <c r="BT174" i="12"/>
  <c r="R177" i="12"/>
  <c r="S177" i="12"/>
  <c r="T177" i="12"/>
  <c r="U177" i="12"/>
  <c r="V177" i="12"/>
  <c r="W177" i="12"/>
  <c r="X177" i="12"/>
  <c r="Y177" i="12"/>
  <c r="Z177" i="12"/>
  <c r="AA177" i="12"/>
  <c r="AB177" i="12"/>
  <c r="AC177" i="12"/>
  <c r="AD177" i="12"/>
  <c r="AF177" i="12"/>
  <c r="AH177" i="12"/>
  <c r="AJ177" i="12"/>
  <c r="AL177" i="12"/>
  <c r="AN177" i="12"/>
  <c r="AO177" i="12"/>
  <c r="AP177" i="12"/>
  <c r="AQ177" i="12"/>
  <c r="AR177" i="12"/>
  <c r="AS177" i="12"/>
  <c r="AT177" i="12"/>
  <c r="AU177" i="12"/>
  <c r="AV177" i="12"/>
  <c r="AW177" i="12"/>
  <c r="AX177" i="12"/>
  <c r="AY177" i="12"/>
  <c r="AZ177" i="12"/>
  <c r="BA177" i="12"/>
  <c r="BB177" i="12"/>
  <c r="BC177" i="12"/>
  <c r="BD177" i="12"/>
  <c r="BE177" i="12"/>
  <c r="BF177" i="12"/>
  <c r="BG177" i="12"/>
  <c r="BH177" i="12"/>
  <c r="BI177" i="12"/>
  <c r="BJ177" i="12"/>
  <c r="BK177" i="12"/>
  <c r="BL177" i="12"/>
  <c r="BM177" i="12"/>
  <c r="BN177" i="12"/>
  <c r="BO177" i="12"/>
  <c r="BP177" i="12"/>
  <c r="BQ177" i="12"/>
  <c r="BR177" i="12"/>
  <c r="BS177" i="12"/>
  <c r="BT177" i="12"/>
  <c r="BR178" i="12"/>
  <c r="P180" i="12"/>
  <c r="AB180" i="12"/>
  <c r="BL180" i="12"/>
  <c r="BP180" i="12"/>
  <c r="BR180" i="12"/>
  <c r="AJ182" i="12"/>
  <c r="BL182" i="12"/>
  <c r="BP182" i="12"/>
  <c r="BR182" i="12"/>
  <c r="AD184" i="12"/>
  <c r="AJ184" i="12"/>
  <c r="AN184" i="12"/>
  <c r="AP184" i="12"/>
  <c r="BL184" i="12"/>
  <c r="BR184" i="12"/>
  <c r="R186" i="12"/>
  <c r="S186" i="12"/>
  <c r="T186" i="12"/>
  <c r="U186" i="12"/>
  <c r="V186" i="12"/>
  <c r="W186" i="12"/>
  <c r="X186" i="12"/>
  <c r="Y186" i="12"/>
  <c r="Z186" i="12"/>
  <c r="AA186" i="12"/>
  <c r="AB186" i="12"/>
  <c r="AC186" i="12"/>
  <c r="AD186" i="12"/>
  <c r="AF186" i="12"/>
  <c r="AH186" i="12"/>
  <c r="AJ186" i="12"/>
  <c r="AL186" i="12"/>
  <c r="AN186" i="12"/>
  <c r="AO186" i="12"/>
  <c r="AP186" i="12"/>
  <c r="AQ186" i="12"/>
  <c r="AR186" i="12"/>
  <c r="AS186" i="12"/>
  <c r="AT186" i="12"/>
  <c r="AU186" i="12"/>
  <c r="AV186" i="12"/>
  <c r="AW186" i="12"/>
  <c r="AX186" i="12"/>
  <c r="AY186" i="12"/>
  <c r="AZ186" i="12"/>
  <c r="BA186" i="12"/>
  <c r="BB186" i="12"/>
  <c r="BC186" i="12"/>
  <c r="BD186" i="12"/>
  <c r="BE186" i="12"/>
  <c r="BF186" i="12"/>
  <c r="BG186" i="12"/>
  <c r="BH186" i="12"/>
  <c r="BI186" i="12"/>
  <c r="BJ186" i="12"/>
  <c r="BK186" i="12"/>
  <c r="BL186" i="12"/>
  <c r="BM186" i="12"/>
  <c r="BN186" i="12"/>
  <c r="BO186" i="12"/>
  <c r="BP186" i="12"/>
  <c r="BQ186" i="12"/>
  <c r="BR186" i="12"/>
  <c r="BS186" i="12"/>
  <c r="BT186" i="12"/>
  <c r="X190" i="12"/>
  <c r="AH190" i="12"/>
  <c r="BL190" i="12"/>
  <c r="BP190" i="12"/>
  <c r="BR190" i="12"/>
  <c r="X191" i="12"/>
  <c r="Z191" i="12"/>
  <c r="AD191" i="12"/>
  <c r="BL191" i="12"/>
  <c r="BP191" i="12"/>
  <c r="BR191" i="12"/>
  <c r="BL192" i="12"/>
  <c r="BP192" i="12"/>
  <c r="BR192" i="12"/>
  <c r="BL193" i="12"/>
  <c r="BP193" i="12"/>
  <c r="BR193" i="12"/>
  <c r="BP194" i="12"/>
  <c r="N195" i="12"/>
  <c r="P195" i="12"/>
  <c r="R195" i="12"/>
  <c r="T195" i="12"/>
  <c r="V195" i="12"/>
  <c r="X195" i="12"/>
  <c r="Z195" i="12"/>
  <c r="AA195" i="12"/>
  <c r="AB195" i="12"/>
  <c r="AC195" i="12"/>
  <c r="AD195" i="12"/>
  <c r="AF195" i="12"/>
  <c r="AH195" i="12"/>
  <c r="AJ195" i="12"/>
  <c r="AL195" i="12"/>
  <c r="AN195" i="12"/>
  <c r="AO195" i="12"/>
  <c r="AP195" i="12"/>
  <c r="AQ195" i="12"/>
  <c r="AR195" i="12"/>
  <c r="AS195" i="12"/>
  <c r="AT195" i="12"/>
  <c r="AU195" i="12"/>
  <c r="AV195" i="12"/>
  <c r="AW195" i="12"/>
  <c r="AX195" i="12"/>
  <c r="AY195" i="12"/>
  <c r="AZ195" i="12"/>
  <c r="BA195" i="12"/>
  <c r="BB195" i="12"/>
  <c r="BC195" i="12"/>
  <c r="BD195" i="12"/>
  <c r="BE195" i="12"/>
  <c r="BF195" i="12"/>
  <c r="BG195" i="12"/>
  <c r="BH195" i="12"/>
  <c r="BI195" i="12"/>
  <c r="BJ195" i="12"/>
  <c r="BK195" i="12"/>
  <c r="BL195" i="12"/>
  <c r="BP195" i="12"/>
  <c r="BR195" i="12"/>
  <c r="N200" i="12"/>
  <c r="P200" i="12"/>
  <c r="R200" i="12"/>
  <c r="S200" i="12"/>
  <c r="T200" i="12"/>
  <c r="U200" i="12"/>
  <c r="V200" i="12"/>
  <c r="W200" i="12"/>
  <c r="X200" i="12"/>
  <c r="Y200" i="12"/>
  <c r="Z200" i="12"/>
  <c r="AA200" i="12"/>
  <c r="AB200" i="12"/>
  <c r="AC200" i="12"/>
  <c r="AD200" i="12"/>
  <c r="AF200" i="12"/>
  <c r="AH200" i="12"/>
  <c r="AJ200" i="12"/>
  <c r="AL200" i="12"/>
  <c r="AN200" i="12"/>
  <c r="AO200" i="12"/>
  <c r="AP200" i="12"/>
  <c r="AQ200" i="12"/>
  <c r="AR200" i="12"/>
  <c r="AS200" i="12"/>
  <c r="AT200" i="12"/>
  <c r="AU200" i="12"/>
  <c r="AV200" i="12"/>
  <c r="AW200" i="12"/>
  <c r="AX200" i="12"/>
  <c r="AY200" i="12"/>
  <c r="AZ200" i="12"/>
  <c r="BA200" i="12"/>
  <c r="BB200" i="12"/>
  <c r="BC200" i="12"/>
  <c r="BD200" i="12"/>
  <c r="BE200" i="12"/>
  <c r="BF200" i="12"/>
  <c r="BG200" i="12"/>
  <c r="BH200" i="12"/>
  <c r="BI200" i="12"/>
  <c r="BJ200" i="12"/>
  <c r="BK200" i="12"/>
  <c r="BL200" i="12"/>
  <c r="BM200" i="12"/>
  <c r="BN200" i="12"/>
  <c r="BO200" i="12"/>
  <c r="BP200" i="12"/>
  <c r="BQ200" i="12"/>
  <c r="BR200" i="12"/>
  <c r="BS200" i="12"/>
  <c r="BT200" i="12"/>
  <c r="K13" i="18"/>
  <c r="L13" i="18"/>
  <c r="K14" i="18"/>
  <c r="K15" i="18"/>
  <c r="K16" i="18"/>
  <c r="K18" i="18"/>
  <c r="K19" i="18"/>
  <c r="N19" i="18"/>
  <c r="K20" i="18"/>
  <c r="N20" i="18"/>
  <c r="K21" i="18"/>
  <c r="K22" i="18"/>
  <c r="L22" i="18"/>
  <c r="K23" i="18"/>
  <c r="K24" i="18"/>
  <c r="K25" i="18"/>
  <c r="K26" i="18"/>
  <c r="L26" i="18"/>
  <c r="K27" i="18"/>
  <c r="L27" i="18"/>
  <c r="K29" i="18"/>
  <c r="H30" i="18"/>
  <c r="I30" i="18"/>
  <c r="J30" i="18"/>
  <c r="K30" i="18"/>
  <c r="L30" i="18"/>
  <c r="M30" i="18"/>
  <c r="K38" i="18"/>
  <c r="K39" i="18"/>
  <c r="K41" i="18"/>
  <c r="G45" i="18"/>
  <c r="H45" i="18"/>
  <c r="I45" i="18"/>
  <c r="J45" i="18"/>
  <c r="K45" i="18"/>
  <c r="L45" i="18"/>
  <c r="G46" i="18"/>
  <c r="I46" i="18"/>
  <c r="J46" i="18"/>
  <c r="G47" i="18"/>
  <c r="I47" i="18"/>
  <c r="J47" i="18"/>
  <c r="G48" i="18"/>
  <c r="H48" i="18"/>
  <c r="I48" i="18"/>
  <c r="J48" i="18"/>
  <c r="K48" i="18"/>
  <c r="H64" i="18"/>
  <c r="H67" i="18"/>
</calcChain>
</file>

<file path=xl/comments1.xml><?xml version="1.0" encoding="utf-8"?>
<comments xmlns="http://schemas.openxmlformats.org/spreadsheetml/2006/main">
  <authors>
    <author>acopela</author>
  </authors>
  <commentList>
    <comment ref="R9" authorId="0" shapeId="0">
      <text>
        <r>
          <rPr>
            <b/>
            <sz val="12"/>
            <color indexed="81"/>
            <rFont val="Tahoma"/>
            <family val="2"/>
          </rPr>
          <t>acopela:</t>
        </r>
        <r>
          <rPr>
            <sz val="12"/>
            <color indexed="81"/>
            <rFont val="Tahoma"/>
            <family val="2"/>
          </rPr>
          <t xml:space="preserve">
6/2/99 Per DD budget was changed
6/11/99 Per Shealy Budget changed
</t>
        </r>
      </text>
    </comment>
    <comment ref="BN9" authorId="0" shapeId="0">
      <text>
        <r>
          <rPr>
            <b/>
            <sz val="12"/>
            <color indexed="81"/>
            <rFont val="Tahoma"/>
            <family val="2"/>
          </rPr>
          <t>acopela:</t>
        </r>
        <r>
          <rPr>
            <sz val="12"/>
            <color indexed="81"/>
            <rFont val="Tahoma"/>
            <family val="2"/>
          </rPr>
          <t xml:space="preserve">
includes $2,024,000 CO#1
</t>
        </r>
      </text>
    </comment>
  </commentList>
</comments>
</file>

<file path=xl/comments2.xml><?xml version="1.0" encoding="utf-8"?>
<comments xmlns="http://schemas.openxmlformats.org/spreadsheetml/2006/main">
  <authors>
    <author>acopela</author>
  </authors>
  <commentList>
    <comment ref="AD195" authorId="0" shapeId="0">
      <text>
        <r>
          <rPr>
            <b/>
            <sz val="8"/>
            <color indexed="81"/>
            <rFont val="Tahoma"/>
          </rPr>
          <t>acopela:</t>
        </r>
        <r>
          <rPr>
            <sz val="8"/>
            <color indexed="81"/>
            <rFont val="Tahoma"/>
          </rPr>
          <t xml:space="preserve">
Legal Expenses incurred 1998 under the 2000 peaker work order.  Reclass to expense 5/99</t>
        </r>
      </text>
    </comment>
  </commentList>
</comments>
</file>

<file path=xl/sharedStrings.xml><?xml version="1.0" encoding="utf-8"?>
<sst xmlns="http://schemas.openxmlformats.org/spreadsheetml/2006/main" count="1962" uniqueCount="565">
  <si>
    <t>ECT</t>
  </si>
  <si>
    <t>Responsibility</t>
  </si>
  <si>
    <t>Enron Contact</t>
  </si>
  <si>
    <t>Certainty</t>
  </si>
  <si>
    <t>Comments</t>
  </si>
  <si>
    <t>MAJOR EQUIPMENT</t>
  </si>
  <si>
    <t>TURBINE REFURBISHMENT</t>
  </si>
  <si>
    <t>AUX TRANSFORMERS</t>
  </si>
  <si>
    <t>LOAD CENTER TRANSFORMERS</t>
  </si>
  <si>
    <t>CIRCUIT BREAKERS</t>
  </si>
  <si>
    <t>TD OF I-ABB</t>
  </si>
  <si>
    <t>FREIGHT - TRANSFORMERS</t>
  </si>
  <si>
    <t>TRANSFORMER INSTALLATION</t>
  </si>
  <si>
    <t>OFF LOAD CIRCUIT BREAKERS</t>
  </si>
  <si>
    <t>MISC TVA REQUIREMENTS</t>
  </si>
  <si>
    <t>TOTAL MAJOR EQUIPMENT</t>
  </si>
  <si>
    <t>ELECTRICAL</t>
  </si>
  <si>
    <t>PIPING</t>
  </si>
  <si>
    <t>CIVIL</t>
  </si>
  <si>
    <t>INSTRUMENTATION</t>
  </si>
  <si>
    <t>CONSTRUCTION</t>
  </si>
  <si>
    <t>TOTAL CONSTRUCTION</t>
  </si>
  <si>
    <t>ENGINEERING</t>
  </si>
  <si>
    <t>CONSTRUCTION MANAGEMENT</t>
  </si>
  <si>
    <t>TOTAL ENGINEERING</t>
  </si>
  <si>
    <t>MOBILIZATION OF O&amp;M</t>
  </si>
  <si>
    <t>SPARE PARTS</t>
  </si>
  <si>
    <t>LAND ACQUISITION</t>
  </si>
  <si>
    <t>ENVIRONMENTAL PERMITTING</t>
  </si>
  <si>
    <t>GAS INTERCONNECTION</t>
  </si>
  <si>
    <t>SALES TAX ON EQUIPMENT</t>
  </si>
  <si>
    <t>INSURANCE DURING CONSTR</t>
  </si>
  <si>
    <t>CAPITALIZED SALARIES</t>
  </si>
  <si>
    <t>DEVELOPMENT EXPENSES</t>
  </si>
  <si>
    <t>Travel Expenses</t>
  </si>
  <si>
    <t>LEGAL EXPENSES</t>
  </si>
  <si>
    <t>Andrews &amp; Kurth</t>
  </si>
  <si>
    <t>Vinson &amp; Elkins</t>
  </si>
  <si>
    <t>TO COMPLETE</t>
  </si>
  <si>
    <t>VARIANCE</t>
  </si>
  <si>
    <t>TOTAL DEVELOPMENT EXPENSE</t>
  </si>
  <si>
    <t>TOTAL LEGAL EXPENSE</t>
  </si>
  <si>
    <t>ESTIMATE</t>
  </si>
  <si>
    <t>Current Estimate</t>
  </si>
  <si>
    <t>Actuals to Date</t>
  </si>
  <si>
    <t>%</t>
  </si>
  <si>
    <t>Complete</t>
  </si>
  <si>
    <t>MW</t>
  </si>
  <si>
    <t>Project</t>
  </si>
  <si>
    <t>TOTAL PROGRAM</t>
  </si>
  <si>
    <t xml:space="preserve">  Target $$/MW</t>
  </si>
  <si>
    <t>Estimate to Complete</t>
  </si>
  <si>
    <t>DCS</t>
  </si>
  <si>
    <t>UPS SYSTEM</t>
  </si>
  <si>
    <t>DC SYSTEM</t>
  </si>
  <si>
    <t>STACK MONITORING</t>
  </si>
  <si>
    <t>CONTROL VALVES</t>
  </si>
  <si>
    <t>BRIDGE CRANE</t>
  </si>
  <si>
    <t>15 KV SWITCHGEAR</t>
  </si>
  <si>
    <t>FIELD/SHOP FAB VESSELS</t>
  </si>
  <si>
    <t>SITE PREPARATION</t>
  </si>
  <si>
    <t>SITE IMPROVEMENTS</t>
  </si>
  <si>
    <t>CONCRETE</t>
  </si>
  <si>
    <t>ABOVE GROUND PIPING</t>
  </si>
  <si>
    <t>ABOVE GROUND ELECTRICAL</t>
  </si>
  <si>
    <t>PAINTING</t>
  </si>
  <si>
    <t>INSULATION</t>
  </si>
  <si>
    <t>SWITCHYARD</t>
  </si>
  <si>
    <t>OVERHEAD</t>
  </si>
  <si>
    <t>GENERAL PROVISIONS</t>
  </si>
  <si>
    <t>EECC RECONCILIATION</t>
  </si>
  <si>
    <t>Fulton</t>
  </si>
  <si>
    <t>Brownsville</t>
  </si>
  <si>
    <t>New Albany</t>
  </si>
  <si>
    <t>Caledonia</t>
  </si>
  <si>
    <t>Total</t>
  </si>
  <si>
    <t>Current</t>
  </si>
  <si>
    <t xml:space="preserve">Control </t>
  </si>
  <si>
    <t>Budget</t>
  </si>
  <si>
    <t>Estimate</t>
  </si>
  <si>
    <t>a</t>
  </si>
  <si>
    <t>Major Equipment Detail</t>
  </si>
  <si>
    <t>Refurbishment with DLN Units 1-6</t>
  </si>
  <si>
    <t>Spare Parts</t>
  </si>
  <si>
    <t>(includes commission)</t>
  </si>
  <si>
    <t>Dow Unit</t>
  </si>
  <si>
    <t>Commission</t>
  </si>
  <si>
    <t>Dissassembly</t>
  </si>
  <si>
    <t>4 Kepco Units (original)</t>
  </si>
  <si>
    <t>Purchase</t>
  </si>
  <si>
    <t>Less Steam Turbine</t>
  </si>
  <si>
    <t>1 Kepco Unit (new set)</t>
  </si>
  <si>
    <t>1 of 4 Purchase price</t>
  </si>
  <si>
    <t>Disassembly &amp; shipping</t>
  </si>
  <si>
    <t>Commission 10%</t>
  </si>
  <si>
    <t>Disassemble &amp; move to Kunsan Port</t>
  </si>
  <si>
    <t>Unidentified</t>
  </si>
  <si>
    <t>Purchase &amp; spares</t>
  </si>
  <si>
    <t>Commission (7%)</t>
  </si>
  <si>
    <t>Freight Reimbursement to IBC</t>
  </si>
  <si>
    <t>Allocate to 2000</t>
  </si>
  <si>
    <t>Transformers etc</t>
  </si>
  <si>
    <t>Total IBC items</t>
  </si>
  <si>
    <t>Grand Total Major Equipment</t>
  </si>
  <si>
    <t>a)  Sunk Cost</t>
  </si>
  <si>
    <t>Commission IBC(10%)</t>
  </si>
  <si>
    <t>Commission Natole</t>
  </si>
  <si>
    <t>Spare parts to be reconciled per Miller</t>
  </si>
  <si>
    <t>EECC increased current estimate</t>
  </si>
  <si>
    <t>Decrease Environmental permitting</t>
  </si>
  <si>
    <t xml:space="preserve">Decrease Legal expense </t>
  </si>
  <si>
    <t>Issue</t>
  </si>
  <si>
    <t>Total Savings</t>
  </si>
  <si>
    <t>Tax Handling Fee to LLC for arms length transaction .25% not included in plan</t>
  </si>
  <si>
    <t>Fuel cost during start up not included</t>
  </si>
  <si>
    <t>Decrease Development</t>
  </si>
  <si>
    <t>Issues/Savings</t>
  </si>
  <si>
    <t xml:space="preserve">TVA Peaking Plant </t>
  </si>
  <si>
    <t>Net Increase</t>
  </si>
  <si>
    <t>Savings Recognized</t>
  </si>
  <si>
    <t>RESALE HANDLING FEES (.25%)</t>
  </si>
  <si>
    <t>Other</t>
  </si>
  <si>
    <t>Actuals</t>
  </si>
  <si>
    <t>(Mo-to-date)</t>
  </si>
  <si>
    <t>Report Date:</t>
  </si>
  <si>
    <t>Expenditures to date:</t>
  </si>
  <si>
    <t>Total Project</t>
  </si>
  <si>
    <t>ENRON CAPITAL &amp; TRADE RESOURCES</t>
  </si>
  <si>
    <t>Total to Complete</t>
  </si>
  <si>
    <t>Anticipated</t>
  </si>
  <si>
    <t>Increase /</t>
  </si>
  <si>
    <t>(Savings)</t>
  </si>
  <si>
    <t>To Update:</t>
  </si>
  <si>
    <t>Go to Summary tab</t>
  </si>
  <si>
    <t>Go to LLC tab</t>
  </si>
  <si>
    <t>unhide all columns</t>
  </si>
  <si>
    <t>update actuals for applicable month</t>
  </si>
  <si>
    <t>check totals</t>
  </si>
  <si>
    <t>make sure that sum of Actuals to Date Total Project + Estimate to Complete + variance = Current Estimate amount</t>
  </si>
  <si>
    <t>update variance explanations to current estimate</t>
  </si>
  <si>
    <t>Save file as new name</t>
  </si>
  <si>
    <t>Variance</t>
  </si>
  <si>
    <t>Current Estimate vs Actual Variance Explanations (000s)</t>
  </si>
  <si>
    <t>from CE</t>
  </si>
  <si>
    <t>TOTAL</t>
  </si>
  <si>
    <t>PROJECT</t>
  </si>
  <si>
    <t>DRY TRANSFORMS AND PANELS</t>
  </si>
  <si>
    <t>5KV &amp; 600 V SWITCHGEAR AND MCC'S</t>
  </si>
  <si>
    <t>CONTROL PANELS/TERMINATION BOXES</t>
  </si>
  <si>
    <t>FIELD MOUNTED INSTRUMENTS</t>
  </si>
  <si>
    <t>MINOR MECHANICAL EQUIPMENT</t>
  </si>
  <si>
    <t>COMBUSTION TURBINE GENERATOR</t>
  </si>
  <si>
    <t>PRESSURE REDUCING STATION</t>
  </si>
  <si>
    <t>WATER WASH SKID</t>
  </si>
  <si>
    <t xml:space="preserve">  </t>
  </si>
  <si>
    <t>UNDERGROUND ELECTRICAL (LAB &amp; MATL)</t>
  </si>
  <si>
    <t>UNDERGROUND PIPING (LAB &amp; MATL)</t>
  </si>
  <si>
    <t>GROUT &amp; SPECIAL COATINGS</t>
  </si>
  <si>
    <t>STRUCTURAL STEEL (LAB &amp; MATL)</t>
  </si>
  <si>
    <t>ARCHITECTURAL</t>
  </si>
  <si>
    <t>SUBCONTRACT ERECTED BUILDINGS</t>
  </si>
  <si>
    <t>COMBUSTION TURBINE/GENERATOR</t>
  </si>
  <si>
    <t>MAJOR MECHANICAL EQUIPMENT</t>
  </si>
  <si>
    <t>ENGINEERING-DIRECT LABOR</t>
  </si>
  <si>
    <t>ENGINEERING-CONTRACT LABOR</t>
  </si>
  <si>
    <t>EQUIP RENTAL, FUEL, SMALL TOOLS</t>
  </si>
  <si>
    <t>INDIRECT CONSTRUCTION LABOR</t>
  </si>
  <si>
    <t>PRORATABLE, ALLOWANCES</t>
  </si>
  <si>
    <t>STARTUP, TRAINING, MANUALS</t>
  </si>
  <si>
    <t>Subtotal GE</t>
  </si>
  <si>
    <t>Energy Services</t>
  </si>
  <si>
    <t>TURBINE UNITS, Disassemble</t>
  </si>
  <si>
    <t>TURBINE UNITS, Freight Commission</t>
  </si>
  <si>
    <t>Vendor</t>
  </si>
  <si>
    <t>PUMPS</t>
  </si>
  <si>
    <t>MATERIAL</t>
  </si>
  <si>
    <t xml:space="preserve">SUBCONTRACT </t>
  </si>
  <si>
    <t>LABOR</t>
  </si>
  <si>
    <t>Startup Fuel</t>
  </si>
  <si>
    <t>Power Sales</t>
  </si>
  <si>
    <t>Fuel Cost</t>
  </si>
  <si>
    <t>Subtotal Net Startup Fuel</t>
  </si>
  <si>
    <t>Subtotal Land Acquisition</t>
  </si>
  <si>
    <t>Subtotal Environmental Permitting</t>
  </si>
  <si>
    <t>Salaries</t>
  </si>
  <si>
    <t>COST SUMMARY ($ thousands)</t>
  </si>
  <si>
    <t>Control Budget</t>
  </si>
  <si>
    <t>in cell "Q4" drop in date of Project Tracking report used as backup</t>
  </si>
  <si>
    <t>tie budget and current estimate to report from week before; explain any changes on summary tab</t>
  </si>
  <si>
    <t>Project 2000</t>
  </si>
  <si>
    <t>CONTINGENCY</t>
  </si>
  <si>
    <t>TURBINE UNITS, Purchase - WH501FD (2)</t>
  </si>
  <si>
    <t>TURBINE UNITS, Purchase - WH501F (1)</t>
  </si>
  <si>
    <t>Calvert City, KY</t>
  </si>
  <si>
    <t>Wheatland, IN</t>
  </si>
  <si>
    <t>Subtotal Westinghouse</t>
  </si>
  <si>
    <t>Plano, IL</t>
  </si>
  <si>
    <t>TOTAL-Plano, IL</t>
  </si>
  <si>
    <t>LAND</t>
  </si>
  <si>
    <t>Petersburg, IN</t>
  </si>
  <si>
    <t>Backup Sites</t>
  </si>
  <si>
    <t>Expense /</t>
  </si>
  <si>
    <t>Capital</t>
  </si>
  <si>
    <t>Expense</t>
  </si>
  <si>
    <t>All Plants</t>
  </si>
  <si>
    <t>Changes to Current Estimate Explanations</t>
  </si>
  <si>
    <t>Weekly</t>
  </si>
  <si>
    <t>Land Option</t>
  </si>
  <si>
    <t>Title Commitment</t>
  </si>
  <si>
    <t>Land Purchase</t>
  </si>
  <si>
    <t>Closing Costs</t>
  </si>
  <si>
    <t>Air Permitting -ENSR</t>
  </si>
  <si>
    <t>Groundwater - ENSR</t>
  </si>
  <si>
    <t>Groundwater - NS</t>
  </si>
  <si>
    <t>Other-NS</t>
  </si>
  <si>
    <t>Other -ENSR</t>
  </si>
  <si>
    <t>WATER INTERCONNECT</t>
  </si>
  <si>
    <t>Consulting - Calpine</t>
  </si>
  <si>
    <t>Middleton &amp; Reutlinger</t>
  </si>
  <si>
    <t>INTEREST SWAP</t>
  </si>
  <si>
    <t>Ogden Newell &amp; Welch</t>
  </si>
  <si>
    <t>TRANSFORMERS (Not included w/TDEC)</t>
  </si>
  <si>
    <t>WATER WELL</t>
  </si>
  <si>
    <t>GE CO2 HEATERS</t>
  </si>
  <si>
    <t>ADDITIONAL EVAPORATIVE COOLER</t>
  </si>
  <si>
    <t>ADDITIONAL 5FT STACK HEIGHT</t>
  </si>
  <si>
    <t>Subtotal Other Major Equipment</t>
  </si>
  <si>
    <t>OVERHEADS &amp; FEES</t>
  </si>
  <si>
    <t>EE&amp; C</t>
  </si>
  <si>
    <t>Nepco</t>
  </si>
  <si>
    <t>NEPCO</t>
  </si>
  <si>
    <t>BASE FEE</t>
  </si>
  <si>
    <t>SCHEDULED BONUS</t>
  </si>
  <si>
    <t>COST SAVINGS</t>
  </si>
  <si>
    <t>NEPCO SITE CONSTRUCTION COSTS</t>
  </si>
  <si>
    <t>CONSTRUCTION DIRECTS</t>
  </si>
  <si>
    <t>EECC</t>
  </si>
  <si>
    <t>CONSTRUCTION INDIRECTS</t>
  </si>
  <si>
    <t>NEPCO PURCHASED BOP EQUIPMENT</t>
  </si>
  <si>
    <t>START-UP</t>
  </si>
  <si>
    <t>LANDSCAPING</t>
  </si>
  <si>
    <t>WATER WELLS</t>
  </si>
  <si>
    <t>ADDERS OUTSIDE EECC SCOPE</t>
  </si>
  <si>
    <t>TOTAL NEPCO SITE CONSTRUCTION COSTS</t>
  </si>
  <si>
    <t>TOTAL OVERHEADS &amp; FEES</t>
  </si>
  <si>
    <t>TOTAL ADDERS</t>
  </si>
  <si>
    <t>ECT PROJECT COSTS</t>
  </si>
  <si>
    <t xml:space="preserve">   Subtotal Mobilization of O&amp;M</t>
  </si>
  <si>
    <t>ECT TOTAL Project Costs</t>
  </si>
  <si>
    <t>INTEREST DURING CONSTRUCTION (6.5%)</t>
  </si>
  <si>
    <t>FINANCIAL FEES</t>
  </si>
  <si>
    <t>$/Kw</t>
  </si>
  <si>
    <t>Grand Total Including SWAP &amp; Financial Fees</t>
  </si>
  <si>
    <t>GRAND TOTAL (without Financing Fees &amp; SWAP)</t>
  </si>
  <si>
    <t>Wilton Center, IL</t>
  </si>
  <si>
    <t>Sound Mitigation</t>
  </si>
  <si>
    <t>Evaporative Coolers</t>
  </si>
  <si>
    <t>Roads &amp; Ditches</t>
  </si>
  <si>
    <t>Drainage</t>
  </si>
  <si>
    <t>On-Site Well/Water System</t>
  </si>
  <si>
    <t>Air Permitting</t>
  </si>
  <si>
    <t>Groundwater</t>
  </si>
  <si>
    <t xml:space="preserve">Other </t>
  </si>
  <si>
    <t>TURBINE UNITS, Purchase -GE 7ea (8)</t>
  </si>
  <si>
    <t>TURBINE UNITS - WH501D5A (4)</t>
  </si>
  <si>
    <t>TOTAL-Petersburg, In</t>
  </si>
  <si>
    <t>TOTAL INDIANA PLANT COSTS (w/o Financial Fees &amp; SWAP)</t>
  </si>
  <si>
    <t>TOTAL PROJECTS</t>
  </si>
  <si>
    <t>Recalculated Interest During Construction ( 6.50%) and Commitment Fee (35 BPS)</t>
  </si>
  <si>
    <t>Current FIT</t>
  </si>
  <si>
    <t xml:space="preserve">TOTAL INDIANA PLANT COSTS </t>
  </si>
  <si>
    <t>Financing Costs</t>
  </si>
  <si>
    <t>Construction Costs</t>
  </si>
  <si>
    <t>ELECTRICAL INTERCONNECTION</t>
  </si>
  <si>
    <t>Facilities Study</t>
  </si>
  <si>
    <t>System Impact Study</t>
  </si>
  <si>
    <t>Work Order Cost</t>
  </si>
  <si>
    <t>Subtotal Electrical Interconnection</t>
  </si>
  <si>
    <t>Power INTERCONNECTION</t>
  </si>
  <si>
    <t>EECC Development Costs incurred prior to 6/1/99 that is not included in the budget</t>
  </si>
  <si>
    <t>UNION ADDER/OTHER</t>
  </si>
  <si>
    <t>TRANSFORMERS - Other Misc Charges</t>
  </si>
  <si>
    <t>EECC cost incurred prior to 6/1/99 (includes Capital &amp; Exp)</t>
  </si>
  <si>
    <t>EECC cost incurred prior to 6/1/99  (includes Capital &amp; Exp)</t>
  </si>
  <si>
    <t>Excluding Financing Fee</t>
  </si>
  <si>
    <t>Change in scope with addition of Union Labor</t>
  </si>
  <si>
    <t>as of 7/22/99</t>
  </si>
  <si>
    <t>Tran.to Gleason</t>
  </si>
  <si>
    <t>ELECTRICAL INTERCONNECTION - TVA"S side of fence</t>
  </si>
  <si>
    <t>Startup Fuel * Power</t>
  </si>
  <si>
    <t>Fuel Cost/Power Revenue</t>
  </si>
  <si>
    <t>SWAP</t>
  </si>
  <si>
    <t>Tran.from Calvert</t>
  </si>
  <si>
    <t>Calvert City</t>
  </si>
  <si>
    <t>Gleason, TN</t>
  </si>
  <si>
    <t>Legal</t>
  </si>
  <si>
    <t>SALES TAX ON EQUIPMENT &amp; Materials</t>
  </si>
  <si>
    <t>EQUIPMENT &amp; SMALL TOOL</t>
  </si>
  <si>
    <t>RESERVES</t>
  </si>
  <si>
    <t>General Provisions</t>
  </si>
  <si>
    <t>TOTAL General Provisions</t>
  </si>
  <si>
    <t>BOP Procurement</t>
  </si>
  <si>
    <t>TOTAL BOP Procurement</t>
  </si>
  <si>
    <t>SITE PREPARATION/IMPROVEMENTS - S</t>
  </si>
  <si>
    <t>UNDERGROUND ELECTRICAL - M</t>
  </si>
  <si>
    <t>UNDERGROUND PIPING - M</t>
  </si>
  <si>
    <t>CONCRETE - M</t>
  </si>
  <si>
    <t>STRUCTURAL STEEL - L</t>
  </si>
  <si>
    <t>STRUCTURAL STEEL - M</t>
  </si>
  <si>
    <t>ARCHITECTURAL -S</t>
  </si>
  <si>
    <t>BUILDINGS -S</t>
  </si>
  <si>
    <t>INSTRUMENTATION - L</t>
  </si>
  <si>
    <t>INSULATION &amp; PAINTING -S</t>
  </si>
  <si>
    <t>UNION ADDER ESTIMATE ERROR</t>
  </si>
  <si>
    <t>Construction</t>
  </si>
  <si>
    <t>TOTAL Construction</t>
  </si>
  <si>
    <t>TOTAL SWITCHYARD</t>
  </si>
  <si>
    <t>Switchyard</t>
  </si>
  <si>
    <t>Nepco % Complete</t>
  </si>
  <si>
    <t>Franchise tax</t>
  </si>
  <si>
    <t>(Increase)</t>
  </si>
  <si>
    <t>Consulting - GLC</t>
  </si>
  <si>
    <t>Increase Turbines - Scope Change</t>
  </si>
  <si>
    <t xml:space="preserve">Additional Gas Interconnect Costs </t>
  </si>
  <si>
    <t>Use of Contingency ( Contingency is now zero)</t>
  </si>
  <si>
    <t>Increase Transformers -Scope Change</t>
  </si>
  <si>
    <t xml:space="preserve">  month actual and current month % of Cash Curves)</t>
  </si>
  <si>
    <t xml:space="preserve">Nepco % Cash (difference between prior </t>
  </si>
  <si>
    <t>Wilton</t>
  </si>
  <si>
    <t>Gleason</t>
  </si>
  <si>
    <t>Wheatland</t>
  </si>
  <si>
    <t>Forecasted Monthly Cost</t>
  </si>
  <si>
    <t>Cumulative Monthly Cost</t>
  </si>
  <si>
    <t>Cumulative Percent</t>
  </si>
  <si>
    <t>Comparison of Actuals to Payment based on Cash Curves</t>
  </si>
  <si>
    <t>Actuals by Month</t>
  </si>
  <si>
    <t>TOTALS</t>
  </si>
  <si>
    <t>CHANGE ORDER LOG</t>
  </si>
  <si>
    <t>Enron Engineering &amp; Construction</t>
  </si>
  <si>
    <t>ENA 2000 Peaker Projects</t>
  </si>
  <si>
    <t>Change Order Number</t>
  </si>
  <si>
    <t>Description</t>
  </si>
  <si>
    <t>Originator</t>
  </si>
  <si>
    <t>Date Initiated</t>
  </si>
  <si>
    <t>Date Resolved</t>
  </si>
  <si>
    <t>Owner Status</t>
  </si>
  <si>
    <t>ENA Major Equipment</t>
  </si>
  <si>
    <t>NEPCO Reimbursable</t>
  </si>
  <si>
    <t>NEPCO / EECC       Fixed Ovhd</t>
  </si>
  <si>
    <t>Fixed Fee</t>
  </si>
  <si>
    <t>TOTAL COST</t>
  </si>
  <si>
    <t>Schedule Impact (Days)</t>
  </si>
  <si>
    <t>Comments and Remarks</t>
  </si>
  <si>
    <t>LINCOLN CENTER POWER PROJECT</t>
  </si>
  <si>
    <t>IL-CO-000-N</t>
  </si>
  <si>
    <t>Approved</t>
  </si>
  <si>
    <t>IL-CO-001-N</t>
  </si>
  <si>
    <t>Warranty Deduct</t>
  </si>
  <si>
    <t>Issued for Approval</t>
  </si>
  <si>
    <t>Included in signed agreement with ENA.</t>
  </si>
  <si>
    <t>IL-CO-002-N</t>
  </si>
  <si>
    <t>To Be Issued</t>
  </si>
  <si>
    <t>Qty's will be checked, corrected, and resubmitted</t>
  </si>
  <si>
    <t>Update CO to reflect current scope splits &amp; designs</t>
  </si>
  <si>
    <t>IL-CO-005-N</t>
  </si>
  <si>
    <t>IL-CO-006-N</t>
  </si>
  <si>
    <t>IL-CO-007-N</t>
  </si>
  <si>
    <t>Redesign of switchyard</t>
  </si>
  <si>
    <t>IL-CO-008-N</t>
  </si>
  <si>
    <t>IL-CO-009-N</t>
  </si>
  <si>
    <t>IL-CO-010-N</t>
  </si>
  <si>
    <t>IL-CO-001-E</t>
  </si>
  <si>
    <t>IL-CO-000-T</t>
  </si>
  <si>
    <t>GE Turbines - Generator Protective Relays</t>
  </si>
  <si>
    <t>ENA</t>
  </si>
  <si>
    <t>IL-CO-001-T</t>
  </si>
  <si>
    <t>IL-CO-001-S</t>
  </si>
  <si>
    <t>Braden Stacks</t>
  </si>
  <si>
    <t>Subtotal - Approved</t>
  </si>
  <si>
    <t>Subtotal - Issued for Approval</t>
  </si>
  <si>
    <t>Subtotal - To Be Issued</t>
  </si>
  <si>
    <t>Subtotal - Cancelled</t>
  </si>
  <si>
    <t>Cancelled</t>
  </si>
  <si>
    <r>
      <t xml:space="preserve">ENA has  </t>
    </r>
    <r>
      <rPr>
        <b/>
        <sz val="12"/>
        <rFont val="Arial"/>
        <family val="2"/>
      </rPr>
      <t xml:space="preserve">APPROVED </t>
    </r>
  </si>
  <si>
    <t>Increase in Forecast that is not a scope change</t>
  </si>
  <si>
    <t>GLEASON POWER PROJECT</t>
  </si>
  <si>
    <t>TN-CO-001-N</t>
  </si>
  <si>
    <t>TBD</t>
  </si>
  <si>
    <t>TN-CO-002-N</t>
  </si>
  <si>
    <t>TN-CO-001-Td</t>
  </si>
  <si>
    <t>TN-CO-002-Td</t>
  </si>
  <si>
    <t>Westinghouse 501F(d) - Change Order No. 2</t>
  </si>
  <si>
    <t>TN-CO-001-Tc</t>
  </si>
  <si>
    <t>Westinghouse 501F(c) - Change Order No. 1</t>
  </si>
  <si>
    <t>TN-CO-002-Tc</t>
  </si>
  <si>
    <t>Westinghouse 501F(c) - Compressor Water Wash</t>
  </si>
  <si>
    <t>Westinghouse 501F(c) - Water Inj Heat Trace</t>
  </si>
  <si>
    <t>TN-CO-003-Tc</t>
  </si>
  <si>
    <t>Westinghouse 501F(c) - Bird Screen on Inlet Filter</t>
  </si>
  <si>
    <t>Westinghouse 501F(c) - Storage Charges</t>
  </si>
  <si>
    <t>Total Change Orders - GLEASON</t>
  </si>
  <si>
    <t>NEPCO reimbursable costs reviewed</t>
  </si>
  <si>
    <t>Change Order  To Be Issued</t>
  </si>
  <si>
    <t>Increase in Land Acquisition costs</t>
  </si>
  <si>
    <t>WHEATLAND POWER PROJECT</t>
  </si>
  <si>
    <t>IN-CO-001-N</t>
  </si>
  <si>
    <t>IN-CO-002-N</t>
  </si>
  <si>
    <t>IN-CO-000-T</t>
  </si>
  <si>
    <t>Westinghouse Turbines - Org. Price Adjustment</t>
  </si>
  <si>
    <t>IN-CO-001-T</t>
  </si>
  <si>
    <t>Westinghouse Turbines - Change Order No. 1</t>
  </si>
  <si>
    <t>IN-CO-002-T</t>
  </si>
  <si>
    <t>Westinghouse Turbines - Change Order No. 2</t>
  </si>
  <si>
    <t>Total Change Orders - WHEATLAND</t>
  </si>
  <si>
    <t>Under Original Budget -including unapproved Nepco scope changes</t>
  </si>
  <si>
    <r>
      <t>Increase in Nepco Construction Costs (</t>
    </r>
    <r>
      <rPr>
        <sz val="10"/>
        <color indexed="10"/>
        <rFont val="Arial"/>
        <family val="2"/>
      </rPr>
      <t>includes unaprroved scope changes</t>
    </r>
    <r>
      <rPr>
        <sz val="10"/>
        <rFont val="Arial"/>
      </rPr>
      <t>)-Review Scope Change Tab for further details</t>
    </r>
  </si>
  <si>
    <r>
      <t xml:space="preserve">Increase in Nepco Construction Costs (includes </t>
    </r>
    <r>
      <rPr>
        <sz val="10"/>
        <color indexed="10"/>
        <rFont val="Arial"/>
        <family val="2"/>
      </rPr>
      <t>unaprroved scope changes</t>
    </r>
    <r>
      <rPr>
        <sz val="10"/>
        <rFont val="Arial"/>
      </rPr>
      <t>)-Review Scope Change Tab for further details</t>
    </r>
  </si>
  <si>
    <r>
      <t xml:space="preserve">Over </t>
    </r>
    <r>
      <rPr>
        <sz val="10"/>
        <rFont val="Arial"/>
        <family val="2"/>
      </rPr>
      <t>Original Budget -</t>
    </r>
    <r>
      <rPr>
        <sz val="10"/>
        <color indexed="10"/>
        <rFont val="Arial"/>
        <family val="2"/>
      </rPr>
      <t>including unapproved Nepco scope changes</t>
    </r>
  </si>
  <si>
    <t>Difference between Payment and Prior Month Actuals</t>
  </si>
  <si>
    <t>Revised Change order will be sent to Dave Kristich by 12/11/99</t>
  </si>
  <si>
    <t>Add larger stack with sound attenuation.  Additional costs to install foundations, more complex installation for larger more complex stacks.  Timing disconnect, design not completed till Aug/Sep, not incorporated into the Original Budget.  Change Order is being revised with little change and Gavin Gaul will send to Dave Kristish ASAP.</t>
  </si>
  <si>
    <t>Union Adder correction - not included in the memorialized letter.  Additionally several million dollars to come, as Union contracts are being understood to include 30-40% in higher benefits and more restrictive work rules over Wheatland and Gleason.  Final selection of Morrison and Meade not made until September.  Change Order for the additional dollars is currently being worked on, will provide as soon as finished.</t>
  </si>
  <si>
    <t>Generator breaker synchronization check relays.  Com Ed interconnect scope change.  Completed Change Order will be sent to Dave Kristich ASAP.</t>
  </si>
  <si>
    <t>Instrumentation changes per M. Dickinson memo dated 7/29/99.  GE Scope change required, reduced cost by including in Nepco's scope.  Completed Change Order will be sent to Dave Kristich ASAP.</t>
  </si>
  <si>
    <t>Pipeline gas interconnect study.  Fred Mitro approved.</t>
  </si>
  <si>
    <t>GE Turbines - Change Order No. 1.  Added the evaporative coolers and deleted the exhaust stacks from the Turbine contract.</t>
  </si>
  <si>
    <t>Lincoln Center</t>
  </si>
  <si>
    <t>IL-CO-003-N     IL -Co-004-N</t>
  </si>
  <si>
    <t>Increase centerline spacing from 125 ft to 145 ft.  Change Order is currently being reworked by Nick Viscount and will be sent to Dave Kristich by 12/11/99</t>
  </si>
  <si>
    <t>Add evaporative coolers,associated piping and added larger CTG intake structure.  Change Order #3 &amp; 4 will be combined with a reduction of about a million dollars.  Initial estimate included drilling of well by Nepco, ENA has paid directly.  Change Order does not include the cost of the Evaporative Coolers.</t>
  </si>
  <si>
    <t>Required GTG laydown area.  Stripped Janet Warren's property and replaced with stones.  Should have been included in original budget but was left out.  Change Order is being revised with little change and Gavin Gaul will send to Dave Kristich ASAP.</t>
  </si>
  <si>
    <t>Switchyard Scope Growth- July meeting w/TVA, advised us we needed to use two additional 500 kv breakers above and beyond what was used @ Brownsville.  Approx. $1,000,000 - $1,500,000 represents the equipment costs.   Nepco is currently working on the Change Order and will provide to ENA as soon as finished.  Additionally, preliminary numbers coming from TVA represent an incremental $1,500,000 in communication requirements.</t>
  </si>
  <si>
    <t>Acceleration of GTG2 and GTG3 erection - $1.6 million represents acceleration in schedule for Calvert, does not include Gleason change.  Nepco is currently working on the Change Order to include the move to Gleason with the start date of June 1st.  Nepco will provide Change Order as soon as finished.</t>
  </si>
  <si>
    <t>Schedule Acceleration - Unit #3 by June 1 and #4 by June 9th.   Nepco is working to achieve full load by June 1st or earlier.  Will provide detailed Change Order when complete.</t>
  </si>
  <si>
    <t>Add redundant generator protective relaying.  Requirement that came about from a Com Ed meeting in August.  Change Order is being revised with little change and Gavin Gaul will send to Dave Kristich ASAP.</t>
  </si>
  <si>
    <t>Switchyard Scope Growth - Allows for dual interconnect capabilities.  Additional Cinergy, IPL requirements, diesel, extra  tower, does not include full set of spare breakers due to ENA design.  Nepco is working on details to the Change Order and will provide Dave Kristich when finished.</t>
  </si>
  <si>
    <t xml:space="preserve"> $1.2 Approved </t>
  </si>
  <si>
    <t>Insurance payment more than Budget</t>
  </si>
  <si>
    <t>Franchise Tax</t>
  </si>
  <si>
    <t>Enron Generation Company Costs</t>
  </si>
  <si>
    <t>Cost related to Enron Generation Company, Standard &amp; poors, RW Beck and AES Corp</t>
  </si>
  <si>
    <t>Enron Generation Comp Costs</t>
  </si>
  <si>
    <t>Water Interconnect, budgeted at zero</t>
  </si>
  <si>
    <t>Misc, $25 land over budget</t>
  </si>
  <si>
    <t>Amount Paid</t>
  </si>
  <si>
    <t>Increase in TVA interconnect Costs - Redesign burden</t>
  </si>
  <si>
    <t>Other -1/2 of redsign costs to change project to Gleason</t>
  </si>
  <si>
    <t xml:space="preserve"> </t>
  </si>
  <si>
    <t>Everst Legal Expense</t>
  </si>
  <si>
    <t>Everest Legal Costs</t>
  </si>
  <si>
    <t>Everest Legal</t>
  </si>
  <si>
    <t>Cost related to Enron Generation Company, Standard &amp; Poors, RW Beck and AES Corp</t>
  </si>
  <si>
    <t>Trend #1/CO #11</t>
  </si>
  <si>
    <t>Union Adder, increased Union work rules and added management costs</t>
  </si>
  <si>
    <t>ENA takes exception to the Overhead Charge of $157,704</t>
  </si>
  <si>
    <t>Trend #1/CO #13</t>
  </si>
  <si>
    <t>Trend #2/CO #12</t>
  </si>
  <si>
    <t>Union Adder, increased premium time and associated burdens</t>
  </si>
  <si>
    <t>ENA takes exception with a 70 hours work schedule except in critical path activities.  Considering the losss in productivity and the double time rate of pay associated with a 70 work schedule, ENA regards this a diminishing return situation that I sonly exacerbated when worked by the same crafts on an extended basis.</t>
  </si>
  <si>
    <t>Union Adder, rate differential between actual and budgeted</t>
  </si>
  <si>
    <t>ENA takes exception to the Overhead Charge of $733,758</t>
  </si>
  <si>
    <t>Adjustment for accelerated labor costs  Unwarrented Home Office Overhead associated with a Union versus Merit workforce.  Amount reduced by -1,161,792  of the original budget</t>
  </si>
  <si>
    <t>Major Equipment</t>
  </si>
  <si>
    <t>Total Change Orders</t>
  </si>
  <si>
    <t>Johnsonville-Weakly 500-kV TlL--Install Interconnection Facility</t>
  </si>
  <si>
    <t>Gleason, TN 500 kV Sw Sta--Provide Interconnection</t>
  </si>
  <si>
    <t>Gleason Power 1, LLC --Provide Engr/Matl Support</t>
  </si>
  <si>
    <t xml:space="preserve">Johnsonville FP--Provide Relaying Circuits </t>
  </si>
  <si>
    <t>Weakly, TN 500 kV Sub--Install MW Terminal</t>
  </si>
  <si>
    <t>Shawnee FP--Provide Channel Interconnections</t>
  </si>
  <si>
    <t>S. Nashville, Tn 161 kV Sub --Provide Channel Interconnect</t>
  </si>
  <si>
    <t>S Jackson, TN 161 kV Sub--Provide Channel Interconnections</t>
  </si>
  <si>
    <t>Wilson HP--Provide Channel Crossconnection</t>
  </si>
  <si>
    <t xml:space="preserve">Jackson, TN  500kV Sub--Install MW Terminal </t>
  </si>
  <si>
    <t>Rock Springs MW Rptr Sta--Intall MW Repeater Equipment</t>
  </si>
  <si>
    <t xml:space="preserve">PSCC--Provide SCADA Terminations </t>
  </si>
  <si>
    <t>COC/PBS--Provide SCADA Terminations</t>
  </si>
  <si>
    <t>Martin, TN 161 kV Sub--Install DTL Mux</t>
  </si>
  <si>
    <t>Marshall, KY 500 kV Sub--Install DTL Mux</t>
  </si>
  <si>
    <t>Lynn Grove MW Rpt Sta--Install DTL Mux</t>
  </si>
  <si>
    <t>Milan -Weakly 161 kV Tl--Upgrade Milan -Rutherford Section</t>
  </si>
  <si>
    <t>Plug to get back to budget</t>
  </si>
  <si>
    <t>Increase in Transformer Costs, including three spare bushings</t>
  </si>
  <si>
    <t>Increase in Land -TVA Easement</t>
  </si>
  <si>
    <t>Increase in Environmental Permitting</t>
  </si>
  <si>
    <t xml:space="preserve">FREIGHT </t>
  </si>
  <si>
    <t>SITE PREPARATION/IMPROVEMENTS - M</t>
  </si>
  <si>
    <t>BACKCHARGE</t>
  </si>
  <si>
    <t>Decrease  Interest During Construction</t>
  </si>
  <si>
    <t>Backing out Acceleration Scope Change</t>
  </si>
  <si>
    <t>Change in Forecast Not a Scope Change</t>
  </si>
  <si>
    <t>02001</t>
  </si>
  <si>
    <t>Move PCE From Prime to SJ100</t>
  </si>
  <si>
    <t>02002</t>
  </si>
  <si>
    <t>BUS Duct Installation</t>
  </si>
  <si>
    <t>03003</t>
  </si>
  <si>
    <t>Equipment Forecast</t>
  </si>
  <si>
    <t>04001</t>
  </si>
  <si>
    <t>December 99 Forecast</t>
  </si>
  <si>
    <t>ENGINEERING REWORK</t>
  </si>
  <si>
    <t>CHANGE ORDERS</t>
  </si>
  <si>
    <t>BACKCHARGES</t>
  </si>
  <si>
    <t>As of 1/13/00</t>
  </si>
  <si>
    <t>#14</t>
  </si>
  <si>
    <t>Premium time due to delay of Air Permit from Sept 1 to Sept 28</t>
  </si>
  <si>
    <t>Letter From Gavin</t>
  </si>
  <si>
    <t xml:space="preserve">Variance </t>
  </si>
  <si>
    <t>Report  12/31/99</t>
  </si>
  <si>
    <t>SITE RELOCATION</t>
  </si>
  <si>
    <t>Relocation</t>
  </si>
  <si>
    <t>Equipment F/C to Contingency</t>
  </si>
  <si>
    <t>POWER INTERCONNECTION -Com Ed</t>
  </si>
  <si>
    <t>Decrease in IDC</t>
  </si>
  <si>
    <t>Increase in Power Interconnect cost associated with Com Ed</t>
  </si>
  <si>
    <t>Total Change Orders waiting approval</t>
  </si>
  <si>
    <t>03001</t>
  </si>
  <si>
    <t>Increase Cost for Bus Duct</t>
  </si>
  <si>
    <t>03002</t>
  </si>
  <si>
    <t>Reduction in Cost for Switchgear</t>
  </si>
  <si>
    <t>General Engr Forecast</t>
  </si>
  <si>
    <t>03004</t>
  </si>
  <si>
    <t>General Variance</t>
  </si>
  <si>
    <t>September General Forecast</t>
  </si>
  <si>
    <t>04002</t>
  </si>
  <si>
    <t>Revise Target Unit Rate</t>
  </si>
  <si>
    <t>04006</t>
  </si>
  <si>
    <t>October General Forecast</t>
  </si>
  <si>
    <t xml:space="preserve">Increase Development , including GLC consulting costs </t>
  </si>
  <si>
    <r>
      <t xml:space="preserve">Acceleration Trend - </t>
    </r>
    <r>
      <rPr>
        <sz val="10"/>
        <color indexed="10"/>
        <rFont val="Arial"/>
        <family val="2"/>
      </rPr>
      <t>received 1/27/00, not approved</t>
    </r>
  </si>
  <si>
    <t>Mobilization Fee OEC</t>
  </si>
  <si>
    <t>Reimbursable Cost OEC</t>
  </si>
  <si>
    <t>Reimbursable Costs OEC</t>
  </si>
  <si>
    <t>Reimbursble Costs OEC</t>
  </si>
  <si>
    <t>TOTAL ILLINOIS PLANT COSTS</t>
  </si>
  <si>
    <t>PROJECT MANAGEMENT</t>
  </si>
  <si>
    <t>PROJECT INDIRECTS</t>
  </si>
  <si>
    <t>A/G PIPING</t>
  </si>
  <si>
    <t>A/G ELECTRICAL</t>
  </si>
  <si>
    <t>EQUIPMENT</t>
  </si>
  <si>
    <t>UNDERGROUND ELECTRICAL - L &amp; S</t>
  </si>
  <si>
    <t>UNDERGROUND PIPING - L &amp; S</t>
  </si>
  <si>
    <t>GROUT - L</t>
  </si>
  <si>
    <t>BUILDINGS/ENCLOSURES -S</t>
  </si>
  <si>
    <t>A/G PIPING - L &amp; S</t>
  </si>
  <si>
    <t>A/G ELECTRICAL - L &amp; S</t>
  </si>
  <si>
    <t>GROUT - M</t>
  </si>
  <si>
    <t>CONCRETE - L &amp; S</t>
  </si>
  <si>
    <t>PLANT STARTUP - L, M &amp; S</t>
  </si>
  <si>
    <t>MECHANICAL EQUIPMENT - L &amp; S</t>
  </si>
  <si>
    <t>INSTRUMENTATION - L &amp; S</t>
  </si>
  <si>
    <t>PLANT STARTUP - L &amp; S</t>
  </si>
  <si>
    <t>GROUT - L &amp; S</t>
  </si>
  <si>
    <t>Plug to get back to Nepco's Forecast (In some cases Actuals are higher than forecast)</t>
  </si>
  <si>
    <t xml:space="preserve">STRUCTURAL STEEL - L </t>
  </si>
  <si>
    <t>44A26</t>
  </si>
  <si>
    <t>SHELBY</t>
  </si>
  <si>
    <t>Grand Total Including SHELBY</t>
  </si>
  <si>
    <t>Grand Total Including Taxes</t>
  </si>
  <si>
    <t>Shelby, TN 500KV SS - Install 500 161 KV Transformer Bank#2</t>
  </si>
  <si>
    <t>Cordova-Shelby 500KV TL  Reterminate at Shelby</t>
  </si>
  <si>
    <t>Revision # 54</t>
  </si>
  <si>
    <t xml:space="preserve"> As of 4/14/00</t>
  </si>
  <si>
    <t>Revision # 56</t>
  </si>
  <si>
    <t xml:space="preserve"> As of 4/28/00</t>
  </si>
  <si>
    <r>
      <t xml:space="preserve">SWAG - Acceleration Trend calculations- </t>
    </r>
    <r>
      <rPr>
        <sz val="10"/>
        <color indexed="10"/>
        <rFont val="Arial"/>
        <family val="2"/>
      </rPr>
      <t>not approved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</si>
</sst>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3">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quot;$&quot;#,##0"/>
    <numFmt numFmtId="166" formatCode="mmmm\ d\,\ yyyy"/>
    <numFmt numFmtId="168" formatCode="_(&quot;$&quot;* #,##0_);_(&quot;$&quot;* \(#,##0\);_(&quot;$&quot;* &quot;-&quot;??_);_(@_)"/>
    <numFmt numFmtId="169" formatCode="0.0%"/>
    <numFmt numFmtId="174" formatCode="_(* #,##0.0000_);_(* \(#,##0.0000\);_(* &quot;-&quot;??_);_(@_)"/>
    <numFmt numFmtId="179" formatCode="0.000"/>
    <numFmt numFmtId="180" formatCode="000"/>
    <numFmt numFmtId="185" formatCode="_(&quot;R$&quot;* #,##0_);_(&quot;R$&quot;* \(#,##0\);_(&quot;R$&quot;* &quot;-&quot;_);_(@_)"/>
    <numFmt numFmtId="186" formatCode="_(&quot;R$&quot;* #,##0.00_);_(&quot;R$&quot;* \(#,##0.00\);_(&quot;R$&quot;* &quot;-&quot;??_);_(@_)"/>
    <numFmt numFmtId="199" formatCode="&quot;$&quot;#,##0;[Red]\-&quot;$&quot;#,##0"/>
    <numFmt numFmtId="201" formatCode="&quot;$&quot;#,##0.00;[Red]\-&quot;$&quot;#,##0.00"/>
    <numFmt numFmtId="202" formatCode="_-&quot;$&quot;* #,##0_-;\-&quot;$&quot;* #,##0_-;_-&quot;$&quot;* &quot;-&quot;_-;_-@_-"/>
    <numFmt numFmtId="203" formatCode="_-* #,##0_-;\-* #,##0_-;_-* &quot;-&quot;_-;_-@_-"/>
    <numFmt numFmtId="204" formatCode="_-&quot;$&quot;* #,##0.00_-;\-&quot;$&quot;* #,##0.00_-;_-&quot;$&quot;* &quot;-&quot;??_-;_-@_-"/>
    <numFmt numFmtId="205" formatCode="_-* #,##0.00_-;\-* #,##0.00_-;_-* &quot;-&quot;??_-;_-@_-"/>
    <numFmt numFmtId="233" formatCode="#,##0.0_);\(#,##0.0\)"/>
    <numFmt numFmtId="247" formatCode="m\-d\-yy"/>
    <numFmt numFmtId="249" formatCode="General_)"/>
    <numFmt numFmtId="250" formatCode="0.00_)"/>
    <numFmt numFmtId="257" formatCode="0_);\(0\)"/>
    <numFmt numFmtId="259" formatCode="00\-000"/>
    <numFmt numFmtId="261" formatCode="#,###"/>
    <numFmt numFmtId="268" formatCode="#.##%"/>
    <numFmt numFmtId="269" formatCode="#.#%"/>
    <numFmt numFmtId="270" formatCode="#.0%"/>
    <numFmt numFmtId="271" formatCode="#,###.0#"/>
    <numFmt numFmtId="272" formatCode="#,###.#"/>
    <numFmt numFmtId="273" formatCode="0000\ \-\ 0000"/>
    <numFmt numFmtId="279" formatCode="&quot;£&quot;#,##0;[Red]\-&quot;£&quot;#,##0"/>
    <numFmt numFmtId="281" formatCode="&quot;£&quot;#,##0.00;[Red]\-&quot;£&quot;#,##0.00"/>
    <numFmt numFmtId="282" formatCode="_-&quot;£&quot;* #,##0_-;\-&quot;£&quot;* #,##0_-;_-&quot;£&quot;* &quot;-&quot;_-;_-@_-"/>
    <numFmt numFmtId="283" formatCode="_-&quot;£&quot;* #,##0.00_-;\-&quot;£&quot;* #,##0.00_-;_-&quot;£&quot;* &quot;-&quot;??_-;_-@_-"/>
    <numFmt numFmtId="285" formatCode="#,##0&quot;£&quot;_);\(#,##0&quot;£&quot;\)"/>
    <numFmt numFmtId="286" formatCode="#,##0&quot;£&quot;_);[Red]\(#,##0&quot;£&quot;\)"/>
    <numFmt numFmtId="287" formatCode="#,##0.00&quot;£&quot;_);\(#,##0.00&quot;£&quot;\)"/>
    <numFmt numFmtId="290" formatCode="_ * #,##0_)_£_ ;_ * \(#,##0\)_£_ ;_ * &quot;-&quot;_)_£_ ;_ @_ "/>
    <numFmt numFmtId="297" formatCode="_-* #,##0\ &quot;F&quot;_-;\-* #,##0\ &quot;F&quot;_-;_-* &quot;-&quot;\ &quot;F&quot;_-;_-@_-"/>
    <numFmt numFmtId="298" formatCode="_-* #,##0\ _F_-;\-* #,##0\ _F_-;_-* &quot;-&quot;\ _F_-;_-@_-"/>
    <numFmt numFmtId="299" formatCode="_-* #,##0.00\ &quot;F&quot;_-;\-* #,##0.00\ &quot;F&quot;_-;_-* &quot;-&quot;??\ &quot;F&quot;_-;_-@_-"/>
    <numFmt numFmtId="300" formatCode="_-* #,##0.00\ _F_-;\-* #,##0.00\ _F_-;_-* &quot;-&quot;??\ _F_-;_-@_-"/>
    <numFmt numFmtId="302" formatCode="d/m/yy\ h:mm"/>
    <numFmt numFmtId="309" formatCode="#,##0.00&quot; $&quot;;\-#,##0.00&quot; $&quot;"/>
    <numFmt numFmtId="310" formatCode="#,##0.00&quot; $&quot;;[Red]\-#,##0.00&quot; $&quot;"/>
    <numFmt numFmtId="314" formatCode="mmm\.yy"/>
    <numFmt numFmtId="315" formatCode="d\.m\.yy\ h:mm"/>
    <numFmt numFmtId="316" formatCode="0&quot;  &quot;"/>
    <numFmt numFmtId="317" formatCode="0.00&quot;  &quot;"/>
    <numFmt numFmtId="318" formatCode="0.0&quot;  &quot;"/>
    <numFmt numFmtId="321" formatCode="0.00000&quot;  &quot;"/>
    <numFmt numFmtId="322" formatCode="#,##0.000_);[Red]\(#,##0.000\)"/>
    <numFmt numFmtId="324" formatCode="_-* #,##0.0_-;\-* #,##0.0_-;_-* &quot;-&quot;??_-;_-@_-"/>
    <numFmt numFmtId="326" formatCode=";;;"/>
    <numFmt numFmtId="329" formatCode="#,##0.0000_);[Red]\(#,##0.0000\)"/>
    <numFmt numFmtId="341" formatCode="#,##0.000_);\(#,##0.000\)"/>
    <numFmt numFmtId="342" formatCode="&quot;$&quot;#,##0.0;[Red]\(&quot;$&quot;#,##0.0\)"/>
    <numFmt numFmtId="343" formatCode="#,##0.0;[Red]\(#,##0.0\)"/>
    <numFmt numFmtId="344" formatCode="#,##0.00_);\(#,##0.0\)"/>
    <numFmt numFmtId="345" formatCode="#,##0.0_);[Red]\(#,##0\)"/>
    <numFmt numFmtId="348" formatCode="0.0%_);[Red]\(0.0%\)"/>
    <numFmt numFmtId="349" formatCode="#,##0_);[Red]\(#,##0,\)*1000"/>
    <numFmt numFmtId="350" formatCode="#,##0.0_);[Red]\(#,##0.0\)*1000"/>
    <numFmt numFmtId="351" formatCode="#,##0.00_);[Red]\(#,##0.00\)*1000"/>
    <numFmt numFmtId="353" formatCode="0%\);[Red]\(0%\)"/>
    <numFmt numFmtId="354" formatCode="0%_);[Red]\(0%\)"/>
    <numFmt numFmtId="355" formatCode="&quot;$&quot;0.0"/>
  </numFmts>
  <fonts count="95">
    <font>
      <sz val="10"/>
      <name val="Arial"/>
    </font>
    <font>
      <sz val="10"/>
      <name val="Arial"/>
    </font>
    <font>
      <b/>
      <sz val="12"/>
      <name val="Arial"/>
      <family val="2"/>
    </font>
    <font>
      <sz val="12"/>
      <name val="Arial"/>
      <family val="2"/>
    </font>
    <font>
      <b/>
      <sz val="14"/>
      <name val="Arial"/>
      <family val="2"/>
    </font>
    <font>
      <sz val="10"/>
      <name val="Arial"/>
      <family val="2"/>
    </font>
    <font>
      <b/>
      <sz val="10"/>
      <name val="Arial"/>
      <family val="2"/>
    </font>
    <font>
      <sz val="8"/>
      <name val="Arial"/>
      <family val="2"/>
    </font>
    <font>
      <sz val="14"/>
      <name val="Arial"/>
      <family val="2"/>
    </font>
    <font>
      <sz val="10"/>
      <color indexed="12"/>
      <name val="Arial"/>
      <family val="2"/>
    </font>
    <font>
      <b/>
      <sz val="10"/>
      <color indexed="12"/>
      <name val="Arial"/>
      <family val="2"/>
    </font>
    <font>
      <sz val="12"/>
      <color indexed="12"/>
      <name val="Arial"/>
      <family val="2"/>
    </font>
    <font>
      <b/>
      <sz val="12"/>
      <color indexed="12"/>
      <name val="Arial"/>
      <family val="2"/>
    </font>
    <font>
      <sz val="7"/>
      <name val="Arial"/>
      <family val="2"/>
    </font>
    <font>
      <b/>
      <u/>
      <sz val="10"/>
      <name val="Arial"/>
      <family val="2"/>
    </font>
    <font>
      <sz val="8"/>
      <color indexed="81"/>
      <name val="Tahoma"/>
    </font>
    <font>
      <b/>
      <sz val="8"/>
      <color indexed="81"/>
      <name val="Tahoma"/>
    </font>
    <font>
      <b/>
      <sz val="10"/>
      <color indexed="10"/>
      <name val="Arial"/>
      <family val="2"/>
    </font>
    <font>
      <b/>
      <sz val="12"/>
      <color indexed="81"/>
      <name val="Tahoma"/>
      <family val="2"/>
    </font>
    <font>
      <sz val="12"/>
      <color indexed="81"/>
      <name val="Tahoma"/>
      <family val="2"/>
    </font>
    <font>
      <sz val="10"/>
      <color indexed="10"/>
      <name val="Arial"/>
      <family val="2"/>
    </font>
    <font>
      <b/>
      <sz val="10"/>
      <name val="Arial"/>
    </font>
    <font>
      <sz val="9"/>
      <name val="Arial"/>
      <family val="2"/>
    </font>
    <font>
      <b/>
      <sz val="9"/>
      <name val="Arial"/>
      <family val="2"/>
    </font>
    <font>
      <sz val="10"/>
      <name val="Helv"/>
      <family val="2"/>
    </font>
    <font>
      <sz val="12"/>
      <name val="???"/>
      <family val="1"/>
      <charset val="129"/>
    </font>
    <font>
      <sz val="12"/>
      <name val="???"/>
      <family val="3"/>
      <charset val="129"/>
    </font>
    <font>
      <sz val="10"/>
      <name val="???"/>
      <family val="3"/>
      <charset val="129"/>
    </font>
    <font>
      <sz val="11"/>
      <name val="??"/>
      <family val="3"/>
      <charset val="129"/>
    </font>
    <font>
      <sz val="10"/>
      <name val="MS Sans Serif"/>
      <family val="2"/>
    </font>
    <font>
      <sz val="11"/>
      <name val="???"/>
      <family val="1"/>
      <charset val="129"/>
    </font>
    <font>
      <sz val="11"/>
      <name val="???"/>
      <family val="3"/>
      <charset val="129"/>
    </font>
    <font>
      <sz val="10"/>
      <name val="Arial Narrow"/>
      <family val="2"/>
    </font>
    <font>
      <sz val="10"/>
      <name val="MS Sans Serif"/>
    </font>
    <font>
      <sz val="10"/>
      <name val="Geneva"/>
      <family val="2"/>
    </font>
    <font>
      <sz val="10"/>
      <name val="Book Antiqua"/>
      <family val="1"/>
    </font>
    <font>
      <sz val="10"/>
      <name val="Times New Roman"/>
    </font>
    <font>
      <sz val="10"/>
      <name val="Times New Roman"/>
      <family val="1"/>
    </font>
    <font>
      <sz val="10"/>
      <name val="Advisor SSi"/>
      <family val="1"/>
    </font>
    <font>
      <sz val="10"/>
      <name val="Helv"/>
    </font>
    <font>
      <b/>
      <u/>
      <sz val="11"/>
      <color indexed="37"/>
      <name val="Arial"/>
      <family val="2"/>
    </font>
    <font>
      <sz val="7"/>
      <name val="Small Fonts"/>
    </font>
    <font>
      <b/>
      <i/>
      <sz val="16"/>
      <name val="Helv"/>
    </font>
    <font>
      <sz val="10"/>
      <name val="Courier"/>
    </font>
    <font>
      <sz val="12"/>
      <name val="Helv"/>
      <family val="2"/>
    </font>
    <font>
      <sz val="12"/>
      <name val="Courier"/>
      <family val="3"/>
    </font>
    <font>
      <sz val="8"/>
      <name val="Courier"/>
      <family val="3"/>
    </font>
    <font>
      <sz val="8"/>
      <name val="Arial"/>
    </font>
    <font>
      <sz val="8"/>
      <name val="Arial"/>
    </font>
    <font>
      <sz val="12"/>
      <name val="Times New Roman"/>
      <family val="1"/>
    </font>
    <font>
      <sz val="10"/>
      <name val="Courier"/>
      <family val="3"/>
    </font>
    <font>
      <sz val="10"/>
      <color indexed="8"/>
      <name val="MS Sans Serif"/>
    </font>
    <font>
      <sz val="10"/>
      <name val="Univers (W1)"/>
    </font>
    <font>
      <sz val="12"/>
      <name val="Times New Roman"/>
    </font>
    <font>
      <sz val="10"/>
      <name val="Univers (W1)"/>
      <family val="2"/>
    </font>
    <font>
      <b/>
      <sz val="14"/>
      <name val="Times New Roman"/>
      <family val="1"/>
    </font>
    <font>
      <b/>
      <sz val="14"/>
      <name val="Times New Roman"/>
    </font>
    <font>
      <sz val="10"/>
      <name val="Geneva"/>
    </font>
    <font>
      <sz val="14"/>
      <name val="AngsanaUPC"/>
      <family val="1"/>
    </font>
    <font>
      <sz val="9"/>
      <name val="Arial Narrow"/>
      <family val="2"/>
    </font>
    <font>
      <sz val="7"/>
      <name val="Arial"/>
    </font>
    <font>
      <sz val="10"/>
      <name val="Times"/>
    </font>
    <font>
      <sz val="12"/>
      <name val="EucrosiaUPC"/>
      <family val="1"/>
    </font>
    <font>
      <sz val="14"/>
      <name val="CordiaUPC"/>
      <family val="1"/>
    </font>
    <font>
      <sz val="14"/>
      <name val="FreesiaUPC"/>
      <family val="1"/>
    </font>
    <font>
      <sz val="12"/>
      <name val="PathWay Access 3.0"/>
      <family val="3"/>
    </font>
    <font>
      <sz val="12"/>
      <name val="Helv"/>
    </font>
    <font>
      <sz val="8.5"/>
      <name val="MS Sans Serif"/>
      <family val="2"/>
    </font>
    <font>
      <sz val="9"/>
      <name val="Arial"/>
    </font>
    <font>
      <sz val="11"/>
      <name val="Book Antiqua"/>
      <family val="1"/>
    </font>
    <font>
      <sz val="8"/>
      <name val="Tms Rmn"/>
    </font>
    <font>
      <sz val="10"/>
      <name val="Tms Rmn"/>
    </font>
    <font>
      <sz val="10"/>
      <name val="TimesNewRomanPS"/>
      <family val="1"/>
    </font>
    <font>
      <sz val="8"/>
      <name val="Times New Roman"/>
      <family val="1"/>
    </font>
    <font>
      <sz val="8"/>
      <name val="Times New Roman"/>
    </font>
    <font>
      <sz val="8"/>
      <color indexed="12"/>
      <name val="Arial"/>
      <family val="2"/>
    </font>
    <font>
      <b/>
      <sz val="36"/>
      <name val="Arial"/>
      <family val="2"/>
    </font>
    <font>
      <b/>
      <sz val="20"/>
      <name val="Arial"/>
      <family val="2"/>
    </font>
    <font>
      <b/>
      <sz val="16"/>
      <name val="Arial"/>
      <family val="2"/>
    </font>
    <font>
      <b/>
      <sz val="10"/>
      <name val="Arial Narrow"/>
      <family val="2"/>
    </font>
    <font>
      <b/>
      <sz val="12"/>
      <color indexed="9"/>
      <name val="Arial Narrow"/>
      <family val="2"/>
    </font>
    <font>
      <b/>
      <sz val="10"/>
      <color indexed="9"/>
      <name val="Arial Narrow"/>
      <family val="2"/>
    </font>
    <font>
      <b/>
      <u/>
      <sz val="10"/>
      <name val="Arial Narrow"/>
      <family val="2"/>
    </font>
    <font>
      <u/>
      <sz val="12"/>
      <name val="Arial"/>
      <family val="2"/>
    </font>
    <font>
      <b/>
      <sz val="36"/>
      <color indexed="10"/>
      <name val="Arial Narrow"/>
      <family val="2"/>
    </font>
    <font>
      <sz val="12"/>
      <name val="Arial Narrow"/>
      <family val="2"/>
    </font>
    <font>
      <b/>
      <sz val="12"/>
      <name val="Arial Narrow"/>
      <family val="2"/>
    </font>
    <font>
      <b/>
      <sz val="12"/>
      <name val="Arial"/>
    </font>
    <font>
      <b/>
      <sz val="10"/>
      <color indexed="10"/>
      <name val="Arial Narrow"/>
      <family val="2"/>
    </font>
    <font>
      <b/>
      <sz val="12"/>
      <color indexed="10"/>
      <name val="Arial Narrow"/>
      <family val="2"/>
    </font>
    <font>
      <b/>
      <sz val="12"/>
      <color indexed="10"/>
      <name val="Arial"/>
    </font>
    <font>
      <b/>
      <sz val="12"/>
      <color indexed="10"/>
      <name val="Arial"/>
      <family val="2"/>
    </font>
    <font>
      <b/>
      <sz val="14"/>
      <color indexed="10"/>
      <name val="Arial Narrow"/>
      <family val="2"/>
    </font>
    <font>
      <b/>
      <sz val="11"/>
      <name val="Arial"/>
      <family val="2"/>
    </font>
    <font>
      <b/>
      <u/>
      <sz val="11"/>
      <name val="Arial"/>
      <family val="2"/>
    </font>
  </fonts>
  <fills count="14">
    <fill>
      <patternFill patternType="none"/>
    </fill>
    <fill>
      <patternFill patternType="gray125"/>
    </fill>
    <fill>
      <patternFill patternType="solid">
        <fgColor indexed="44"/>
        <bgColor indexed="64"/>
      </patternFill>
    </fill>
    <fill>
      <patternFill patternType="solid">
        <fgColor indexed="15"/>
        <bgColor indexed="64"/>
      </patternFill>
    </fill>
    <fill>
      <patternFill patternType="solid">
        <fgColor indexed="22"/>
        <bgColor indexed="64"/>
      </patternFill>
    </fill>
    <fill>
      <patternFill patternType="solid">
        <fgColor indexed="26"/>
        <bgColor indexed="64"/>
      </patternFill>
    </fill>
    <fill>
      <patternFill patternType="solid">
        <fgColor indexed="9"/>
        <bgColor indexed="9"/>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8"/>
        <bgColor indexed="64"/>
      </patternFill>
    </fill>
    <fill>
      <patternFill patternType="solid">
        <fgColor indexed="45"/>
        <bgColor indexed="64"/>
      </patternFill>
    </fill>
    <fill>
      <patternFill patternType="solid">
        <fgColor indexed="48"/>
        <bgColor indexed="64"/>
      </patternFill>
    </fill>
    <fill>
      <patternFill patternType="solid">
        <fgColor indexed="47"/>
        <bgColor indexed="64"/>
      </patternFill>
    </fill>
  </fills>
  <borders count="45">
    <border>
      <left/>
      <right/>
      <top/>
      <bottom/>
      <diagonal/>
    </border>
    <border>
      <left style="double">
        <color indexed="64"/>
      </left>
      <right/>
      <top/>
      <bottom style="hair">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hair">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s>
  <cellStyleXfs count="21">
    <xf numFmtId="0" fontId="0" fillId="0" borderId="0"/>
    <xf numFmtId="0" fontId="25" fillId="0" borderId="0"/>
    <xf numFmtId="247" fontId="21" fillId="2" borderId="1">
      <alignment horizontal="center" vertical="center"/>
    </xf>
    <xf numFmtId="43" fontId="1" fillId="0" borderId="0" applyFont="0" applyFill="0" applyBorder="0" applyAlignment="0" applyProtection="0"/>
    <xf numFmtId="44" fontId="1" fillId="0" borderId="0" applyFont="0" applyFill="0" applyBorder="0" applyAlignment="0" applyProtection="0"/>
    <xf numFmtId="6" fontId="28" fillId="0" borderId="0">
      <protection locked="0"/>
    </xf>
    <xf numFmtId="324" fontId="1" fillId="0" borderId="0">
      <protection locked="0"/>
    </xf>
    <xf numFmtId="38" fontId="7" fillId="4" borderId="0" applyNumberFormat="0" applyBorder="0" applyAlignment="0" applyProtection="0"/>
    <xf numFmtId="0" fontId="40" fillId="0" borderId="0" applyNumberFormat="0" applyFill="0" applyBorder="0" applyAlignment="0" applyProtection="0"/>
    <xf numFmtId="309" fontId="1" fillId="0" borderId="0">
      <protection locked="0"/>
    </xf>
    <xf numFmtId="309" fontId="1" fillId="0" borderId="0">
      <protection locked="0"/>
    </xf>
    <xf numFmtId="0" fontId="9" fillId="0" borderId="2" applyNumberFormat="0" applyFill="0" applyAlignment="0" applyProtection="0"/>
    <xf numFmtId="10" fontId="7" fillId="5" borderId="3" applyNumberFormat="0" applyBorder="0" applyAlignment="0" applyProtection="0"/>
    <xf numFmtId="37" fontId="41" fillId="0" borderId="0"/>
    <xf numFmtId="250" fontId="42" fillId="0" borderId="0"/>
    <xf numFmtId="9" fontId="1" fillId="0" borderId="0" applyFont="0" applyFill="0" applyBorder="0" applyAlignment="0" applyProtection="0"/>
    <xf numFmtId="10" fontId="1" fillId="0" borderId="0" applyFont="0" applyFill="0" applyBorder="0" applyAlignment="0" applyProtection="0"/>
    <xf numFmtId="309" fontId="1" fillId="0" borderId="5">
      <protection locked="0"/>
    </xf>
    <xf numFmtId="37" fontId="7" fillId="7" borderId="0" applyNumberFormat="0" applyBorder="0" applyAlignment="0" applyProtection="0"/>
    <xf numFmtId="37" fontId="47" fillId="0" borderId="0"/>
    <xf numFmtId="3" fontId="75" fillId="0" borderId="2" applyProtection="0"/>
  </cellStyleXfs>
  <cellXfs count="496">
    <xf numFmtId="0" fontId="0" fillId="0" borderId="0" xfId="0"/>
    <xf numFmtId="0" fontId="3" fillId="0" borderId="0" xfId="0" applyFont="1" applyFill="1" applyBorder="1"/>
    <xf numFmtId="0" fontId="2" fillId="0" borderId="0" xfId="0" applyFont="1" applyFill="1" applyBorder="1" applyAlignment="1">
      <alignment horizontal="right" vertical="center"/>
    </xf>
    <xf numFmtId="0" fontId="2" fillId="7" borderId="0" xfId="0" applyFont="1" applyFill="1" applyBorder="1"/>
    <xf numFmtId="0" fontId="5" fillId="0" borderId="0" xfId="0" applyFont="1"/>
    <xf numFmtId="0" fontId="5" fillId="0" borderId="0" xfId="0" applyFont="1" applyAlignment="1">
      <alignment horizontal="center"/>
    </xf>
    <xf numFmtId="164" fontId="5" fillId="0" borderId="0" xfId="3" applyNumberFormat="1" applyFont="1"/>
    <xf numFmtId="164" fontId="6" fillId="0" borderId="0" xfId="3" applyNumberFormat="1" applyFont="1" applyAlignment="1">
      <alignment horizontal="center"/>
    </xf>
    <xf numFmtId="0" fontId="6" fillId="0" borderId="0" xfId="0" applyFont="1" applyAlignment="1">
      <alignment horizontal="center"/>
    </xf>
    <xf numFmtId="164" fontId="6" fillId="0" borderId="0" xfId="3" applyNumberFormat="1" applyFont="1"/>
    <xf numFmtId="164" fontId="6" fillId="0" borderId="0" xfId="3" applyNumberFormat="1" applyFont="1" applyBorder="1"/>
    <xf numFmtId="0" fontId="5" fillId="0" borderId="0" xfId="0" applyFont="1" applyBorder="1"/>
    <xf numFmtId="164" fontId="5" fillId="0" borderId="0" xfId="3" applyNumberFormat="1" applyFont="1" applyBorder="1"/>
    <xf numFmtId="164" fontId="6" fillId="7" borderId="0" xfId="3" applyNumberFormat="1" applyFont="1" applyFill="1"/>
    <xf numFmtId="0" fontId="5" fillId="0" borderId="6" xfId="0" applyFont="1" applyFill="1" applyBorder="1"/>
    <xf numFmtId="0" fontId="5" fillId="0" borderId="0" xfId="0" applyFont="1" applyFill="1"/>
    <xf numFmtId="164" fontId="6" fillId="0" borderId="0" xfId="3" applyNumberFormat="1" applyFont="1" applyFill="1"/>
    <xf numFmtId="0" fontId="5" fillId="0" borderId="0" xfId="0" applyFont="1" applyFill="1" applyBorder="1" applyAlignment="1">
      <alignment vertical="center"/>
    </xf>
    <xf numFmtId="0" fontId="3" fillId="0" borderId="0" xfId="0" applyFont="1"/>
    <xf numFmtId="0" fontId="2" fillId="0" borderId="0" xfId="0" applyFont="1" applyFill="1" applyBorder="1"/>
    <xf numFmtId="164" fontId="5" fillId="0" borderId="0" xfId="0" applyNumberFormat="1" applyFont="1"/>
    <xf numFmtId="0" fontId="6" fillId="0" borderId="0" xfId="0" applyFont="1"/>
    <xf numFmtId="164" fontId="5" fillId="0" borderId="0" xfId="3" applyNumberFormat="1" applyFont="1" applyFill="1"/>
    <xf numFmtId="166" fontId="2" fillId="0" borderId="0" xfId="3" applyNumberFormat="1" applyFont="1"/>
    <xf numFmtId="0" fontId="2" fillId="0" borderId="0" xfId="0" applyFont="1"/>
    <xf numFmtId="168" fontId="0" fillId="0" borderId="0" xfId="4" applyNumberFormat="1" applyFont="1"/>
    <xf numFmtId="0" fontId="6" fillId="0" borderId="0" xfId="0" applyFont="1" applyAlignment="1">
      <alignment horizontal="right"/>
    </xf>
    <xf numFmtId="0" fontId="6" fillId="0" borderId="7" xfId="0" applyFont="1" applyBorder="1" applyAlignment="1">
      <alignment horizontal="center"/>
    </xf>
    <xf numFmtId="14" fontId="6" fillId="0" borderId="8" xfId="0" applyNumberFormat="1" applyFont="1" applyBorder="1" applyAlignment="1">
      <alignment horizontal="center"/>
    </xf>
    <xf numFmtId="0" fontId="6" fillId="0" borderId="8" xfId="0" applyFont="1" applyBorder="1" applyAlignment="1">
      <alignment horizontal="center"/>
    </xf>
    <xf numFmtId="0" fontId="0" fillId="0" borderId="0" xfId="0" applyBorder="1"/>
    <xf numFmtId="0" fontId="6" fillId="0" borderId="0" xfId="0" applyFont="1" applyBorder="1"/>
    <xf numFmtId="0" fontId="6" fillId="0" borderId="0" xfId="0" applyFont="1" applyFill="1" applyBorder="1"/>
    <xf numFmtId="0" fontId="0" fillId="0" borderId="0" xfId="0" applyFill="1"/>
    <xf numFmtId="164" fontId="4" fillId="0" borderId="0" xfId="3" applyNumberFormat="1" applyFont="1"/>
    <xf numFmtId="164" fontId="0" fillId="0" borderId="0" xfId="3" applyNumberFormat="1" applyFont="1"/>
    <xf numFmtId="164" fontId="0" fillId="0" borderId="4" xfId="3" applyNumberFormat="1" applyFont="1" applyBorder="1"/>
    <xf numFmtId="0" fontId="0" fillId="0" borderId="0" xfId="0" quotePrefix="1"/>
    <xf numFmtId="164" fontId="0" fillId="0" borderId="0" xfId="0" applyNumberFormat="1"/>
    <xf numFmtId="164" fontId="6" fillId="0" borderId="0" xfId="0" applyNumberFormat="1" applyFont="1"/>
    <xf numFmtId="164" fontId="0" fillId="0" borderId="0" xfId="3" applyNumberFormat="1" applyFont="1" applyFill="1"/>
    <xf numFmtId="164" fontId="0" fillId="0" borderId="4" xfId="3" applyNumberFormat="1" applyFont="1" applyFill="1" applyBorder="1"/>
    <xf numFmtId="164" fontId="0" fillId="0" borderId="0" xfId="0" applyNumberFormat="1" applyFill="1"/>
    <xf numFmtId="0" fontId="8" fillId="0" borderId="0" xfId="0" applyFont="1"/>
    <xf numFmtId="164" fontId="0" fillId="0" borderId="0" xfId="3" quotePrefix="1" applyNumberFormat="1" applyFont="1" applyFill="1" applyAlignment="1">
      <alignment horizontal="right"/>
    </xf>
    <xf numFmtId="164" fontId="6" fillId="0" borderId="5" xfId="0" applyNumberFormat="1" applyFont="1" applyBorder="1"/>
    <xf numFmtId="164" fontId="5" fillId="0" borderId="0" xfId="0" applyNumberFormat="1" applyFont="1" applyBorder="1"/>
    <xf numFmtId="164" fontId="6" fillId="0" borderId="9" xfId="0" applyNumberFormat="1" applyFont="1" applyBorder="1"/>
    <xf numFmtId="164" fontId="6" fillId="0" borderId="4" xfId="0" applyNumberFormat="1" applyFont="1" applyBorder="1"/>
    <xf numFmtId="0" fontId="0" fillId="0" borderId="0" xfId="0" applyAlignment="1">
      <alignment horizontal="center"/>
    </xf>
    <xf numFmtId="164" fontId="0" fillId="0" borderId="4" xfId="0" applyNumberFormat="1" applyBorder="1"/>
    <xf numFmtId="164" fontId="0" fillId="0" borderId="0" xfId="3" applyNumberFormat="1" applyFont="1" applyBorder="1"/>
    <xf numFmtId="164" fontId="0" fillId="0" borderId="0" xfId="0" applyNumberFormat="1" applyBorder="1"/>
    <xf numFmtId="14" fontId="6" fillId="0" borderId="8" xfId="0" quotePrefix="1" applyNumberFormat="1" applyFont="1" applyBorder="1" applyAlignment="1">
      <alignment horizontal="center"/>
    </xf>
    <xf numFmtId="0" fontId="6" fillId="7" borderId="0" xfId="0" applyFont="1" applyFill="1" applyBorder="1"/>
    <xf numFmtId="0" fontId="6" fillId="0" borderId="0" xfId="0" applyFont="1" applyFill="1" applyBorder="1" applyAlignment="1">
      <alignment horizontal="right" vertical="center"/>
    </xf>
    <xf numFmtId="0" fontId="6" fillId="0" borderId="6" xfId="0" applyFont="1" applyFill="1" applyBorder="1" applyAlignment="1">
      <alignment vertical="center"/>
    </xf>
    <xf numFmtId="0" fontId="5" fillId="0" borderId="6" xfId="0" quotePrefix="1" applyFont="1" applyFill="1" applyBorder="1" applyAlignment="1">
      <alignment horizontal="left" vertical="center"/>
    </xf>
    <xf numFmtId="0" fontId="6" fillId="0" borderId="0" xfId="0" applyFont="1" applyFill="1" applyBorder="1" applyAlignment="1">
      <alignment vertical="center"/>
    </xf>
    <xf numFmtId="165" fontId="5" fillId="0" borderId="6" xfId="15" quotePrefix="1" applyNumberFormat="1" applyFont="1" applyFill="1" applyBorder="1" applyAlignment="1">
      <alignment horizontal="left" vertical="center"/>
    </xf>
    <xf numFmtId="0" fontId="5" fillId="0" borderId="0" xfId="0" applyFont="1" applyFill="1" applyBorder="1" applyAlignment="1">
      <alignment horizontal="left" vertical="center"/>
    </xf>
    <xf numFmtId="0" fontId="5" fillId="0" borderId="6" xfId="0" applyFont="1" applyFill="1" applyBorder="1" applyAlignment="1">
      <alignment vertical="center"/>
    </xf>
    <xf numFmtId="0" fontId="6" fillId="0" borderId="6" xfId="0" applyFont="1" applyFill="1" applyBorder="1" applyAlignment="1">
      <alignment horizontal="left" vertical="center"/>
    </xf>
    <xf numFmtId="0" fontId="6" fillId="7" borderId="0" xfId="0" applyFont="1" applyFill="1" applyBorder="1" applyAlignment="1">
      <alignment vertical="center"/>
    </xf>
    <xf numFmtId="164" fontId="10" fillId="0" borderId="0" xfId="3" applyNumberFormat="1" applyFont="1" applyAlignment="1">
      <alignment horizontal="center"/>
    </xf>
    <xf numFmtId="164" fontId="9" fillId="0" borderId="0" xfId="3" applyNumberFormat="1" applyFont="1" applyFill="1"/>
    <xf numFmtId="0" fontId="2" fillId="7" borderId="6" xfId="0" quotePrefix="1" applyFont="1" applyFill="1" applyBorder="1" applyAlignment="1">
      <alignment horizontal="left" vertical="center"/>
    </xf>
    <xf numFmtId="0" fontId="3" fillId="0" borderId="0" xfId="0" applyFont="1" applyAlignment="1">
      <alignment horizontal="center"/>
    </xf>
    <xf numFmtId="164" fontId="3" fillId="0" borderId="0" xfId="3" applyNumberFormat="1" applyFont="1"/>
    <xf numFmtId="164" fontId="11" fillId="0" borderId="0" xfId="3" applyNumberFormat="1" applyFont="1"/>
    <xf numFmtId="164" fontId="12" fillId="0" borderId="0" xfId="3" applyNumberFormat="1" applyFont="1" applyAlignment="1">
      <alignment horizontal="center"/>
    </xf>
    <xf numFmtId="164" fontId="2" fillId="0" borderId="0" xfId="3" applyNumberFormat="1" applyFont="1" applyAlignment="1">
      <alignment horizontal="center"/>
    </xf>
    <xf numFmtId="164" fontId="2" fillId="0" borderId="4" xfId="3" applyNumberFormat="1" applyFont="1" applyBorder="1" applyAlignment="1">
      <alignment horizontal="center"/>
    </xf>
    <xf numFmtId="14" fontId="12" fillId="0" borderId="4" xfId="3" applyNumberFormat="1" applyFont="1" applyBorder="1" applyAlignment="1">
      <alignment horizontal="center"/>
    </xf>
    <xf numFmtId="14" fontId="11" fillId="0" borderId="0" xfId="3" applyNumberFormat="1" applyFont="1"/>
    <xf numFmtId="14" fontId="2" fillId="0" borderId="4" xfId="3" applyNumberFormat="1" applyFont="1" applyBorder="1" applyAlignment="1">
      <alignment horizontal="center"/>
    </xf>
    <xf numFmtId="0" fontId="2" fillId="0" borderId="4" xfId="0" applyFont="1" applyBorder="1" applyAlignment="1">
      <alignment horizontal="center"/>
    </xf>
    <xf numFmtId="0" fontId="6" fillId="0" borderId="0" xfId="0" applyFont="1" applyFill="1" applyBorder="1" applyAlignment="1">
      <alignment horizontal="left" vertical="center"/>
    </xf>
    <xf numFmtId="0" fontId="2" fillId="0" borderId="0" xfId="0" applyFont="1" applyAlignment="1">
      <alignment horizontal="right"/>
    </xf>
    <xf numFmtId="164" fontId="5" fillId="0" borderId="0" xfId="0" applyNumberFormat="1" applyFont="1" applyFill="1" applyBorder="1" applyAlignment="1">
      <alignment vertical="center"/>
    </xf>
    <xf numFmtId="164" fontId="5" fillId="0" borderId="0" xfId="3" applyNumberFormat="1" applyFont="1" applyFill="1" applyBorder="1"/>
    <xf numFmtId="164" fontId="11" fillId="0" borderId="0" xfId="3" applyNumberFormat="1" applyFont="1" applyFill="1"/>
    <xf numFmtId="164" fontId="12" fillId="0" borderId="0" xfId="3" applyNumberFormat="1" applyFont="1" applyFill="1" applyAlignment="1">
      <alignment horizontal="center"/>
    </xf>
    <xf numFmtId="14" fontId="12" fillId="0" borderId="4" xfId="3" applyNumberFormat="1" applyFont="1" applyFill="1" applyBorder="1" applyAlignment="1">
      <alignment horizontal="center"/>
    </xf>
    <xf numFmtId="0" fontId="6" fillId="7" borderId="6" xfId="0" applyFont="1" applyFill="1" applyBorder="1" applyAlignment="1">
      <alignment vertical="center"/>
    </xf>
    <xf numFmtId="0" fontId="14" fillId="0" borderId="0" xfId="0" applyFont="1"/>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14" fontId="6" fillId="0" borderId="13" xfId="0" quotePrefix="1" applyNumberFormat="1" applyFont="1" applyBorder="1" applyAlignment="1">
      <alignment horizontal="center"/>
    </xf>
    <xf numFmtId="14" fontId="6" fillId="0" borderId="14" xfId="0" quotePrefix="1" applyNumberFormat="1" applyFont="1" applyBorder="1" applyAlignment="1">
      <alignment horizontal="center"/>
    </xf>
    <xf numFmtId="0" fontId="3" fillId="0" borderId="15" xfId="0" applyFont="1" applyBorder="1"/>
    <xf numFmtId="0" fontId="6" fillId="0" borderId="15" xfId="0" applyFont="1" applyFill="1" applyBorder="1" applyAlignment="1">
      <alignment vertical="center"/>
    </xf>
    <xf numFmtId="0" fontId="5" fillId="0" borderId="15" xfId="0" quotePrefix="1" applyFont="1" applyFill="1" applyBorder="1" applyAlignment="1">
      <alignment horizontal="left" vertical="center"/>
    </xf>
    <xf numFmtId="0" fontId="2" fillId="0" borderId="15" xfId="0" quotePrefix="1" applyFont="1" applyFill="1" applyBorder="1" applyAlignment="1">
      <alignment horizontal="left" vertical="center"/>
    </xf>
    <xf numFmtId="16" fontId="0" fillId="0" borderId="0" xfId="0" quotePrefix="1" applyNumberFormat="1" applyAlignment="1">
      <alignment horizontal="right"/>
    </xf>
    <xf numFmtId="49" fontId="11" fillId="0" borderId="0" xfId="3" applyNumberFormat="1" applyFont="1"/>
    <xf numFmtId="49" fontId="9" fillId="0" borderId="0" xfId="3" applyNumberFormat="1" applyFont="1"/>
    <xf numFmtId="166" fontId="10" fillId="0" borderId="0" xfId="0" applyNumberFormat="1" applyFont="1" applyAlignment="1">
      <alignment horizontal="right"/>
    </xf>
    <xf numFmtId="0" fontId="12" fillId="7" borderId="15" xfId="0" applyFont="1" applyFill="1" applyBorder="1" applyAlignment="1">
      <alignment horizontal="left" vertical="center"/>
    </xf>
    <xf numFmtId="0" fontId="5" fillId="0" borderId="0" xfId="0" quotePrefix="1" applyFont="1" applyFill="1" applyBorder="1" applyAlignment="1">
      <alignment horizontal="left" vertical="center"/>
    </xf>
    <xf numFmtId="164" fontId="5" fillId="0" borderId="9" xfId="3" applyNumberFormat="1" applyFont="1" applyBorder="1"/>
    <xf numFmtId="164" fontId="6" fillId="0" borderId="9" xfId="3" applyNumberFormat="1" applyFont="1" applyBorder="1"/>
    <xf numFmtId="164" fontId="6" fillId="0" borderId="0" xfId="3" applyNumberFormat="1" applyFont="1" applyFill="1" applyBorder="1"/>
    <xf numFmtId="0" fontId="6" fillId="0" borderId="0" xfId="0" applyFont="1" applyFill="1"/>
    <xf numFmtId="0" fontId="6" fillId="7" borderId="0" xfId="0" applyFont="1" applyFill="1"/>
    <xf numFmtId="164" fontId="13" fillId="0" borderId="0" xfId="3" applyNumberFormat="1" applyFont="1" applyAlignment="1">
      <alignment horizontal="right"/>
    </xf>
    <xf numFmtId="0" fontId="6" fillId="0" borderId="6" xfId="0" applyFont="1" applyBorder="1"/>
    <xf numFmtId="164" fontId="6" fillId="0" borderId="9" xfId="3" applyNumberFormat="1" applyFont="1" applyFill="1" applyBorder="1"/>
    <xf numFmtId="0" fontId="5" fillId="0" borderId="0" xfId="0" applyFont="1" applyFill="1" applyBorder="1"/>
    <xf numFmtId="0" fontId="5" fillId="0" borderId="0" xfId="0" applyFont="1" applyFill="1" applyBorder="1" applyAlignment="1">
      <alignment horizontal="left" vertical="center" indent="2"/>
    </xf>
    <xf numFmtId="0" fontId="6" fillId="0" borderId="6" xfId="0" applyFont="1" applyFill="1" applyBorder="1"/>
    <xf numFmtId="0" fontId="6" fillId="8" borderId="6" xfId="0" applyFont="1" applyFill="1" applyBorder="1"/>
    <xf numFmtId="0" fontId="6" fillId="8" borderId="0" xfId="0" applyFont="1" applyFill="1" applyBorder="1" applyAlignment="1">
      <alignment vertical="center"/>
    </xf>
    <xf numFmtId="0" fontId="6" fillId="8" borderId="0" xfId="0" applyFont="1" applyFill="1"/>
    <xf numFmtId="164" fontId="6" fillId="8" borderId="0" xfId="3" applyNumberFormat="1" applyFont="1" applyFill="1"/>
    <xf numFmtId="164" fontId="6" fillId="8" borderId="9" xfId="3" applyNumberFormat="1" applyFont="1" applyFill="1" applyBorder="1"/>
    <xf numFmtId="164" fontId="6" fillId="8" borderId="0" xfId="3" applyNumberFormat="1" applyFont="1" applyFill="1" applyBorder="1"/>
    <xf numFmtId="0" fontId="6" fillId="0" borderId="6" xfId="0" quotePrefix="1" applyFont="1" applyFill="1" applyBorder="1" applyAlignment="1">
      <alignment horizontal="left" vertical="center"/>
    </xf>
    <xf numFmtId="0" fontId="0" fillId="7" borderId="0" xfId="0" applyFill="1"/>
    <xf numFmtId="164" fontId="6" fillId="7" borderId="0" xfId="3" applyNumberFormat="1" applyFont="1" applyFill="1" applyBorder="1"/>
    <xf numFmtId="164" fontId="6" fillId="7" borderId="5" xfId="3" applyNumberFormat="1" applyFont="1" applyFill="1" applyBorder="1"/>
    <xf numFmtId="0" fontId="3" fillId="7" borderId="0" xfId="0" applyFont="1" applyFill="1"/>
    <xf numFmtId="0" fontId="3" fillId="7" borderId="0" xfId="0" applyFont="1" applyFill="1" applyAlignment="1">
      <alignment horizontal="center"/>
    </xf>
    <xf numFmtId="164" fontId="3" fillId="7" borderId="0" xfId="3" applyNumberFormat="1" applyFont="1" applyFill="1"/>
    <xf numFmtId="164" fontId="12" fillId="7" borderId="0" xfId="3" applyNumberFormat="1" applyFont="1" applyFill="1"/>
    <xf numFmtId="164" fontId="2" fillId="7" borderId="0" xfId="3" applyNumberFormat="1" applyFont="1" applyFill="1"/>
    <xf numFmtId="14" fontId="12" fillId="0" borderId="0" xfId="3" applyNumberFormat="1" applyFont="1" applyFill="1" applyBorder="1" applyAlignment="1">
      <alignment horizontal="center"/>
    </xf>
    <xf numFmtId="0" fontId="10" fillId="7" borderId="6" xfId="0" applyFont="1" applyFill="1" applyBorder="1" applyAlignment="1">
      <alignment horizontal="left" vertical="center"/>
    </xf>
    <xf numFmtId="0" fontId="11" fillId="0" borderId="0" xfId="0" applyFont="1"/>
    <xf numFmtId="164" fontId="12" fillId="0" borderId="4" xfId="3" applyNumberFormat="1" applyFont="1" applyBorder="1" applyAlignment="1">
      <alignment horizontal="center"/>
    </xf>
    <xf numFmtId="0" fontId="12" fillId="7" borderId="0" xfId="0" applyFont="1" applyFill="1"/>
    <xf numFmtId="0" fontId="5" fillId="7" borderId="0" xfId="0" applyFont="1" applyFill="1"/>
    <xf numFmtId="164" fontId="5" fillId="7" borderId="0" xfId="3" applyNumberFormat="1" applyFont="1" applyFill="1"/>
    <xf numFmtId="14" fontId="0" fillId="0" borderId="0" xfId="0" applyNumberFormat="1"/>
    <xf numFmtId="0" fontId="2" fillId="0" borderId="16" xfId="0" applyFont="1" applyBorder="1" applyAlignment="1">
      <alignment horizontal="center"/>
    </xf>
    <xf numFmtId="14" fontId="3" fillId="7" borderId="0" xfId="3" applyNumberFormat="1" applyFont="1" applyFill="1"/>
    <xf numFmtId="14" fontId="12" fillId="7" borderId="0" xfId="3" applyNumberFormat="1" applyFont="1" applyFill="1"/>
    <xf numFmtId="14" fontId="12" fillId="0" borderId="0" xfId="3" applyNumberFormat="1" applyFont="1" applyAlignment="1">
      <alignment horizontal="center"/>
    </xf>
    <xf numFmtId="14" fontId="12" fillId="0" borderId="0" xfId="3" applyNumberFormat="1" applyFont="1" applyFill="1" applyAlignment="1">
      <alignment horizontal="center"/>
    </xf>
    <xf numFmtId="14" fontId="5" fillId="0" borderId="0" xfId="0" applyNumberFormat="1" applyFont="1"/>
    <xf numFmtId="14" fontId="0" fillId="0" borderId="0" xfId="0" applyNumberFormat="1" applyBorder="1"/>
    <xf numFmtId="14" fontId="6" fillId="8" borderId="0" xfId="0" applyNumberFormat="1" applyFont="1" applyFill="1"/>
    <xf numFmtId="14" fontId="6" fillId="0" borderId="0" xfId="0" applyNumberFormat="1" applyFont="1"/>
    <xf numFmtId="14" fontId="6" fillId="7" borderId="0" xfId="0" applyNumberFormat="1" applyFont="1" applyFill="1"/>
    <xf numFmtId="14" fontId="6" fillId="0" borderId="0" xfId="0" applyNumberFormat="1" applyFont="1" applyBorder="1"/>
    <xf numFmtId="14" fontId="5" fillId="0" borderId="0" xfId="0" applyNumberFormat="1" applyFont="1" applyBorder="1"/>
    <xf numFmtId="14" fontId="0" fillId="0" borderId="0" xfId="0" applyNumberFormat="1" applyFill="1"/>
    <xf numFmtId="14" fontId="0" fillId="7" borderId="0" xfId="0" applyNumberFormat="1" applyFill="1"/>
    <xf numFmtId="14" fontId="5" fillId="0" borderId="0" xfId="0" applyNumberFormat="1" applyFont="1" applyAlignment="1">
      <alignment horizontal="center"/>
    </xf>
    <xf numFmtId="14" fontId="5" fillId="0" borderId="0" xfId="3" applyNumberFormat="1" applyFont="1"/>
    <xf numFmtId="14" fontId="10" fillId="0" borderId="8" xfId="0" applyNumberFormat="1" applyFont="1" applyBorder="1" applyAlignment="1">
      <alignment horizontal="center"/>
    </xf>
    <xf numFmtId="16" fontId="0" fillId="0" borderId="0" xfId="0" applyNumberFormat="1" applyAlignment="1">
      <alignment horizontal="right"/>
    </xf>
    <xf numFmtId="43" fontId="0" fillId="0" borderId="0" xfId="3" applyFont="1" applyFill="1"/>
    <xf numFmtId="14" fontId="0" fillId="0" borderId="0" xfId="0" applyNumberFormat="1" applyFill="1" applyAlignment="1">
      <alignment horizontal="right"/>
    </xf>
    <xf numFmtId="0" fontId="2" fillId="0" borderId="0" xfId="0" applyFont="1" applyBorder="1" applyAlignment="1">
      <alignment horizontal="center"/>
    </xf>
    <xf numFmtId="0" fontId="0" fillId="0" borderId="0" xfId="0" applyBorder="1" applyAlignment="1">
      <alignment horizontal="center"/>
    </xf>
    <xf numFmtId="0" fontId="6" fillId="8" borderId="0" xfId="0" applyFont="1" applyFill="1" applyAlignment="1">
      <alignment horizontal="center"/>
    </xf>
    <xf numFmtId="0" fontId="6" fillId="7" borderId="0" xfId="0" applyFont="1" applyFill="1" applyAlignment="1">
      <alignment horizontal="center"/>
    </xf>
    <xf numFmtId="0" fontId="6" fillId="0" borderId="0" xfId="0" applyFont="1" applyBorder="1" applyAlignment="1">
      <alignment horizontal="center"/>
    </xf>
    <xf numFmtId="0" fontId="5" fillId="0" borderId="0" xfId="0" applyFont="1" applyBorder="1" applyAlignment="1">
      <alignment horizontal="center"/>
    </xf>
    <xf numFmtId="0" fontId="0" fillId="7" borderId="0" xfId="0" applyFill="1" applyAlignment="1">
      <alignment horizontal="center"/>
    </xf>
    <xf numFmtId="0" fontId="6" fillId="7" borderId="6" xfId="0" applyFont="1" applyFill="1" applyBorder="1" applyAlignment="1">
      <alignment horizontal="left" vertical="center"/>
    </xf>
    <xf numFmtId="0" fontId="6" fillId="0" borderId="17" xfId="0" applyFont="1" applyBorder="1" applyAlignment="1">
      <alignment horizontal="center"/>
    </xf>
    <xf numFmtId="0" fontId="6" fillId="0" borderId="18" xfId="0" applyFont="1" applyBorder="1" applyAlignment="1">
      <alignment horizontal="center"/>
    </xf>
    <xf numFmtId="0" fontId="2" fillId="0" borderId="19"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164" fontId="6" fillId="9" borderId="9" xfId="3" applyNumberFormat="1" applyFont="1" applyFill="1" applyBorder="1"/>
    <xf numFmtId="0" fontId="6" fillId="9" borderId="0" xfId="0" applyFont="1" applyFill="1" applyBorder="1" applyAlignment="1">
      <alignment vertical="center"/>
    </xf>
    <xf numFmtId="0" fontId="6" fillId="9" borderId="0" xfId="0" applyFont="1" applyFill="1" applyBorder="1"/>
    <xf numFmtId="0" fontId="6" fillId="9" borderId="0" xfId="0" applyFont="1" applyFill="1" applyBorder="1" applyAlignment="1">
      <alignment horizontal="center"/>
    </xf>
    <xf numFmtId="14" fontId="6" fillId="9" borderId="0" xfId="0" applyNumberFormat="1" applyFont="1" applyFill="1" applyBorder="1"/>
    <xf numFmtId="164" fontId="6" fillId="9" borderId="0" xfId="3" applyNumberFormat="1" applyFont="1" applyFill="1" applyBorder="1"/>
    <xf numFmtId="0" fontId="2" fillId="0" borderId="0" xfId="0" applyFont="1" applyAlignment="1"/>
    <xf numFmtId="0" fontId="0" fillId="0" borderId="0" xfId="0" applyAlignment="1"/>
    <xf numFmtId="166" fontId="6" fillId="0" borderId="0" xfId="3" applyNumberFormat="1" applyFont="1" applyAlignment="1"/>
    <xf numFmtId="0" fontId="6" fillId="0" borderId="0" xfId="0" applyFont="1" applyAlignment="1"/>
    <xf numFmtId="0" fontId="12" fillId="0" borderId="0" xfId="0" applyFont="1" applyAlignment="1"/>
    <xf numFmtId="166" fontId="6" fillId="0" borderId="0" xfId="0" applyNumberFormat="1" applyFont="1" applyAlignment="1"/>
    <xf numFmtId="0" fontId="0" fillId="0" borderId="7" xfId="0" applyBorder="1" applyAlignment="1"/>
    <xf numFmtId="0" fontId="0" fillId="0" borderId="20" xfId="0" applyBorder="1" applyAlignment="1"/>
    <xf numFmtId="0" fontId="0" fillId="0" borderId="0" xfId="0" applyBorder="1" applyAlignment="1"/>
    <xf numFmtId="0" fontId="0" fillId="0" borderId="21" xfId="0" applyBorder="1" applyAlignment="1"/>
    <xf numFmtId="0" fontId="0" fillId="0" borderId="22" xfId="0" applyBorder="1" applyAlignment="1"/>
    <xf numFmtId="0" fontId="10" fillId="0" borderId="23" xfId="0" applyFont="1" applyBorder="1" applyAlignment="1"/>
    <xf numFmtId="168" fontId="0" fillId="0" borderId="0" xfId="4" applyNumberFormat="1" applyFont="1" applyAlignment="1"/>
    <xf numFmtId="168" fontId="6" fillId="0" borderId="23" xfId="4" applyNumberFormat="1" applyFont="1" applyBorder="1" applyAlignment="1"/>
    <xf numFmtId="168" fontId="6" fillId="0" borderId="24" xfId="4" applyNumberFormat="1" applyFont="1" applyBorder="1" applyAlignment="1"/>
    <xf numFmtId="168" fontId="6" fillId="0" borderId="25" xfId="4" applyNumberFormat="1" applyFont="1" applyBorder="1" applyAlignment="1"/>
    <xf numFmtId="169" fontId="6" fillId="0" borderId="23" xfId="15" applyNumberFormat="1" applyFont="1" applyBorder="1" applyAlignment="1"/>
    <xf numFmtId="0" fontId="0" fillId="0" borderId="23" xfId="0" applyBorder="1" applyAlignment="1"/>
    <xf numFmtId="168" fontId="0" fillId="0" borderId="23" xfId="4" applyNumberFormat="1" applyFont="1" applyBorder="1" applyAlignment="1"/>
    <xf numFmtId="168" fontId="0" fillId="0" borderId="24" xfId="4" applyNumberFormat="1" applyFont="1" applyBorder="1" applyAlignment="1"/>
    <xf numFmtId="168" fontId="0" fillId="0" borderId="25" xfId="4" applyNumberFormat="1" applyFont="1" applyBorder="1" applyAlignment="1"/>
    <xf numFmtId="169" fontId="0" fillId="0" borderId="23" xfId="15" applyNumberFormat="1" applyFont="1" applyBorder="1" applyAlignment="1"/>
    <xf numFmtId="0" fontId="0" fillId="0" borderId="8" xfId="0" applyBorder="1" applyAlignment="1"/>
    <xf numFmtId="0" fontId="0" fillId="0" borderId="13" xfId="0" applyBorder="1" applyAlignment="1"/>
    <xf numFmtId="0" fontId="0" fillId="0" borderId="14" xfId="0" applyBorder="1" applyAlignment="1"/>
    <xf numFmtId="0" fontId="6" fillId="7" borderId="7" xfId="0" applyFont="1" applyFill="1" applyBorder="1" applyAlignment="1"/>
    <xf numFmtId="0" fontId="6" fillId="0" borderId="0" xfId="0" applyFont="1" applyBorder="1" applyAlignment="1"/>
    <xf numFmtId="168" fontId="6" fillId="7" borderId="23" xfId="4" applyNumberFormat="1" applyFont="1" applyFill="1" applyBorder="1" applyAlignment="1"/>
    <xf numFmtId="168" fontId="6" fillId="0" borderId="0" xfId="4" applyNumberFormat="1" applyFont="1" applyFill="1" applyBorder="1" applyAlignment="1"/>
    <xf numFmtId="168" fontId="6" fillId="7" borderId="24" xfId="4" applyNumberFormat="1" applyFont="1" applyFill="1" applyBorder="1" applyAlignment="1"/>
    <xf numFmtId="168" fontId="6" fillId="7" borderId="25" xfId="4" applyNumberFormat="1" applyFont="1" applyFill="1" applyBorder="1" applyAlignment="1"/>
    <xf numFmtId="169" fontId="6" fillId="7" borderId="7" xfId="15" applyNumberFormat="1" applyFont="1" applyFill="1" applyBorder="1" applyAlignment="1"/>
    <xf numFmtId="0" fontId="6" fillId="7" borderId="8" xfId="0" applyFont="1" applyFill="1" applyBorder="1" applyAlignment="1"/>
    <xf numFmtId="168" fontId="6" fillId="7" borderId="8" xfId="4" applyNumberFormat="1" applyFont="1" applyFill="1" applyBorder="1" applyAlignment="1"/>
    <xf numFmtId="168" fontId="6" fillId="7" borderId="26" xfId="4" applyNumberFormat="1" applyFont="1" applyFill="1" applyBorder="1" applyAlignment="1"/>
    <xf numFmtId="168" fontId="6" fillId="0" borderId="27" xfId="4" applyNumberFormat="1" applyFont="1" applyFill="1" applyBorder="1" applyAlignment="1"/>
    <xf numFmtId="168" fontId="6" fillId="7" borderId="28" xfId="4" applyNumberFormat="1" applyFont="1" applyFill="1" applyBorder="1" applyAlignment="1"/>
    <xf numFmtId="0" fontId="0" fillId="0" borderId="29" xfId="0" applyBorder="1" applyAlignment="1"/>
    <xf numFmtId="168" fontId="6" fillId="7" borderId="30" xfId="4" applyNumberFormat="1" applyFont="1" applyFill="1" applyBorder="1" applyAlignment="1"/>
    <xf numFmtId="169" fontId="6" fillId="7" borderId="8" xfId="15" applyNumberFormat="1" applyFont="1" applyFill="1" applyBorder="1" applyAlignment="1"/>
    <xf numFmtId="0" fontId="6" fillId="0" borderId="0" xfId="0" applyFont="1" applyFill="1" applyBorder="1" applyAlignment="1"/>
    <xf numFmtId="0" fontId="0" fillId="0" borderId="0" xfId="0" applyFill="1" applyBorder="1" applyAlignment="1"/>
    <xf numFmtId="169" fontId="6" fillId="0" borderId="0" xfId="15" applyNumberFormat="1" applyFont="1" applyFill="1" applyBorder="1" applyAlignment="1"/>
    <xf numFmtId="0" fontId="0" fillId="0" borderId="0" xfId="0" applyFill="1" applyAlignment="1"/>
    <xf numFmtId="0" fontId="13" fillId="0" borderId="0" xfId="0" applyFont="1" applyAlignment="1"/>
    <xf numFmtId="0" fontId="6" fillId="0" borderId="17" xfId="0" applyFont="1" applyBorder="1" applyAlignment="1"/>
    <xf numFmtId="168" fontId="6" fillId="7" borderId="3" xfId="4" applyNumberFormat="1" applyFont="1" applyFill="1" applyBorder="1" applyAlignment="1"/>
    <xf numFmtId="168" fontId="6" fillId="7" borderId="31" xfId="4" applyNumberFormat="1" applyFont="1" applyFill="1" applyBorder="1" applyAlignment="1"/>
    <xf numFmtId="168" fontId="6" fillId="7" borderId="32" xfId="4" applyNumberFormat="1" applyFont="1" applyFill="1" applyBorder="1" applyAlignment="1"/>
    <xf numFmtId="0" fontId="6" fillId="7" borderId="3" xfId="0" applyFont="1" applyFill="1" applyBorder="1" applyAlignment="1"/>
    <xf numFmtId="0" fontId="17" fillId="0" borderId="7" xfId="0" applyFont="1" applyBorder="1" applyAlignment="1">
      <alignment horizontal="center"/>
    </xf>
    <xf numFmtId="0" fontId="10" fillId="0" borderId="0" xfId="0" applyFont="1" applyBorder="1" applyAlignment="1"/>
    <xf numFmtId="164" fontId="0" fillId="0" borderId="0" xfId="3" applyNumberFormat="1" applyFont="1" applyAlignment="1"/>
    <xf numFmtId="164" fontId="9" fillId="0" borderId="0" xfId="3" applyNumberFormat="1" applyFont="1"/>
    <xf numFmtId="43" fontId="5" fillId="0" borderId="0" xfId="3" applyNumberFormat="1" applyFont="1"/>
    <xf numFmtId="16" fontId="20" fillId="0" borderId="0" xfId="0" applyNumberFormat="1" applyFont="1" applyAlignment="1">
      <alignment horizontal="right"/>
    </xf>
    <xf numFmtId="0" fontId="20" fillId="0" borderId="0" xfId="0" applyFont="1" applyAlignment="1"/>
    <xf numFmtId="0" fontId="20" fillId="0" borderId="0" xfId="0" applyFont="1"/>
    <xf numFmtId="0" fontId="21" fillId="0" borderId="0" xfId="0" applyFont="1" applyBorder="1"/>
    <xf numFmtId="0" fontId="22" fillId="0" borderId="0" xfId="0" applyFont="1" applyBorder="1"/>
    <xf numFmtId="0" fontId="21" fillId="0" borderId="0" xfId="0" applyFont="1" applyBorder="1" applyAlignment="1">
      <alignment horizontal="right"/>
    </xf>
    <xf numFmtId="5" fontId="0" fillId="0" borderId="0" xfId="0" applyNumberFormat="1" applyFill="1" applyBorder="1"/>
    <xf numFmtId="0" fontId="6" fillId="0" borderId="0" xfId="0" applyFont="1" applyBorder="1" applyAlignment="1">
      <alignment horizontal="right"/>
    </xf>
    <xf numFmtId="0" fontId="21" fillId="0" borderId="33" xfId="0" applyFont="1" applyBorder="1"/>
    <xf numFmtId="0" fontId="22" fillId="0" borderId="33" xfId="0" applyFont="1" applyBorder="1"/>
    <xf numFmtId="0" fontId="23" fillId="0" borderId="0" xfId="0" applyFont="1" applyBorder="1"/>
    <xf numFmtId="0" fontId="22" fillId="0" borderId="0" xfId="0" applyFont="1"/>
    <xf numFmtId="0" fontId="21" fillId="0" borderId="0" xfId="0" applyFont="1" applyBorder="1" applyAlignment="1">
      <alignment horizontal="left"/>
    </xf>
    <xf numFmtId="0" fontId="6" fillId="7" borderId="6" xfId="0" applyFont="1" applyFill="1" applyBorder="1"/>
    <xf numFmtId="0" fontId="6" fillId="7" borderId="0" xfId="0" applyFont="1" applyFill="1" applyBorder="1" applyAlignment="1">
      <alignment horizontal="left" vertical="center"/>
    </xf>
    <xf numFmtId="164" fontId="6" fillId="7" borderId="9" xfId="3" applyNumberFormat="1" applyFont="1" applyFill="1" applyBorder="1"/>
    <xf numFmtId="164" fontId="0" fillId="0" borderId="4" xfId="3" applyNumberFormat="1" applyFont="1" applyBorder="1" applyAlignment="1"/>
    <xf numFmtId="0" fontId="0" fillId="0" borderId="4" xfId="0" applyBorder="1" applyAlignment="1"/>
    <xf numFmtId="0" fontId="6" fillId="0" borderId="0" xfId="0" applyFont="1" applyBorder="1" applyAlignment="1">
      <alignment horizontal="left"/>
    </xf>
    <xf numFmtId="17" fontId="0" fillId="0" borderId="0" xfId="0" applyNumberFormat="1"/>
    <xf numFmtId="10" fontId="0" fillId="0" borderId="0" xfId="15" applyNumberFormat="1" applyFont="1"/>
    <xf numFmtId="1" fontId="0" fillId="0" borderId="0" xfId="0" applyNumberFormat="1"/>
    <xf numFmtId="10" fontId="2" fillId="0" borderId="0" xfId="15" applyNumberFormat="1" applyFont="1"/>
    <xf numFmtId="0" fontId="4" fillId="0" borderId="0" xfId="0" applyFont="1"/>
    <xf numFmtId="168" fontId="20" fillId="0" borderId="0" xfId="4" applyNumberFormat="1" applyFont="1"/>
    <xf numFmtId="6" fontId="0" fillId="0" borderId="0" xfId="0" applyNumberFormat="1"/>
    <xf numFmtId="0" fontId="0" fillId="0" borderId="0" xfId="0" applyAlignment="1">
      <alignment horizontal="centerContinuous"/>
    </xf>
    <xf numFmtId="0" fontId="76" fillId="0" borderId="0" xfId="0" applyFont="1"/>
    <xf numFmtId="0" fontId="77" fillId="0" borderId="0" xfId="0" applyFont="1" applyBorder="1" applyAlignment="1">
      <alignment horizontal="left" vertical="center"/>
    </xf>
    <xf numFmtId="6" fontId="0" fillId="0" borderId="0" xfId="0" applyNumberFormat="1" applyAlignment="1">
      <alignment horizontal="centerContinuous"/>
    </xf>
    <xf numFmtId="0" fontId="78" fillId="0" borderId="0" xfId="0" applyFont="1" applyBorder="1" applyAlignment="1">
      <alignment horizontal="left" vertical="center"/>
    </xf>
    <xf numFmtId="15" fontId="79" fillId="0" borderId="34" xfId="0" applyNumberFormat="1" applyFont="1" applyBorder="1"/>
    <xf numFmtId="0" fontId="79" fillId="0" borderId="35" xfId="0" applyFont="1" applyBorder="1" applyAlignment="1">
      <alignment horizontal="centerContinuous"/>
    </xf>
    <xf numFmtId="0" fontId="79" fillId="0" borderId="36" xfId="0" applyFont="1" applyBorder="1" applyAlignment="1">
      <alignment horizontal="centerContinuous"/>
    </xf>
    <xf numFmtId="6" fontId="79" fillId="0" borderId="0" xfId="0" applyNumberFormat="1" applyFont="1" applyBorder="1" applyAlignment="1">
      <alignment horizontal="center" vertical="center" wrapText="1"/>
    </xf>
    <xf numFmtId="0" fontId="79" fillId="0" borderId="0" xfId="0" applyFont="1" applyBorder="1" applyAlignment="1">
      <alignment horizontal="center" vertical="center" wrapText="1"/>
    </xf>
    <xf numFmtId="0" fontId="79" fillId="0" borderId="0" xfId="0" applyFont="1" applyBorder="1" applyAlignment="1">
      <alignment horizontal="centerContinuous"/>
    </xf>
    <xf numFmtId="0" fontId="80" fillId="10" borderId="19" xfId="0" applyFont="1" applyFill="1" applyBorder="1" applyAlignment="1">
      <alignment horizontal="left"/>
    </xf>
    <xf numFmtId="0" fontId="81" fillId="10" borderId="18" xfId="0" applyFont="1" applyFill="1" applyBorder="1" applyAlignment="1">
      <alignment horizontal="center"/>
    </xf>
    <xf numFmtId="0" fontId="79" fillId="0" borderId="0" xfId="0" applyFont="1" applyBorder="1" applyAlignment="1">
      <alignment horizontal="center"/>
    </xf>
    <xf numFmtId="6" fontId="79" fillId="0" borderId="0" xfId="0" applyNumberFormat="1" applyFont="1" applyBorder="1" applyAlignment="1">
      <alignment horizontal="center"/>
    </xf>
    <xf numFmtId="0" fontId="32" fillId="0" borderId="10" xfId="0" applyFont="1" applyFill="1" applyBorder="1"/>
    <xf numFmtId="0" fontId="82" fillId="0" borderId="11" xfId="0" applyFont="1" applyBorder="1"/>
    <xf numFmtId="0" fontId="32" fillId="0" borderId="11" xfId="0" applyFont="1" applyBorder="1" applyAlignment="1">
      <alignment horizontal="center"/>
    </xf>
    <xf numFmtId="6" fontId="32" fillId="0" borderId="11" xfId="0" applyNumberFormat="1" applyFont="1" applyBorder="1"/>
    <xf numFmtId="6" fontId="32" fillId="0" borderId="11" xfId="0" applyNumberFormat="1" applyFont="1" applyBorder="1" applyAlignment="1">
      <alignment horizontal="right"/>
    </xf>
    <xf numFmtId="0" fontId="32" fillId="0" borderId="20" xfId="0" applyFont="1" applyBorder="1" applyAlignment="1"/>
    <xf numFmtId="0" fontId="32" fillId="0" borderId="34" xfId="0" applyFont="1" applyBorder="1"/>
    <xf numFmtId="0" fontId="32" fillId="0" borderId="24" xfId="0" applyFont="1" applyFill="1" applyBorder="1"/>
    <xf numFmtId="0" fontId="32" fillId="0" borderId="23" xfId="0" applyFont="1" applyBorder="1" applyAlignment="1">
      <alignment horizontal="center"/>
    </xf>
    <xf numFmtId="15" fontId="32" fillId="0" borderId="23" xfId="0" applyNumberFormat="1" applyFont="1" applyBorder="1" applyAlignment="1">
      <alignment horizontal="center"/>
    </xf>
    <xf numFmtId="6" fontId="32" fillId="0" borderId="23" xfId="0" applyNumberFormat="1" applyFont="1" applyBorder="1"/>
    <xf numFmtId="6" fontId="32" fillId="0" borderId="23" xfId="0" applyNumberFormat="1" applyFont="1" applyBorder="1" applyAlignment="1">
      <alignment horizontal="right"/>
    </xf>
    <xf numFmtId="0" fontId="32" fillId="0" borderId="0" xfId="0" applyFont="1" applyBorder="1" applyAlignment="1"/>
    <xf numFmtId="0" fontId="32" fillId="0" borderId="35" xfId="0" applyFont="1" applyBorder="1"/>
    <xf numFmtId="0" fontId="32" fillId="0" borderId="24" xfId="0" quotePrefix="1" applyFont="1" applyFill="1" applyBorder="1" applyAlignment="1">
      <alignment horizontal="left"/>
    </xf>
    <xf numFmtId="0" fontId="32" fillId="0" borderId="23" xfId="0" quotePrefix="1" applyFont="1" applyBorder="1" applyAlignment="1">
      <alignment horizontal="left"/>
    </xf>
    <xf numFmtId="0" fontId="32" fillId="0" borderId="13" xfId="0" applyFont="1" applyFill="1" applyBorder="1"/>
    <xf numFmtId="0" fontId="32" fillId="0" borderId="8" xfId="0" applyFont="1" applyBorder="1"/>
    <xf numFmtId="0" fontId="32" fillId="0" borderId="8" xfId="0" applyFont="1" applyBorder="1" applyAlignment="1">
      <alignment horizontal="center"/>
    </xf>
    <xf numFmtId="6" fontId="32" fillId="0" borderId="8" xfId="0" applyNumberFormat="1" applyFont="1" applyBorder="1"/>
    <xf numFmtId="6" fontId="32" fillId="0" borderId="8" xfId="0" applyNumberFormat="1" applyFont="1" applyBorder="1" applyAlignment="1">
      <alignment horizontal="right"/>
    </xf>
    <xf numFmtId="0" fontId="32" fillId="0" borderId="4" xfId="0" applyFont="1" applyBorder="1" applyAlignment="1"/>
    <xf numFmtId="0" fontId="32" fillId="0" borderId="37" xfId="0" applyFont="1" applyBorder="1"/>
    <xf numFmtId="0" fontId="79" fillId="0" borderId="23" xfId="0" applyFont="1" applyBorder="1" applyAlignment="1">
      <alignment horizontal="right"/>
    </xf>
    <xf numFmtId="6" fontId="79" fillId="0" borderId="23" xfId="0" applyNumberFormat="1" applyFont="1" applyBorder="1"/>
    <xf numFmtId="0" fontId="32" fillId="0" borderId="26" xfId="0" applyFont="1" applyFill="1" applyBorder="1"/>
    <xf numFmtId="0" fontId="79" fillId="0" borderId="28" xfId="0" applyFont="1" applyBorder="1" applyAlignment="1">
      <alignment horizontal="right"/>
    </xf>
    <xf numFmtId="0" fontId="32" fillId="0" borderId="28" xfId="0" applyFont="1" applyBorder="1" applyAlignment="1">
      <alignment horizontal="center"/>
    </xf>
    <xf numFmtId="0" fontId="79" fillId="0" borderId="28" xfId="0" applyFont="1" applyBorder="1" applyAlignment="1">
      <alignment horizontal="center"/>
    </xf>
    <xf numFmtId="6" fontId="79" fillId="0" borderId="28" xfId="0" applyNumberFormat="1" applyFont="1" applyBorder="1"/>
    <xf numFmtId="0" fontId="32" fillId="0" borderId="38" xfId="0" applyFont="1" applyBorder="1" applyAlignment="1"/>
    <xf numFmtId="0" fontId="32" fillId="0" borderId="36" xfId="0" applyFont="1" applyBorder="1"/>
    <xf numFmtId="6" fontId="3" fillId="7" borderId="0" xfId="0" applyNumberFormat="1" applyFont="1" applyFill="1"/>
    <xf numFmtId="0" fontId="3" fillId="2" borderId="0" xfId="0" applyFont="1" applyFill="1"/>
    <xf numFmtId="6" fontId="3" fillId="2" borderId="0" xfId="0" applyNumberFormat="1" applyFont="1" applyFill="1"/>
    <xf numFmtId="0" fontId="3" fillId="11" borderId="0" xfId="0" applyFont="1" applyFill="1"/>
    <xf numFmtId="0" fontId="83" fillId="0" borderId="0" xfId="0" applyFont="1"/>
    <xf numFmtId="0" fontId="32" fillId="0" borderId="0" xfId="0" applyFont="1" applyFill="1" applyBorder="1"/>
    <xf numFmtId="0" fontId="79" fillId="0" borderId="0" xfId="0" applyFont="1" applyBorder="1" applyAlignment="1">
      <alignment horizontal="right"/>
    </xf>
    <xf numFmtId="0" fontId="32" fillId="0" borderId="0" xfId="0" applyFont="1" applyBorder="1" applyAlignment="1">
      <alignment horizontal="center"/>
    </xf>
    <xf numFmtId="6" fontId="79" fillId="0" borderId="0" xfId="0" applyNumberFormat="1" applyFont="1" applyBorder="1"/>
    <xf numFmtId="0" fontId="32" fillId="0" borderId="0" xfId="0" applyFont="1" applyBorder="1"/>
    <xf numFmtId="0" fontId="0" fillId="0" borderId="4" xfId="0" applyFill="1" applyBorder="1" applyAlignment="1"/>
    <xf numFmtId="164" fontId="0" fillId="0" borderId="0" xfId="3" applyNumberFormat="1" applyFont="1" applyBorder="1" applyAlignment="1"/>
    <xf numFmtId="0" fontId="0" fillId="0" borderId="5" xfId="0" applyBorder="1" applyAlignment="1"/>
    <xf numFmtId="0" fontId="20" fillId="0" borderId="5" xfId="0" applyFont="1" applyBorder="1" applyAlignment="1"/>
    <xf numFmtId="168" fontId="6" fillId="0" borderId="5" xfId="0" applyNumberFormat="1" applyFont="1" applyBorder="1" applyAlignment="1"/>
    <xf numFmtId="0" fontId="7" fillId="0" borderId="5" xfId="0" applyFont="1" applyBorder="1" applyAlignment="1"/>
    <xf numFmtId="168" fontId="6" fillId="0" borderId="5" xfId="4" applyNumberFormat="1" applyFont="1" applyBorder="1" applyAlignment="1"/>
    <xf numFmtId="168" fontId="17" fillId="0" borderId="5" xfId="4" applyNumberFormat="1" applyFont="1" applyBorder="1" applyAlignment="1"/>
    <xf numFmtId="0" fontId="5" fillId="0" borderId="0" xfId="0" applyFont="1" applyBorder="1" applyAlignment="1"/>
    <xf numFmtId="0" fontId="32" fillId="0" borderId="8" xfId="0" applyFont="1" applyBorder="1" applyAlignment="1"/>
    <xf numFmtId="0" fontId="32" fillId="0" borderId="23" xfId="0" quotePrefix="1" applyFont="1" applyBorder="1" applyAlignment="1">
      <alignment horizontal="left" wrapText="1"/>
    </xf>
    <xf numFmtId="0" fontId="32" fillId="7" borderId="3" xfId="0" applyFont="1" applyFill="1" applyBorder="1" applyAlignment="1">
      <alignment horizontal="center"/>
    </xf>
    <xf numFmtId="15" fontId="32" fillId="7" borderId="3" xfId="0" applyNumberFormat="1" applyFont="1" applyFill="1" applyBorder="1" applyAlignment="1">
      <alignment horizontal="center"/>
    </xf>
    <xf numFmtId="6" fontId="32" fillId="7" borderId="3" xfId="0" applyNumberFormat="1" applyFont="1" applyFill="1" applyBorder="1"/>
    <xf numFmtId="6" fontId="32" fillId="7" borderId="3" xfId="0" applyNumberFormat="1" applyFont="1" applyFill="1" applyBorder="1" applyAlignment="1">
      <alignment horizontal="right"/>
    </xf>
    <xf numFmtId="0" fontId="32" fillId="7" borderId="9" xfId="0" applyFont="1" applyFill="1" applyBorder="1" applyAlignment="1"/>
    <xf numFmtId="0" fontId="32" fillId="7" borderId="39" xfId="0" applyFont="1" applyFill="1" applyBorder="1"/>
    <xf numFmtId="0" fontId="0" fillId="7" borderId="9" xfId="0" applyFill="1" applyBorder="1"/>
    <xf numFmtId="0" fontId="32" fillId="2" borderId="39" xfId="0" applyFont="1" applyFill="1" applyBorder="1"/>
    <xf numFmtId="0" fontId="0" fillId="2" borderId="9" xfId="0" applyFill="1" applyBorder="1"/>
    <xf numFmtId="0" fontId="32" fillId="7" borderId="3" xfId="0" applyFont="1" applyFill="1" applyBorder="1" applyAlignment="1">
      <alignment horizontal="center" vertical="center"/>
    </xf>
    <xf numFmtId="15" fontId="32" fillId="7" borderId="3" xfId="0" applyNumberFormat="1" applyFont="1" applyFill="1" applyBorder="1" applyAlignment="1">
      <alignment horizontal="center" vertical="center"/>
    </xf>
    <xf numFmtId="6" fontId="32" fillId="7" borderId="3" xfId="0" applyNumberFormat="1" applyFont="1" applyFill="1" applyBorder="1" applyAlignment="1">
      <alignment vertical="center"/>
    </xf>
    <xf numFmtId="6" fontId="32" fillId="7" borderId="3" xfId="0" applyNumberFormat="1" applyFont="1" applyFill="1" applyBorder="1" applyAlignment="1">
      <alignment horizontal="right" vertical="center"/>
    </xf>
    <xf numFmtId="0" fontId="32" fillId="7" borderId="9" xfId="0" applyFont="1" applyFill="1" applyBorder="1" applyAlignment="1">
      <alignment vertical="center"/>
    </xf>
    <xf numFmtId="0" fontId="32" fillId="2" borderId="3" xfId="0" applyFont="1" applyFill="1" applyBorder="1" applyAlignment="1">
      <alignment horizontal="center" vertical="center"/>
    </xf>
    <xf numFmtId="15" fontId="32" fillId="2" borderId="3" xfId="0" applyNumberFormat="1" applyFont="1" applyFill="1" applyBorder="1" applyAlignment="1">
      <alignment horizontal="center" vertical="center"/>
    </xf>
    <xf numFmtId="6" fontId="32" fillId="2" borderId="3" xfId="0" applyNumberFormat="1" applyFont="1" applyFill="1" applyBorder="1" applyAlignment="1">
      <alignment vertical="center"/>
    </xf>
    <xf numFmtId="6" fontId="32" fillId="2" borderId="3" xfId="0" applyNumberFormat="1" applyFont="1" applyFill="1" applyBorder="1" applyAlignment="1">
      <alignment horizontal="right" vertical="center"/>
    </xf>
    <xf numFmtId="0" fontId="32" fillId="2" borderId="9" xfId="0" applyFont="1" applyFill="1" applyBorder="1" applyAlignment="1">
      <alignment vertical="center"/>
    </xf>
    <xf numFmtId="0" fontId="32" fillId="7" borderId="8" xfId="0" applyFont="1" applyFill="1" applyBorder="1" applyAlignment="1">
      <alignment horizontal="center" vertical="center"/>
    </xf>
    <xf numFmtId="15" fontId="32" fillId="7" borderId="8" xfId="0" applyNumberFormat="1" applyFont="1" applyFill="1" applyBorder="1" applyAlignment="1">
      <alignment horizontal="center" vertical="center"/>
    </xf>
    <xf numFmtId="6" fontId="32" fillId="7" borderId="8" xfId="0" applyNumberFormat="1" applyFont="1" applyFill="1" applyBorder="1" applyAlignment="1">
      <alignment vertical="center"/>
    </xf>
    <xf numFmtId="6" fontId="32" fillId="7" borderId="8" xfId="0" applyNumberFormat="1" applyFont="1" applyFill="1" applyBorder="1" applyAlignment="1">
      <alignment horizontal="right" vertical="center"/>
    </xf>
    <xf numFmtId="0" fontId="32" fillId="7" borderId="4" xfId="0" applyFont="1" applyFill="1" applyBorder="1" applyAlignment="1">
      <alignment vertical="center"/>
    </xf>
    <xf numFmtId="0" fontId="84" fillId="0" borderId="0" xfId="0" applyFont="1"/>
    <xf numFmtId="0" fontId="32" fillId="2" borderId="32" xfId="0" applyFont="1" applyFill="1" applyBorder="1" applyAlignment="1">
      <alignment vertical="center"/>
    </xf>
    <xf numFmtId="0" fontId="32" fillId="7" borderId="32" xfId="0" applyFont="1" applyFill="1" applyBorder="1" applyAlignment="1">
      <alignment horizontal="center" vertical="center"/>
    </xf>
    <xf numFmtId="0" fontId="32" fillId="7" borderId="32" xfId="0" applyFont="1" applyFill="1" applyBorder="1" applyAlignment="1">
      <alignment horizontal="center"/>
    </xf>
    <xf numFmtId="0" fontId="32" fillId="0" borderId="24" xfId="0" applyFont="1" applyFill="1" applyBorder="1" applyAlignment="1">
      <alignment horizontal="center"/>
    </xf>
    <xf numFmtId="0" fontId="85" fillId="7" borderId="3" xfId="0" applyFont="1" applyFill="1" applyBorder="1" applyAlignment="1">
      <alignment wrapText="1"/>
    </xf>
    <xf numFmtId="0" fontId="85" fillId="0" borderId="23" xfId="0" applyFont="1" applyBorder="1" applyAlignment="1">
      <alignment wrapText="1"/>
    </xf>
    <xf numFmtId="0" fontId="85" fillId="2" borderId="3" xfId="0" applyFont="1" applyFill="1" applyBorder="1" applyAlignment="1">
      <alignment vertical="center" wrapText="1"/>
    </xf>
    <xf numFmtId="0" fontId="85" fillId="0" borderId="23" xfId="0" applyFont="1" applyBorder="1"/>
    <xf numFmtId="0" fontId="85" fillId="0" borderId="23" xfId="0" quotePrefix="1" applyFont="1" applyBorder="1" applyAlignment="1">
      <alignment horizontal="left"/>
    </xf>
    <xf numFmtId="6" fontId="86" fillId="0" borderId="23" xfId="0" applyNumberFormat="1" applyFont="1" applyBorder="1"/>
    <xf numFmtId="6" fontId="86" fillId="0" borderId="28" xfId="0" applyNumberFormat="1" applyFont="1" applyBorder="1"/>
    <xf numFmtId="6" fontId="86" fillId="7" borderId="3" xfId="0" applyNumberFormat="1" applyFont="1" applyFill="1" applyBorder="1" applyAlignment="1">
      <alignment horizontal="right"/>
    </xf>
    <xf numFmtId="6" fontId="86" fillId="7" borderId="3" xfId="0" applyNumberFormat="1" applyFont="1" applyFill="1" applyBorder="1" applyAlignment="1">
      <alignment horizontal="right" vertical="center"/>
    </xf>
    <xf numFmtId="6" fontId="86" fillId="0" borderId="23" xfId="0" applyNumberFormat="1" applyFont="1" applyBorder="1" applyAlignment="1">
      <alignment horizontal="right"/>
    </xf>
    <xf numFmtId="6" fontId="86" fillId="0" borderId="8" xfId="0" applyNumberFormat="1" applyFont="1" applyBorder="1" applyAlignment="1">
      <alignment horizontal="right"/>
    </xf>
    <xf numFmtId="0" fontId="87" fillId="0" borderId="0" xfId="0" applyFont="1"/>
    <xf numFmtId="164" fontId="5" fillId="0" borderId="0" xfId="3" applyNumberFormat="1" applyFont="1" applyAlignment="1">
      <alignment horizontal="center"/>
    </xf>
    <xf numFmtId="164" fontId="20" fillId="0" borderId="16" xfId="3" applyNumberFormat="1" applyFont="1" applyBorder="1"/>
    <xf numFmtId="0" fontId="5" fillId="0" borderId="4" xfId="0" applyFont="1" applyFill="1" applyBorder="1" applyAlignment="1">
      <alignment vertical="center"/>
    </xf>
    <xf numFmtId="43" fontId="0" fillId="0" borderId="0" xfId="3" applyFont="1"/>
    <xf numFmtId="43" fontId="0" fillId="0" borderId="0" xfId="3" applyNumberFormat="1" applyFont="1"/>
    <xf numFmtId="43" fontId="0" fillId="0" borderId="0" xfId="0" applyNumberFormat="1"/>
    <xf numFmtId="6" fontId="89" fillId="7" borderId="3" xfId="0" applyNumberFormat="1" applyFont="1" applyFill="1" applyBorder="1" applyAlignment="1">
      <alignment horizontal="right"/>
    </xf>
    <xf numFmtId="6" fontId="89" fillId="7" borderId="3" xfId="0" applyNumberFormat="1" applyFont="1" applyFill="1" applyBorder="1" applyAlignment="1">
      <alignment horizontal="right" vertical="center"/>
    </xf>
    <xf numFmtId="6" fontId="89" fillId="0" borderId="23" xfId="0" applyNumberFormat="1" applyFont="1" applyBorder="1" applyAlignment="1">
      <alignment horizontal="right"/>
    </xf>
    <xf numFmtId="6" fontId="89" fillId="0" borderId="8" xfId="0" applyNumberFormat="1" applyFont="1" applyBorder="1" applyAlignment="1">
      <alignment horizontal="right"/>
    </xf>
    <xf numFmtId="6" fontId="89" fillId="0" borderId="23" xfId="0" applyNumberFormat="1" applyFont="1" applyBorder="1"/>
    <xf numFmtId="6" fontId="89" fillId="0" borderId="28" xfId="0" applyNumberFormat="1" applyFont="1" applyBorder="1"/>
    <xf numFmtId="0" fontId="90" fillId="0" borderId="0" xfId="0" applyFont="1"/>
    <xf numFmtId="6" fontId="90" fillId="0" borderId="0" xfId="0" applyNumberFormat="1" applyFont="1"/>
    <xf numFmtId="6" fontId="90" fillId="0" borderId="0" xfId="0" applyNumberFormat="1" applyFont="1" applyAlignment="1">
      <alignment horizontal="centerContinuous"/>
    </xf>
    <xf numFmtId="6" fontId="89" fillId="0" borderId="11" xfId="0" applyNumberFormat="1" applyFont="1" applyBorder="1" applyAlignment="1">
      <alignment horizontal="center" vertical="center" wrapText="1"/>
    </xf>
    <xf numFmtId="6" fontId="89" fillId="0" borderId="23" xfId="0" applyNumberFormat="1" applyFont="1" applyBorder="1" applyAlignment="1">
      <alignment horizontal="center" vertical="center" wrapText="1"/>
    </xf>
    <xf numFmtId="6" fontId="89" fillId="0" borderId="28" xfId="0" applyNumberFormat="1" applyFont="1" applyBorder="1" applyAlignment="1">
      <alignment horizontal="center" vertical="center" wrapText="1"/>
    </xf>
    <xf numFmtId="6" fontId="89" fillId="0" borderId="0" xfId="0" applyNumberFormat="1" applyFont="1" applyBorder="1" applyAlignment="1">
      <alignment horizontal="center" vertical="center" wrapText="1"/>
    </xf>
    <xf numFmtId="6" fontId="89" fillId="0" borderId="0" xfId="0" applyNumberFormat="1" applyFont="1" applyBorder="1" applyAlignment="1">
      <alignment horizontal="center"/>
    </xf>
    <xf numFmtId="6" fontId="89" fillId="0" borderId="11" xfId="0" applyNumberFormat="1" applyFont="1" applyBorder="1" applyAlignment="1">
      <alignment horizontal="right"/>
    </xf>
    <xf numFmtId="6" fontId="89" fillId="7" borderId="8" xfId="0" applyNumberFormat="1" applyFont="1" applyFill="1" applyBorder="1" applyAlignment="1">
      <alignment horizontal="right" vertical="center"/>
    </xf>
    <xf numFmtId="0" fontId="32" fillId="7" borderId="9" xfId="0" applyFont="1" applyFill="1" applyBorder="1" applyAlignment="1">
      <alignment vertical="center" wrapText="1"/>
    </xf>
    <xf numFmtId="0" fontId="32" fillId="7" borderId="7" xfId="0" applyFont="1" applyFill="1" applyBorder="1" applyAlignment="1">
      <alignment vertical="center" wrapText="1"/>
    </xf>
    <xf numFmtId="0" fontId="85" fillId="7" borderId="7" xfId="0" applyFont="1" applyFill="1" applyBorder="1" applyAlignment="1">
      <alignment wrapText="1"/>
    </xf>
    <xf numFmtId="0" fontId="32" fillId="7" borderId="40" xfId="0" applyFont="1" applyFill="1" applyBorder="1" applyAlignment="1">
      <alignment horizontal="center"/>
    </xf>
    <xf numFmtId="15" fontId="32" fillId="7" borderId="41" xfId="0" applyNumberFormat="1" applyFont="1" applyFill="1" applyBorder="1" applyAlignment="1">
      <alignment horizontal="center"/>
    </xf>
    <xf numFmtId="0" fontId="32" fillId="7" borderId="41" xfId="0" applyFont="1" applyFill="1" applyBorder="1" applyAlignment="1">
      <alignment horizontal="center"/>
    </xf>
    <xf numFmtId="6" fontId="32" fillId="7" borderId="41" xfId="0" applyNumberFormat="1" applyFont="1" applyFill="1" applyBorder="1"/>
    <xf numFmtId="6" fontId="32" fillId="7" borderId="41" xfId="0" applyNumberFormat="1" applyFont="1" applyFill="1" applyBorder="1" applyAlignment="1">
      <alignment horizontal="right"/>
    </xf>
    <xf numFmtId="6" fontId="89" fillId="7" borderId="41" xfId="0" applyNumberFormat="1" applyFont="1" applyFill="1" applyBorder="1" applyAlignment="1">
      <alignment horizontal="right"/>
    </xf>
    <xf numFmtId="0" fontId="32" fillId="7" borderId="41" xfId="0" applyFont="1" applyFill="1" applyBorder="1" applyAlignment="1"/>
    <xf numFmtId="0" fontId="32" fillId="7" borderId="42" xfId="0" applyFont="1" applyFill="1" applyBorder="1"/>
    <xf numFmtId="0" fontId="0" fillId="7" borderId="0" xfId="0" applyFill="1" applyBorder="1"/>
    <xf numFmtId="0" fontId="32" fillId="7" borderId="13" xfId="0" applyFont="1" applyFill="1" applyBorder="1"/>
    <xf numFmtId="0" fontId="85" fillId="7" borderId="8" xfId="0" applyFont="1" applyFill="1" applyBorder="1" applyAlignment="1">
      <alignment wrapText="1"/>
    </xf>
    <xf numFmtId="0" fontId="32" fillId="7" borderId="43" xfId="0" applyFont="1" applyFill="1" applyBorder="1" applyAlignment="1">
      <alignment horizontal="center"/>
    </xf>
    <xf numFmtId="15" fontId="32" fillId="7" borderId="4" xfId="0" applyNumberFormat="1" applyFont="1" applyFill="1" applyBorder="1" applyAlignment="1">
      <alignment horizontal="center"/>
    </xf>
    <xf numFmtId="0" fontId="32" fillId="7" borderId="4" xfId="0" applyFont="1" applyFill="1" applyBorder="1" applyAlignment="1">
      <alignment horizontal="center"/>
    </xf>
    <xf numFmtId="6" fontId="32" fillId="7" borderId="4" xfId="0" applyNumberFormat="1" applyFont="1" applyFill="1" applyBorder="1"/>
    <xf numFmtId="6" fontId="32" fillId="7" borderId="4" xfId="0" applyNumberFormat="1" applyFont="1" applyFill="1" applyBorder="1" applyAlignment="1">
      <alignment horizontal="right"/>
    </xf>
    <xf numFmtId="6" fontId="89" fillId="7" borderId="4" xfId="0" applyNumberFormat="1" applyFont="1" applyFill="1" applyBorder="1" applyAlignment="1">
      <alignment horizontal="right"/>
    </xf>
    <xf numFmtId="0" fontId="32" fillId="7" borderId="4" xfId="0" applyFont="1" applyFill="1" applyBorder="1" applyAlignment="1"/>
    <xf numFmtId="0" fontId="32" fillId="7" borderId="37" xfId="0" applyFont="1" applyFill="1" applyBorder="1"/>
    <xf numFmtId="0" fontId="0" fillId="7" borderId="4" xfId="0" applyFill="1" applyBorder="1"/>
    <xf numFmtId="0" fontId="32" fillId="0" borderId="23" xfId="0" applyFont="1" applyFill="1" applyBorder="1" applyAlignment="1">
      <alignment horizontal="center"/>
    </xf>
    <xf numFmtId="15" fontId="32" fillId="0" borderId="23" xfId="0" applyNumberFormat="1" applyFont="1" applyFill="1" applyBorder="1" applyAlignment="1">
      <alignment horizontal="center"/>
    </xf>
    <xf numFmtId="6" fontId="32" fillId="0" borderId="23" xfId="0" applyNumberFormat="1" applyFont="1" applyFill="1" applyBorder="1"/>
    <xf numFmtId="6" fontId="32" fillId="0" borderId="23" xfId="0" applyNumberFormat="1" applyFont="1" applyFill="1" applyBorder="1" applyAlignment="1">
      <alignment horizontal="right"/>
    </xf>
    <xf numFmtId="6" fontId="86" fillId="0" borderId="23" xfId="0" applyNumberFormat="1" applyFont="1" applyFill="1" applyBorder="1" applyAlignment="1">
      <alignment horizontal="right"/>
    </xf>
    <xf numFmtId="6" fontId="89" fillId="0" borderId="23" xfId="0" applyNumberFormat="1" applyFont="1" applyFill="1" applyBorder="1" applyAlignment="1">
      <alignment horizontal="right"/>
    </xf>
    <xf numFmtId="0" fontId="32" fillId="0" borderId="0" xfId="0" applyFont="1" applyFill="1" applyBorder="1" applyAlignment="1"/>
    <xf numFmtId="0" fontId="32" fillId="0" borderId="35" xfId="0" applyFont="1" applyFill="1" applyBorder="1"/>
    <xf numFmtId="0" fontId="86" fillId="0" borderId="23" xfId="0" applyFont="1" applyFill="1" applyBorder="1" applyAlignment="1">
      <alignment horizontal="center" wrapText="1"/>
    </xf>
    <xf numFmtId="0" fontId="79" fillId="0" borderId="23" xfId="0" applyFont="1" applyBorder="1" applyAlignment="1">
      <alignment horizontal="center"/>
    </xf>
    <xf numFmtId="6" fontId="92" fillId="0" borderId="23" xfId="0" applyNumberFormat="1" applyFont="1" applyBorder="1"/>
    <xf numFmtId="6" fontId="88" fillId="0" borderId="23" xfId="0" applyNumberFormat="1" applyFont="1" applyBorder="1"/>
    <xf numFmtId="6" fontId="91" fillId="0" borderId="0" xfId="0" applyNumberFormat="1" applyFont="1"/>
    <xf numFmtId="6" fontId="2" fillId="0" borderId="0" xfId="0" applyNumberFormat="1" applyFont="1"/>
    <xf numFmtId="257" fontId="5" fillId="0" borderId="0" xfId="4" applyNumberFormat="1" applyFont="1" applyAlignment="1">
      <alignment horizontal="center"/>
    </xf>
    <xf numFmtId="0" fontId="20" fillId="0" borderId="0" xfId="0" applyFont="1" applyBorder="1" applyAlignment="1"/>
    <xf numFmtId="0" fontId="20" fillId="0" borderId="4" xfId="0" applyFont="1" applyBorder="1" applyAlignment="1"/>
    <xf numFmtId="0" fontId="3" fillId="0" borderId="4" xfId="0" applyFont="1" applyBorder="1"/>
    <xf numFmtId="0" fontId="0" fillId="0" borderId="4" xfId="0" applyBorder="1"/>
    <xf numFmtId="0" fontId="3" fillId="7" borderId="0" xfId="0" applyFont="1" applyFill="1" applyBorder="1"/>
    <xf numFmtId="0" fontId="3" fillId="2" borderId="0" xfId="0" applyFont="1" applyFill="1" applyBorder="1"/>
    <xf numFmtId="0" fontId="3" fillId="11" borderId="0" xfId="0" applyFont="1" applyFill="1" applyBorder="1"/>
    <xf numFmtId="0" fontId="83" fillId="0" borderId="0" xfId="0" applyFont="1" applyBorder="1"/>
    <xf numFmtId="0" fontId="3" fillId="0" borderId="0" xfId="0" applyFont="1" applyBorder="1"/>
    <xf numFmtId="0" fontId="3" fillId="0" borderId="0" xfId="0" quotePrefix="1" applyFont="1" applyBorder="1"/>
    <xf numFmtId="164" fontId="3" fillId="11" borderId="0" xfId="0" applyNumberFormat="1" applyFont="1" applyFill="1"/>
    <xf numFmtId="0" fontId="0" fillId="12" borderId="0" xfId="0" applyFill="1"/>
    <xf numFmtId="164" fontId="32" fillId="2" borderId="3" xfId="3" applyNumberFormat="1" applyFont="1" applyFill="1" applyBorder="1" applyAlignment="1">
      <alignment horizontal="center" vertical="center"/>
    </xf>
    <xf numFmtId="168" fontId="32" fillId="2" borderId="3" xfId="4" applyNumberFormat="1" applyFont="1" applyFill="1" applyBorder="1" applyAlignment="1">
      <alignment horizontal="center" vertical="center"/>
    </xf>
    <xf numFmtId="0" fontId="8" fillId="0" borderId="5" xfId="0" applyFont="1" applyBorder="1"/>
    <xf numFmtId="0" fontId="0" fillId="0" borderId="5" xfId="0" applyBorder="1"/>
    <xf numFmtId="6" fontId="8" fillId="0" borderId="5" xfId="0" applyNumberFormat="1" applyFont="1" applyBorder="1"/>
    <xf numFmtId="0" fontId="32" fillId="2" borderId="24" xfId="0" applyFont="1" applyFill="1" applyBorder="1" applyAlignment="1">
      <alignment vertical="center"/>
    </xf>
    <xf numFmtId="0" fontId="85" fillId="2" borderId="23" xfId="0" applyFont="1" applyFill="1" applyBorder="1" applyAlignment="1">
      <alignment vertical="center" wrapText="1"/>
    </xf>
    <xf numFmtId="0" fontId="32" fillId="2" borderId="23" xfId="0" applyFont="1" applyFill="1" applyBorder="1" applyAlignment="1">
      <alignment horizontal="center" vertical="center"/>
    </xf>
    <xf numFmtId="15" fontId="32" fillId="2" borderId="23" xfId="0" applyNumberFormat="1" applyFont="1" applyFill="1" applyBorder="1" applyAlignment="1">
      <alignment horizontal="center" vertical="center"/>
    </xf>
    <xf numFmtId="6" fontId="32" fillId="2" borderId="23" xfId="0" applyNumberFormat="1" applyFont="1" applyFill="1" applyBorder="1" applyAlignment="1">
      <alignment vertical="center"/>
    </xf>
    <xf numFmtId="6" fontId="32" fillId="2" borderId="23" xfId="0" applyNumberFormat="1" applyFont="1" applyFill="1" applyBorder="1" applyAlignment="1">
      <alignment horizontal="right" vertical="center"/>
    </xf>
    <xf numFmtId="0" fontId="32" fillId="2" borderId="0" xfId="0" applyFont="1" applyFill="1" applyBorder="1" applyAlignment="1">
      <alignment vertical="center"/>
    </xf>
    <xf numFmtId="0" fontId="32" fillId="2" borderId="35" xfId="0" applyFont="1" applyFill="1" applyBorder="1"/>
    <xf numFmtId="0" fontId="0" fillId="2" borderId="0" xfId="0" applyFill="1" applyBorder="1"/>
    <xf numFmtId="15" fontId="32" fillId="2" borderId="3" xfId="0" applyNumberFormat="1" applyFont="1" applyFill="1" applyBorder="1" applyAlignment="1">
      <alignment horizontal="left" vertical="center"/>
    </xf>
    <xf numFmtId="164" fontId="8" fillId="0" borderId="5" xfId="0" applyNumberFormat="1" applyFont="1" applyBorder="1"/>
    <xf numFmtId="164" fontId="17" fillId="0" borderId="0" xfId="3" applyNumberFormat="1" applyFont="1" applyBorder="1" applyAlignment="1"/>
    <xf numFmtId="164" fontId="5" fillId="0" borderId="0" xfId="3" applyNumberFormat="1" applyFont="1" applyAlignment="1"/>
    <xf numFmtId="164" fontId="17" fillId="0" borderId="0" xfId="0" applyNumberFormat="1" applyFont="1" applyBorder="1" applyAlignment="1"/>
    <xf numFmtId="0" fontId="6" fillId="0" borderId="23" xfId="0" applyFont="1" applyBorder="1" applyAlignment="1">
      <alignment horizontal="center"/>
    </xf>
    <xf numFmtId="0" fontId="0" fillId="0" borderId="8" xfId="0" applyBorder="1" applyAlignment="1">
      <alignment horizontal="center"/>
    </xf>
    <xf numFmtId="0" fontId="6" fillId="7" borderId="23" xfId="0" applyFont="1" applyFill="1" applyBorder="1" applyAlignment="1">
      <alignment horizontal="center"/>
    </xf>
    <xf numFmtId="164" fontId="2" fillId="0" borderId="0" xfId="3" applyNumberFormat="1" applyFont="1" applyFill="1" applyAlignment="1">
      <alignment horizontal="center"/>
    </xf>
    <xf numFmtId="164" fontId="5" fillId="0" borderId="0" xfId="3" applyNumberFormat="1" applyFont="1" applyAlignment="1">
      <alignment horizontal="left"/>
    </xf>
    <xf numFmtId="0" fontId="6" fillId="7" borderId="0" xfId="0" applyFont="1" applyFill="1" applyBorder="1" applyAlignment="1">
      <alignment horizontal="left"/>
    </xf>
    <xf numFmtId="0" fontId="6" fillId="7" borderId="0" xfId="0" applyFont="1" applyFill="1" applyAlignment="1">
      <alignment horizontal="left"/>
    </xf>
    <xf numFmtId="14" fontId="6" fillId="7" borderId="0" xfId="0" applyNumberFormat="1" applyFont="1" applyFill="1" applyAlignment="1">
      <alignment horizontal="left"/>
    </xf>
    <xf numFmtId="164" fontId="6" fillId="7" borderId="0" xfId="3" applyNumberFormat="1" applyFont="1" applyFill="1" applyAlignment="1">
      <alignment horizontal="left"/>
    </xf>
    <xf numFmtId="164" fontId="6" fillId="7" borderId="0" xfId="3" applyNumberFormat="1" applyFont="1" applyFill="1" applyBorder="1" applyAlignment="1">
      <alignment horizontal="left"/>
    </xf>
    <xf numFmtId="164" fontId="6" fillId="7" borderId="5" xfId="3" applyNumberFormat="1" applyFont="1" applyFill="1" applyBorder="1" applyAlignment="1">
      <alignment horizontal="left"/>
    </xf>
    <xf numFmtId="0" fontId="0" fillId="0" borderId="0" xfId="0" applyAlignment="1">
      <alignment horizontal="left"/>
    </xf>
    <xf numFmtId="0" fontId="94" fillId="0" borderId="0" xfId="0" applyFont="1"/>
    <xf numFmtId="164" fontId="6" fillId="0" borderId="4" xfId="3" applyNumberFormat="1" applyFont="1" applyBorder="1"/>
    <xf numFmtId="164" fontId="5" fillId="0" borderId="4" xfId="3" applyNumberFormat="1" applyFont="1" applyBorder="1"/>
    <xf numFmtId="0" fontId="93" fillId="13" borderId="6" xfId="0" applyFont="1" applyFill="1" applyBorder="1" applyAlignment="1">
      <alignment vertical="center"/>
    </xf>
    <xf numFmtId="0" fontId="6" fillId="13" borderId="0" xfId="0" applyFont="1" applyFill="1" applyBorder="1"/>
    <xf numFmtId="0" fontId="6" fillId="13" borderId="0" xfId="0" applyFont="1" applyFill="1"/>
    <xf numFmtId="0" fontId="6" fillId="13" borderId="0" xfId="0" applyFont="1" applyFill="1" applyAlignment="1">
      <alignment horizontal="center"/>
    </xf>
    <xf numFmtId="14" fontId="6" fillId="13" borderId="0" xfId="0" applyNumberFormat="1" applyFont="1" applyFill="1"/>
    <xf numFmtId="164" fontId="6" fillId="13" borderId="0" xfId="3" applyNumberFormat="1" applyFont="1" applyFill="1"/>
    <xf numFmtId="164" fontId="6" fillId="13" borderId="0" xfId="3" applyNumberFormat="1" applyFont="1" applyFill="1" applyBorder="1"/>
    <xf numFmtId="164" fontId="6" fillId="13" borderId="5" xfId="3" applyNumberFormat="1" applyFont="1" applyFill="1" applyBorder="1"/>
    <xf numFmtId="0" fontId="2" fillId="0" borderId="0" xfId="0" applyFont="1" applyAlignment="1">
      <alignment horizontal="center"/>
    </xf>
    <xf numFmtId="164" fontId="17" fillId="0" borderId="9" xfId="3" applyNumberFormat="1" applyFont="1" applyBorder="1" applyAlignment="1"/>
    <xf numFmtId="0" fontId="0" fillId="0" borderId="9" xfId="0" applyBorder="1" applyAlignment="1"/>
    <xf numFmtId="0" fontId="20" fillId="0" borderId="9" xfId="0" applyFont="1" applyBorder="1" applyAlignment="1"/>
    <xf numFmtId="0" fontId="6" fillId="0" borderId="19" xfId="0" applyFont="1" applyBorder="1" applyAlignment="1">
      <alignment horizontal="center"/>
    </xf>
    <xf numFmtId="0" fontId="6" fillId="0" borderId="17" xfId="0" applyFont="1" applyBorder="1" applyAlignment="1">
      <alignment horizontal="center"/>
    </xf>
    <xf numFmtId="0" fontId="79" fillId="0" borderId="44" xfId="0" applyFont="1" applyBorder="1" applyAlignment="1">
      <alignment horizontal="center" vertical="center" wrapText="1"/>
    </xf>
    <xf numFmtId="0" fontId="79" fillId="0" borderId="15" xfId="0" applyFont="1" applyBorder="1" applyAlignment="1">
      <alignment horizontal="center" vertical="center" wrapText="1"/>
    </xf>
    <xf numFmtId="0" fontId="79" fillId="0" borderId="27" xfId="0" applyFont="1" applyBorder="1" applyAlignment="1">
      <alignment horizontal="center" vertical="center" wrapText="1"/>
    </xf>
    <xf numFmtId="6" fontId="79" fillId="0" borderId="11" xfId="0" applyNumberFormat="1" applyFont="1" applyBorder="1" applyAlignment="1">
      <alignment horizontal="center" vertical="center" wrapText="1"/>
    </xf>
    <xf numFmtId="6" fontId="79" fillId="0" borderId="23" xfId="0" applyNumberFormat="1" applyFont="1" applyBorder="1" applyAlignment="1">
      <alignment horizontal="center" vertical="center" wrapText="1"/>
    </xf>
    <xf numFmtId="6" fontId="79" fillId="0" borderId="28" xfId="0" applyNumberFormat="1" applyFont="1" applyBorder="1" applyAlignment="1">
      <alignment horizontal="center" vertical="center" wrapText="1"/>
    </xf>
    <xf numFmtId="6" fontId="79" fillId="0" borderId="10" xfId="0" applyNumberFormat="1" applyFont="1" applyBorder="1" applyAlignment="1">
      <alignment horizontal="center" vertical="center" wrapText="1"/>
    </xf>
    <xf numFmtId="6" fontId="79" fillId="0" borderId="24" xfId="0" applyNumberFormat="1" applyFont="1" applyBorder="1" applyAlignment="1">
      <alignment horizontal="center" vertical="center" wrapText="1"/>
    </xf>
    <xf numFmtId="6" fontId="79" fillId="0" borderId="26" xfId="0" applyNumberFormat="1" applyFont="1" applyBorder="1" applyAlignment="1">
      <alignment horizontal="center" vertical="center" wrapText="1"/>
    </xf>
    <xf numFmtId="0" fontId="79" fillId="0" borderId="11" xfId="0" applyFont="1" applyBorder="1" applyAlignment="1">
      <alignment horizontal="center" vertical="center" wrapText="1"/>
    </xf>
    <xf numFmtId="0" fontId="79" fillId="0" borderId="23" xfId="0" applyFont="1" applyBorder="1" applyAlignment="1">
      <alignment horizontal="center" vertical="center" wrapText="1"/>
    </xf>
    <xf numFmtId="0" fontId="79" fillId="0" borderId="28" xfId="0" applyFont="1" applyBorder="1" applyAlignment="1">
      <alignment horizontal="center" vertical="center" wrapText="1"/>
    </xf>
  </cellXfs>
  <cellStyles count="21">
    <cellStyle name="??_?.????" xfId="1"/>
    <cellStyle name="Actual Date" xfId="2"/>
    <cellStyle name="Comma" xfId="3" builtinId="3"/>
    <cellStyle name="Currency" xfId="4" builtinId="4"/>
    <cellStyle name="Date" xfId="5"/>
    <cellStyle name="Fixed" xfId="6"/>
    <cellStyle name="Grey" xfId="7"/>
    <cellStyle name="HEADER" xfId="8"/>
    <cellStyle name="Heading1" xfId="9"/>
    <cellStyle name="Heading2" xfId="10"/>
    <cellStyle name="HIGHLIGHT" xfId="11"/>
    <cellStyle name="Input [yellow]" xfId="12"/>
    <cellStyle name="no dec" xfId="13"/>
    <cellStyle name="Normal" xfId="0" builtinId="0"/>
    <cellStyle name="Normal - Style1" xfId="14"/>
    <cellStyle name="Percent" xfId="15" builtinId="5"/>
    <cellStyle name="Percent [2]" xfId="16"/>
    <cellStyle name="Total" xfId="17" builtinId="25" customBuiltin="1"/>
    <cellStyle name="Unprot" xfId="18"/>
    <cellStyle name="Unprot$" xfId="19"/>
    <cellStyle name="Unprotect"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7169" name="Object 1" hidden="1">
              <a:extLst>
                <a:ext uri="{63B3BB69-23CF-44E3-9099-C40C66FF867C}">
                  <a14:compatExt spid="_x0000_s7169"/>
                </a:ext>
                <a:ext uri="{FF2B5EF4-FFF2-40B4-BE49-F238E27FC236}">
                  <a16:creationId xmlns:a16="http://schemas.microsoft.com/office/drawing/2014/main" id="{3D2FA549-7793-0570-BFDF-279384D24E71}"/>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8193" name="Object 1" hidden="1">
              <a:extLst>
                <a:ext uri="{63B3BB69-23CF-44E3-9099-C40C66FF867C}">
                  <a14:compatExt spid="_x0000_s8193"/>
                </a:ext>
                <a:ext uri="{FF2B5EF4-FFF2-40B4-BE49-F238E27FC236}">
                  <a16:creationId xmlns:a16="http://schemas.microsoft.com/office/drawing/2014/main" id="{E4ADDC3F-DA30-28C6-F89F-958377D44ACA}"/>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2</xdr:row>
          <xdr:rowOff>190500</xdr:rowOff>
        </xdr:from>
        <xdr:to>
          <xdr:col>0</xdr:col>
          <xdr:colOff>838200</xdr:colOff>
          <xdr:row>4</xdr:row>
          <xdr:rowOff>142875</xdr:rowOff>
        </xdr:to>
        <xdr:sp macro="" textlink="">
          <xdr:nvSpPr>
            <xdr:cNvPr id="9217" name="Object 1" hidden="1">
              <a:extLst>
                <a:ext uri="{63B3BB69-23CF-44E3-9099-C40C66FF867C}">
                  <a14:compatExt spid="_x0000_s9217"/>
                </a:ext>
                <a:ext uri="{FF2B5EF4-FFF2-40B4-BE49-F238E27FC236}">
                  <a16:creationId xmlns:a16="http://schemas.microsoft.com/office/drawing/2014/main" id="{EF8D9A10-5338-7A54-8902-1F35E22092F9}"/>
                </a:ext>
              </a:extLst>
            </xdr:cNvPr>
            <xdr:cNvSpPr/>
          </xdr:nvSpPr>
          <xdr:spPr bwMode="auto">
            <a:xfrm>
              <a:off x="0" y="0"/>
              <a:ext cx="0" cy="0"/>
            </a:xfrm>
            <a:prstGeom prst="rect">
              <a:avLst/>
            </a:prstGeom>
            <a:solidFill>
              <a:srgbClr val="FFFFFF" mc:Ignorable="a14" a14:legacySpreadsheetColorIndex="65"/>
            </a:solidFill>
            <a:ln>
              <a:noFill/>
            </a:ln>
            <a:effectLst/>
            <a:extLst>
              <a:ext uri="{91240B29-F687-4F45-9708-019B960494DF}">
                <a14:hiddenLine w="9525">
                  <a:solidFill>
                    <a:srgbClr val="000000" mc:Ignorable="a14" a14:legacySpreadsheetColorIndex="64"/>
                  </a:solidFill>
                  <a:miter lim="800000"/>
                  <a:headEnd/>
                  <a:tailEnd/>
                </a14:hiddenLine>
              </a:ex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vli/source/repos/enron_xls/edrm/2000%20Weekly%20Report%20-%2003290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n_Ops/Engysvc/PowerPlants/2000%20Plants/Draw%20Schedule/Draw%20Sched%20-%2005030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NA Mquip"/>
      <sheetName val="EECC"/>
      <sheetName val="To Update"/>
      <sheetName val="Summary"/>
      <sheetName val="Wilton"/>
      <sheetName val="Calvert City"/>
      <sheetName val="Gleason"/>
      <sheetName val="Wheatland"/>
      <sheetName val="Wilton - Nepco Scope Changes"/>
      <sheetName val="Gleason-Nepco Scope Changes"/>
      <sheetName val="Wheatland -Nepco Scope Changes"/>
      <sheetName val="Nepco Summary"/>
    </sheetNames>
    <sheetDataSet>
      <sheetData sheetId="0"/>
      <sheetData sheetId="1"/>
      <sheetData sheetId="2"/>
      <sheetData sheetId="3"/>
      <sheetData sheetId="4">
        <row r="4">
          <cell r="O4" t="str">
            <v xml:space="preserve"> As of 3/24/00</v>
          </cell>
        </row>
        <row r="9">
          <cell r="E9" t="str">
            <v>as of 7/22/99</v>
          </cell>
        </row>
      </sheetData>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6.5% - Swap"/>
      <sheetName val="Calvert City"/>
      <sheetName val="Wilton"/>
      <sheetName val="Gleason"/>
      <sheetName val="Wheatland"/>
    </sheetNames>
    <sheetDataSet>
      <sheetData sheetId="0"/>
      <sheetData sheetId="1">
        <row r="38">
          <cell r="I38">
            <v>481371.22496666672</v>
          </cell>
          <cell r="J38">
            <v>488494.44316995825</v>
          </cell>
          <cell r="K38">
            <v>500068.5242301845</v>
          </cell>
        </row>
        <row r="64">
          <cell r="X64">
            <v>811034.87</v>
          </cell>
        </row>
      </sheetData>
      <sheetData sheetId="2">
        <row r="39">
          <cell r="K39">
            <v>463711.37538870639</v>
          </cell>
          <cell r="L39">
            <v>505639.68570277008</v>
          </cell>
          <cell r="N39">
            <v>663422.29387704656</v>
          </cell>
          <cell r="O39">
            <v>873819.32529526937</v>
          </cell>
          <cell r="P39">
            <v>891069.81590450753</v>
          </cell>
          <cell r="Q39">
            <v>1048965.8687712126</v>
          </cell>
          <cell r="R39">
            <v>1175441.8444909456</v>
          </cell>
          <cell r="Y39">
            <v>12650445.939237578</v>
          </cell>
        </row>
      </sheetData>
      <sheetData sheetId="3">
        <row r="40">
          <cell r="M40">
            <v>505668.93</v>
          </cell>
          <cell r="N40">
            <v>517447.92267638887</v>
          </cell>
          <cell r="O40">
            <v>557933.42322977481</v>
          </cell>
          <cell r="P40">
            <v>574337.94527365838</v>
          </cell>
          <cell r="Q40">
            <v>616751.79694111284</v>
          </cell>
          <cell r="R40">
            <v>657673.00806343276</v>
          </cell>
          <cell r="S40">
            <v>719263.90865433181</v>
          </cell>
          <cell r="Z40">
            <v>11061292.722799484</v>
          </cell>
        </row>
      </sheetData>
      <sheetData sheetId="4">
        <row r="39">
          <cell r="I39">
            <v>431577.41862083337</v>
          </cell>
          <cell r="J39">
            <v>437225.48213836289</v>
          </cell>
          <cell r="K39">
            <v>445286.67641661229</v>
          </cell>
          <cell r="L39">
            <v>454783</v>
          </cell>
          <cell r="M39">
            <v>462626.31550692458</v>
          </cell>
          <cell r="N39">
            <v>491955.34096592036</v>
          </cell>
          <cell r="O39">
            <v>516340</v>
          </cell>
          <cell r="P39">
            <v>563836.3251100413</v>
          </cell>
          <cell r="Q39">
            <v>615994.85825994285</v>
          </cell>
          <cell r="R39">
            <v>668433.20015885099</v>
          </cell>
          <cell r="Y39">
            <v>9685395.8564966805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10.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1.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election activeCell="N7" sqref="N7"/>
    </sheetView>
  </sheetViews>
  <sheetFormatPr defaultRowHeight="12.75"/>
  <cols>
    <col min="4" max="4" width="3.140625" customWidth="1"/>
    <col min="5" max="5" width="11.85546875" bestFit="1" customWidth="1"/>
    <col min="6" max="6" width="2.5703125" customWidth="1"/>
    <col min="7" max="7" width="11.85546875" bestFit="1" customWidth="1"/>
    <col min="8" max="8" width="2.5703125" customWidth="1"/>
    <col min="9" max="9" width="11.85546875" bestFit="1" customWidth="1"/>
    <col min="10" max="10" width="2.5703125" customWidth="1"/>
    <col min="11" max="11" width="10.85546875" bestFit="1" customWidth="1"/>
  </cols>
  <sheetData>
    <row r="1" spans="1:11" ht="15.75">
      <c r="A1" s="24" t="s">
        <v>117</v>
      </c>
    </row>
    <row r="2" spans="1:11" ht="15.75">
      <c r="A2" s="24" t="s">
        <v>116</v>
      </c>
    </row>
    <row r="4" spans="1:11">
      <c r="A4" s="21" t="s">
        <v>111</v>
      </c>
    </row>
    <row r="6" spans="1:11">
      <c r="A6" t="s">
        <v>108</v>
      </c>
    </row>
    <row r="7" spans="1:11">
      <c r="A7" t="s">
        <v>114</v>
      </c>
    </row>
    <row r="8" spans="1:11">
      <c r="A8" t="s">
        <v>113</v>
      </c>
    </row>
    <row r="11" spans="1:11">
      <c r="A11" s="21" t="s">
        <v>119</v>
      </c>
    </row>
    <row r="12" spans="1:11">
      <c r="A12" s="21"/>
      <c r="E12" s="8" t="s">
        <v>73</v>
      </c>
      <c r="F12" s="49"/>
      <c r="G12" s="8" t="s">
        <v>74</v>
      </c>
      <c r="H12" s="49"/>
      <c r="I12" s="8" t="s">
        <v>72</v>
      </c>
      <c r="K12" s="8" t="s">
        <v>75</v>
      </c>
    </row>
    <row r="13" spans="1:11">
      <c r="A13" s="21"/>
    </row>
    <row r="14" spans="1:11">
      <c r="A14" t="s">
        <v>109</v>
      </c>
      <c r="E14" s="35">
        <v>-310000</v>
      </c>
      <c r="F14" s="35"/>
      <c r="G14" s="35">
        <v>-300000</v>
      </c>
      <c r="H14" s="35"/>
      <c r="I14" s="35">
        <v>-233000</v>
      </c>
      <c r="K14" s="38">
        <f>SUM(E14:I14)</f>
        <v>-843000</v>
      </c>
    </row>
    <row r="15" spans="1:11">
      <c r="A15" t="s">
        <v>110</v>
      </c>
      <c r="E15" s="35">
        <v>-550000</v>
      </c>
      <c r="F15" s="35"/>
      <c r="G15" s="35">
        <v>-550000</v>
      </c>
      <c r="H15" s="35"/>
      <c r="I15" s="35">
        <v>-350000</v>
      </c>
      <c r="K15" s="38">
        <f>SUM(E15:I15)</f>
        <v>-1450000</v>
      </c>
    </row>
    <row r="16" spans="1:11">
      <c r="A16" t="s">
        <v>115</v>
      </c>
      <c r="E16" s="36">
        <v>-200000</v>
      </c>
      <c r="F16" s="35"/>
      <c r="G16" s="36">
        <v>-200000</v>
      </c>
      <c r="H16" s="35"/>
      <c r="I16" s="36">
        <v>-200000</v>
      </c>
      <c r="K16" s="50">
        <f>SUM(E16:I16)</f>
        <v>-600000</v>
      </c>
    </row>
    <row r="17" spans="1:11">
      <c r="E17" s="51"/>
      <c r="F17" s="35"/>
      <c r="G17" s="51"/>
      <c r="H17" s="35"/>
      <c r="I17" s="51"/>
      <c r="K17" s="52"/>
    </row>
    <row r="18" spans="1:11">
      <c r="A18" s="21" t="s">
        <v>112</v>
      </c>
      <c r="E18" s="39">
        <f>SUM(E14:E16)</f>
        <v>-1060000</v>
      </c>
      <c r="F18" s="21"/>
      <c r="G18" s="39">
        <f>SUM(G14:G16)</f>
        <v>-1050000</v>
      </c>
      <c r="H18" s="21"/>
      <c r="I18" s="39">
        <f>SUM(I14:I16)</f>
        <v>-783000</v>
      </c>
      <c r="J18" s="21"/>
      <c r="K18" s="39">
        <f>SUM(K14:K16)</f>
        <v>-2893000</v>
      </c>
    </row>
  </sheetData>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Q68"/>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K13" sqref="K13:K16"/>
    </sheetView>
  </sheetViews>
  <sheetFormatPr defaultRowHeight="15.75"/>
  <cols>
    <col min="1" max="1" width="13.7109375" customWidth="1"/>
    <col min="2" max="2" width="46.7109375" customWidth="1"/>
    <col min="3" max="3" width="11.42578125" bestFit="1" customWidth="1"/>
    <col min="4" max="4" width="9.7109375" customWidth="1"/>
    <col min="5" max="5" width="10.85546875" customWidth="1"/>
    <col min="6" max="6" width="16.7109375" bestFit="1" customWidth="1"/>
    <col min="7" max="7" width="14" bestFit="1" customWidth="1"/>
    <col min="8" max="8" width="17" bestFit="1" customWidth="1"/>
    <col min="9" max="9" width="11.42578125" customWidth="1"/>
    <col min="10" max="10" width="10.42578125" customWidth="1"/>
    <col min="11" max="11" width="15.28515625" customWidth="1"/>
    <col min="12" max="13" width="15.28515625" style="376" customWidth="1"/>
    <col min="14" max="14" width="15.28515625" style="376" hidden="1" customWidth="1"/>
    <col min="15" max="15" width="9.85546875" customWidth="1"/>
    <col min="16" max="16" width="41.140625" bestFit="1" customWidth="1"/>
    <col min="17" max="17" width="1.28515625" customWidth="1"/>
    <col min="18" max="19" width="30.7109375" customWidth="1"/>
  </cols>
  <sheetData>
    <row r="1" spans="1:17" ht="2.25" customHeight="1">
      <c r="C1" s="49"/>
      <c r="H1" s="254"/>
      <c r="I1" s="254"/>
      <c r="J1" s="254"/>
      <c r="K1" s="254"/>
      <c r="L1" s="377"/>
      <c r="M1" s="377"/>
      <c r="N1" s="377"/>
      <c r="O1" s="49"/>
      <c r="P1" s="49"/>
    </row>
    <row r="2" spans="1:17" ht="11.25" customHeight="1">
      <c r="Q2" s="255"/>
    </row>
    <row r="3" spans="1:17" ht="40.5" customHeight="1">
      <c r="A3" s="256"/>
      <c r="B3" s="256" t="s">
        <v>337</v>
      </c>
      <c r="G3" s="347" t="s">
        <v>426</v>
      </c>
      <c r="Q3" s="255"/>
    </row>
    <row r="4" spans="1:17" ht="26.25">
      <c r="A4" s="257"/>
      <c r="B4" s="257" t="s">
        <v>338</v>
      </c>
      <c r="C4" s="255"/>
      <c r="D4" s="255"/>
      <c r="E4" s="255"/>
      <c r="F4" s="255"/>
      <c r="G4" s="255"/>
      <c r="H4" s="258"/>
      <c r="I4" s="258"/>
      <c r="J4" s="258"/>
      <c r="K4" s="258"/>
      <c r="L4" s="378"/>
      <c r="M4" s="378"/>
      <c r="N4" s="378"/>
      <c r="O4" s="255"/>
      <c r="P4" s="255"/>
      <c r="Q4" s="255"/>
    </row>
    <row r="5" spans="1:17" ht="20.25">
      <c r="A5" s="259"/>
      <c r="B5" s="259" t="s">
        <v>339</v>
      </c>
      <c r="C5" s="255"/>
      <c r="D5" s="255"/>
      <c r="E5" s="255"/>
      <c r="F5" s="255"/>
      <c r="G5" s="255"/>
      <c r="H5" s="258"/>
      <c r="I5" s="258"/>
      <c r="J5" s="258"/>
      <c r="K5" s="258"/>
      <c r="L5" s="378"/>
      <c r="M5" s="378"/>
      <c r="N5" s="378"/>
      <c r="O5" s="255"/>
      <c r="P5" s="255"/>
      <c r="Q5" s="255"/>
    </row>
    <row r="6" spans="1:17" ht="6.75" customHeight="1" thickBot="1">
      <c r="C6" s="49"/>
      <c r="H6" s="254"/>
      <c r="I6" s="254"/>
      <c r="J6" s="254"/>
      <c r="K6" s="254"/>
      <c r="L6" s="377"/>
      <c r="M6" s="377"/>
      <c r="N6" s="377"/>
      <c r="O6" s="49"/>
      <c r="P6" s="49"/>
    </row>
    <row r="7" spans="1:17" ht="25.5" customHeight="1">
      <c r="A7" s="490" t="s">
        <v>340</v>
      </c>
      <c r="B7" s="493" t="s">
        <v>341</v>
      </c>
      <c r="C7" s="493" t="s">
        <v>342</v>
      </c>
      <c r="D7" s="493" t="s">
        <v>343</v>
      </c>
      <c r="E7" s="493" t="s">
        <v>344</v>
      </c>
      <c r="F7" s="493" t="s">
        <v>345</v>
      </c>
      <c r="G7" s="487" t="s">
        <v>346</v>
      </c>
      <c r="H7" s="487" t="s">
        <v>347</v>
      </c>
      <c r="I7" s="487" t="s">
        <v>348</v>
      </c>
      <c r="J7" s="487" t="s">
        <v>349</v>
      </c>
      <c r="K7" s="487" t="s">
        <v>350</v>
      </c>
      <c r="L7" s="379" t="s">
        <v>374</v>
      </c>
      <c r="M7" s="379"/>
      <c r="N7" s="379"/>
      <c r="O7" s="493" t="s">
        <v>351</v>
      </c>
      <c r="P7" s="484" t="s">
        <v>352</v>
      </c>
      <c r="Q7" s="260"/>
    </row>
    <row r="8" spans="1:17">
      <c r="A8" s="491"/>
      <c r="B8" s="494"/>
      <c r="C8" s="494"/>
      <c r="D8" s="494"/>
      <c r="E8" s="494"/>
      <c r="F8" s="494"/>
      <c r="G8" s="488"/>
      <c r="H8" s="488"/>
      <c r="I8" s="488"/>
      <c r="J8" s="488"/>
      <c r="K8" s="488"/>
      <c r="L8" s="380" t="s">
        <v>355</v>
      </c>
      <c r="M8" s="380" t="s">
        <v>502</v>
      </c>
      <c r="N8" s="380" t="s">
        <v>506</v>
      </c>
      <c r="O8" s="494"/>
      <c r="P8" s="485"/>
      <c r="Q8" s="261"/>
    </row>
    <row r="9" spans="1:17" ht="32.25" thickBot="1">
      <c r="A9" s="492"/>
      <c r="B9" s="495"/>
      <c r="C9" s="495"/>
      <c r="D9" s="495"/>
      <c r="E9" s="495"/>
      <c r="F9" s="495"/>
      <c r="G9" s="489"/>
      <c r="H9" s="489"/>
      <c r="I9" s="489"/>
      <c r="J9" s="489"/>
      <c r="K9" s="489"/>
      <c r="L9" s="381"/>
      <c r="M9" s="381" t="s">
        <v>505</v>
      </c>
      <c r="N9" s="381" t="s">
        <v>507</v>
      </c>
      <c r="O9" s="495"/>
      <c r="P9" s="486"/>
      <c r="Q9" s="262"/>
    </row>
    <row r="10" spans="1:17" ht="16.5" thickBot="1">
      <c r="A10" s="263"/>
      <c r="B10" s="264"/>
      <c r="C10" s="264"/>
      <c r="D10" s="264"/>
      <c r="E10" s="264"/>
      <c r="F10" s="264"/>
      <c r="G10" s="264"/>
      <c r="H10" s="263"/>
      <c r="I10" s="263"/>
      <c r="J10" s="263"/>
      <c r="K10" s="263"/>
      <c r="L10" s="382"/>
      <c r="M10" s="382"/>
      <c r="N10" s="382"/>
      <c r="O10" s="264"/>
      <c r="P10" s="264"/>
      <c r="Q10" s="265"/>
    </row>
    <row r="11" spans="1:17" s="30" customFormat="1" ht="18.75" customHeight="1" thickBot="1">
      <c r="A11" s="266" t="s">
        <v>353</v>
      </c>
      <c r="B11" s="267"/>
      <c r="C11" s="268"/>
      <c r="D11" s="268"/>
      <c r="E11" s="268"/>
      <c r="F11" s="268"/>
      <c r="G11" s="268"/>
      <c r="H11" s="269"/>
      <c r="I11" s="269"/>
      <c r="J11" s="269"/>
      <c r="K11" s="269"/>
      <c r="L11" s="383"/>
      <c r="M11" s="383"/>
      <c r="N11" s="383"/>
      <c r="O11" s="268"/>
      <c r="P11" s="265"/>
      <c r="Q11" s="265"/>
    </row>
    <row r="12" spans="1:17" ht="6" customHeight="1">
      <c r="A12" s="270"/>
      <c r="B12" s="271"/>
      <c r="C12" s="272"/>
      <c r="D12" s="272"/>
      <c r="E12" s="272"/>
      <c r="F12" s="272"/>
      <c r="G12" s="272"/>
      <c r="H12" s="273"/>
      <c r="I12" s="274"/>
      <c r="J12" s="274"/>
      <c r="K12" s="274"/>
      <c r="L12" s="384"/>
      <c r="M12" s="384"/>
      <c r="N12" s="384"/>
      <c r="O12" s="272"/>
      <c r="P12" s="275"/>
      <c r="Q12" s="276"/>
    </row>
    <row r="13" spans="1:17" s="329" customFormat="1" ht="134.25" customHeight="1">
      <c r="A13" s="349" t="s">
        <v>354</v>
      </c>
      <c r="B13" s="352" t="s">
        <v>421</v>
      </c>
      <c r="C13" s="332" t="s">
        <v>230</v>
      </c>
      <c r="D13" s="333">
        <v>36383</v>
      </c>
      <c r="E13" s="333">
        <v>36383</v>
      </c>
      <c r="F13" s="332" t="s">
        <v>436</v>
      </c>
      <c r="G13" s="334"/>
      <c r="H13" s="334">
        <v>1225177</v>
      </c>
      <c r="I13" s="335">
        <v>0</v>
      </c>
      <c r="J13" s="335">
        <v>0</v>
      </c>
      <c r="K13" s="335">
        <f>SUM(G13:J13)</f>
        <v>1225177</v>
      </c>
      <c r="L13" s="371">
        <f>-1161792+K13</f>
        <v>63385</v>
      </c>
      <c r="M13" s="371"/>
      <c r="N13" s="371"/>
      <c r="O13" s="332">
        <v>0</v>
      </c>
      <c r="P13" s="386" t="s">
        <v>461</v>
      </c>
      <c r="Q13" s="328"/>
    </row>
    <row r="14" spans="1:17" s="329" customFormat="1" ht="48" customHeight="1">
      <c r="A14" s="349" t="s">
        <v>452</v>
      </c>
      <c r="B14" s="352" t="s">
        <v>453</v>
      </c>
      <c r="C14" s="332" t="s">
        <v>230</v>
      </c>
      <c r="D14" s="333"/>
      <c r="E14" s="333"/>
      <c r="F14" s="332"/>
      <c r="G14" s="334"/>
      <c r="H14" s="334">
        <v>1865140</v>
      </c>
      <c r="I14" s="335"/>
      <c r="J14" s="335"/>
      <c r="K14" s="335">
        <f>SUM(G14:J14)</f>
        <v>1865140</v>
      </c>
      <c r="L14" s="371">
        <v>1707436</v>
      </c>
      <c r="M14" s="371">
        <v>1865140</v>
      </c>
      <c r="N14" s="371"/>
      <c r="O14" s="332"/>
      <c r="P14" s="386" t="s">
        <v>454</v>
      </c>
      <c r="Q14" s="328"/>
    </row>
    <row r="15" spans="1:17" s="329" customFormat="1" ht="91.5" customHeight="1">
      <c r="A15" s="349" t="s">
        <v>456</v>
      </c>
      <c r="B15" s="352" t="s">
        <v>457</v>
      </c>
      <c r="C15" s="332" t="s">
        <v>230</v>
      </c>
      <c r="D15" s="333"/>
      <c r="E15" s="333"/>
      <c r="F15" s="332"/>
      <c r="G15" s="334"/>
      <c r="H15" s="334">
        <v>2415377</v>
      </c>
      <c r="I15" s="335"/>
      <c r="J15" s="335"/>
      <c r="K15" s="335">
        <f>SUM(G15:J15)</f>
        <v>2415377</v>
      </c>
      <c r="L15" s="371">
        <v>0</v>
      </c>
      <c r="M15" s="371">
        <v>2169159</v>
      </c>
      <c r="N15" s="371"/>
      <c r="O15" s="332"/>
      <c r="P15" s="386" t="s">
        <v>458</v>
      </c>
      <c r="Q15" s="328"/>
    </row>
    <row r="16" spans="1:17" s="329" customFormat="1" ht="44.25" customHeight="1">
      <c r="A16" s="349" t="s">
        <v>455</v>
      </c>
      <c r="B16" s="352" t="s">
        <v>459</v>
      </c>
      <c r="C16" s="332" t="s">
        <v>230</v>
      </c>
      <c r="D16" s="333"/>
      <c r="E16" s="333"/>
      <c r="F16" s="332"/>
      <c r="G16" s="334"/>
      <c r="H16" s="334">
        <v>1992155</v>
      </c>
      <c r="I16" s="335"/>
      <c r="J16" s="335"/>
      <c r="K16" s="335">
        <f>SUM(G16:J16)</f>
        <v>1992155</v>
      </c>
      <c r="L16" s="371">
        <v>1258397</v>
      </c>
      <c r="M16" s="371">
        <v>1992155</v>
      </c>
      <c r="N16" s="371"/>
      <c r="O16" s="332"/>
      <c r="P16" s="386" t="s">
        <v>460</v>
      </c>
      <c r="Q16" s="328"/>
    </row>
    <row r="17" spans="1:17" s="329" customFormat="1" ht="44.25" customHeight="1">
      <c r="A17" s="349" t="s">
        <v>503</v>
      </c>
      <c r="B17" s="352" t="s">
        <v>504</v>
      </c>
      <c r="C17" s="332"/>
      <c r="D17" s="333"/>
      <c r="E17" s="333"/>
      <c r="F17" s="332"/>
      <c r="G17" s="334"/>
      <c r="H17" s="334"/>
      <c r="I17" s="335"/>
      <c r="J17" s="335"/>
      <c r="K17" s="335"/>
      <c r="L17" s="371"/>
      <c r="M17" s="371">
        <v>292550</v>
      </c>
      <c r="N17" s="371"/>
      <c r="O17" s="332"/>
      <c r="P17" s="386"/>
      <c r="Q17" s="328"/>
    </row>
    <row r="18" spans="1:17" s="329" customFormat="1">
      <c r="A18" s="349" t="s">
        <v>356</v>
      </c>
      <c r="B18" s="352" t="s">
        <v>357</v>
      </c>
      <c r="C18" s="323" t="s">
        <v>230</v>
      </c>
      <c r="D18" s="324">
        <v>36383</v>
      </c>
      <c r="E18" s="324">
        <v>36383</v>
      </c>
      <c r="F18" s="323" t="s">
        <v>358</v>
      </c>
      <c r="G18" s="325"/>
      <c r="H18" s="325">
        <v>0</v>
      </c>
      <c r="I18" s="326">
        <v>0</v>
      </c>
      <c r="J18" s="326">
        <v>0</v>
      </c>
      <c r="K18" s="326">
        <f t="shared" ref="K18:K41" si="0">SUM(G18:J18)</f>
        <v>0</v>
      </c>
      <c r="L18" s="370"/>
      <c r="M18" s="370"/>
      <c r="N18" s="370"/>
      <c r="O18" s="323">
        <v>0</v>
      </c>
      <c r="P18" s="327" t="s">
        <v>359</v>
      </c>
      <c r="Q18" s="328"/>
    </row>
    <row r="19" spans="1:17" s="329" customFormat="1" ht="51.75" customHeight="1">
      <c r="A19" s="349" t="s">
        <v>360</v>
      </c>
      <c r="B19" s="352" t="s">
        <v>428</v>
      </c>
      <c r="C19" s="332" t="s">
        <v>230</v>
      </c>
      <c r="D19" s="333">
        <v>36383</v>
      </c>
      <c r="E19" s="333"/>
      <c r="F19" s="332" t="s">
        <v>361</v>
      </c>
      <c r="G19" s="334"/>
      <c r="H19" s="334">
        <v>714015</v>
      </c>
      <c r="I19" s="335">
        <v>0</v>
      </c>
      <c r="J19" s="335">
        <v>0</v>
      </c>
      <c r="K19" s="335">
        <f t="shared" si="0"/>
        <v>714015</v>
      </c>
      <c r="L19" s="371">
        <v>381799</v>
      </c>
      <c r="M19" s="371">
        <v>443820</v>
      </c>
      <c r="N19" s="371">
        <f>-256057+698977</f>
        <v>442920</v>
      </c>
      <c r="O19" s="332">
        <v>0</v>
      </c>
      <c r="P19" s="336" t="s">
        <v>362</v>
      </c>
      <c r="Q19" s="328"/>
    </row>
    <row r="20" spans="1:17" s="397" customFormat="1" ht="102.75" customHeight="1">
      <c r="A20" s="387" t="s">
        <v>427</v>
      </c>
      <c r="B20" s="388" t="s">
        <v>429</v>
      </c>
      <c r="C20" s="389" t="s">
        <v>230</v>
      </c>
      <c r="D20" s="390">
        <v>36383</v>
      </c>
      <c r="E20" s="390"/>
      <c r="F20" s="391" t="s">
        <v>361</v>
      </c>
      <c r="G20" s="392"/>
      <c r="H20" s="392">
        <v>3249323</v>
      </c>
      <c r="I20" s="393">
        <v>0</v>
      </c>
      <c r="J20" s="393">
        <v>0</v>
      </c>
      <c r="K20" s="393">
        <f t="shared" si="0"/>
        <v>3249323</v>
      </c>
      <c r="L20" s="394">
        <v>2125513</v>
      </c>
      <c r="M20" s="394">
        <v>2474029</v>
      </c>
      <c r="N20" s="394">
        <f>3184986-1260263</f>
        <v>1924723</v>
      </c>
      <c r="O20" s="391">
        <v>0</v>
      </c>
      <c r="P20" s="395" t="s">
        <v>363</v>
      </c>
      <c r="Q20" s="396"/>
    </row>
    <row r="21" spans="1:17" s="408" customFormat="1" ht="31.5" customHeight="1">
      <c r="A21" s="398"/>
      <c r="B21" s="399" t="s">
        <v>419</v>
      </c>
      <c r="C21" s="400" t="s">
        <v>230</v>
      </c>
      <c r="D21" s="401">
        <v>36383</v>
      </c>
      <c r="E21" s="401"/>
      <c r="F21" s="402" t="s">
        <v>361</v>
      </c>
      <c r="G21" s="403"/>
      <c r="H21" s="403">
        <v>560292</v>
      </c>
      <c r="I21" s="404">
        <v>0</v>
      </c>
      <c r="J21" s="404">
        <v>0</v>
      </c>
      <c r="K21" s="404">
        <f t="shared" si="0"/>
        <v>560292</v>
      </c>
      <c r="L21" s="405">
        <v>0</v>
      </c>
      <c r="M21" s="405"/>
      <c r="N21" s="405"/>
      <c r="O21" s="402">
        <v>0</v>
      </c>
      <c r="P21" s="406" t="s">
        <v>363</v>
      </c>
      <c r="Q21" s="407"/>
    </row>
    <row r="22" spans="1:17" s="329" customFormat="1" ht="110.25">
      <c r="A22" s="349" t="s">
        <v>364</v>
      </c>
      <c r="B22" s="352" t="s">
        <v>420</v>
      </c>
      <c r="C22" s="342" t="s">
        <v>230</v>
      </c>
      <c r="D22" s="343">
        <v>36383</v>
      </c>
      <c r="E22" s="343">
        <v>36454</v>
      </c>
      <c r="F22" s="342" t="s">
        <v>358</v>
      </c>
      <c r="G22" s="344"/>
      <c r="H22" s="344">
        <v>796634</v>
      </c>
      <c r="I22" s="345">
        <v>0</v>
      </c>
      <c r="J22" s="345">
        <v>0</v>
      </c>
      <c r="K22" s="345">
        <f t="shared" si="0"/>
        <v>796634</v>
      </c>
      <c r="L22" s="385">
        <f>K22-28680-15617</f>
        <v>752337</v>
      </c>
      <c r="M22" s="385">
        <v>687700</v>
      </c>
      <c r="N22" s="385"/>
      <c r="O22" s="342">
        <v>0</v>
      </c>
      <c r="P22" s="346"/>
      <c r="Q22" s="328"/>
    </row>
    <row r="23" spans="1:17" s="329" customFormat="1" ht="78.75">
      <c r="A23" s="349" t="s">
        <v>365</v>
      </c>
      <c r="B23" s="352" t="s">
        <v>434</v>
      </c>
      <c r="C23" s="332" t="s">
        <v>230</v>
      </c>
      <c r="D23" s="333">
        <v>36383</v>
      </c>
      <c r="E23" s="333">
        <v>36454</v>
      </c>
      <c r="F23" s="332" t="s">
        <v>358</v>
      </c>
      <c r="G23" s="334"/>
      <c r="H23" s="334">
        <v>156452</v>
      </c>
      <c r="I23" s="335">
        <v>0</v>
      </c>
      <c r="J23" s="335">
        <v>0</v>
      </c>
      <c r="K23" s="335">
        <f t="shared" si="0"/>
        <v>156452</v>
      </c>
      <c r="L23" s="371">
        <v>156452</v>
      </c>
      <c r="M23" s="371">
        <v>156675</v>
      </c>
      <c r="N23" s="371"/>
      <c r="O23" s="332">
        <v>0</v>
      </c>
      <c r="P23" s="336"/>
      <c r="Q23" s="328"/>
    </row>
    <row r="24" spans="1:17" s="329" customFormat="1">
      <c r="A24" s="350" t="s">
        <v>366</v>
      </c>
      <c r="B24" s="352" t="s">
        <v>367</v>
      </c>
      <c r="C24" s="323" t="s">
        <v>230</v>
      </c>
      <c r="D24" s="324">
        <v>36383</v>
      </c>
      <c r="E24" s="324">
        <v>36383</v>
      </c>
      <c r="F24" s="323" t="s">
        <v>358</v>
      </c>
      <c r="G24" s="325"/>
      <c r="H24" s="325">
        <v>0</v>
      </c>
      <c r="I24" s="326">
        <v>0</v>
      </c>
      <c r="J24" s="326">
        <v>0</v>
      </c>
      <c r="K24" s="359">
        <f t="shared" si="0"/>
        <v>0</v>
      </c>
      <c r="L24" s="370"/>
      <c r="M24" s="370">
        <v>0</v>
      </c>
      <c r="N24" s="370"/>
      <c r="O24" s="323">
        <v>0</v>
      </c>
      <c r="P24" s="327" t="s">
        <v>359</v>
      </c>
      <c r="Q24" s="328"/>
    </row>
    <row r="25" spans="1:17" s="329" customFormat="1" ht="94.5">
      <c r="A25" s="349" t="s">
        <v>368</v>
      </c>
      <c r="B25" s="352" t="s">
        <v>430</v>
      </c>
      <c r="C25" s="332" t="s">
        <v>230</v>
      </c>
      <c r="D25" s="333">
        <v>36383</v>
      </c>
      <c r="E25" s="333">
        <v>36454</v>
      </c>
      <c r="F25" s="332" t="s">
        <v>358</v>
      </c>
      <c r="G25" s="334"/>
      <c r="H25" s="334">
        <v>496034</v>
      </c>
      <c r="I25" s="335">
        <v>0</v>
      </c>
      <c r="J25" s="335">
        <v>0</v>
      </c>
      <c r="K25" s="360">
        <f t="shared" si="0"/>
        <v>496034</v>
      </c>
      <c r="L25" s="371">
        <v>486308</v>
      </c>
      <c r="M25" s="371">
        <v>486424</v>
      </c>
      <c r="N25" s="371"/>
      <c r="O25" s="332">
        <v>0</v>
      </c>
      <c r="P25" s="336"/>
      <c r="Q25" s="328"/>
    </row>
    <row r="26" spans="1:17" s="329" customFormat="1" ht="47.25">
      <c r="A26" s="349" t="s">
        <v>369</v>
      </c>
      <c r="B26" s="352" t="s">
        <v>422</v>
      </c>
      <c r="C26" s="332" t="s">
        <v>230</v>
      </c>
      <c r="D26" s="333">
        <v>36383</v>
      </c>
      <c r="E26" s="333">
        <v>36454</v>
      </c>
      <c r="F26" s="332" t="s">
        <v>358</v>
      </c>
      <c r="G26" s="334"/>
      <c r="H26" s="334">
        <v>38207</v>
      </c>
      <c r="I26" s="335">
        <v>0</v>
      </c>
      <c r="J26" s="335">
        <v>0</v>
      </c>
      <c r="K26" s="360">
        <f t="shared" si="0"/>
        <v>38207</v>
      </c>
      <c r="L26" s="371">
        <f>K26-78-525-749</f>
        <v>36855</v>
      </c>
      <c r="M26" s="371">
        <v>37261</v>
      </c>
      <c r="N26" s="371"/>
      <c r="O26" s="332">
        <v>0</v>
      </c>
      <c r="P26" s="336"/>
      <c r="Q26" s="328"/>
    </row>
    <row r="27" spans="1:17" s="329" customFormat="1" ht="78.75">
      <c r="A27" s="349" t="s">
        <v>370</v>
      </c>
      <c r="B27" s="352" t="s">
        <v>423</v>
      </c>
      <c r="C27" s="332" t="s">
        <v>230</v>
      </c>
      <c r="D27" s="333">
        <v>36383</v>
      </c>
      <c r="E27" s="333">
        <v>36454</v>
      </c>
      <c r="F27" s="332" t="s">
        <v>358</v>
      </c>
      <c r="G27" s="334"/>
      <c r="H27" s="334">
        <v>67746</v>
      </c>
      <c r="I27" s="335">
        <v>0</v>
      </c>
      <c r="J27" s="335">
        <v>0</v>
      </c>
      <c r="K27" s="360">
        <f t="shared" si="0"/>
        <v>67746</v>
      </c>
      <c r="L27" s="371">
        <f>K27-650-4125-1328</f>
        <v>61643</v>
      </c>
      <c r="M27" s="371">
        <v>64450</v>
      </c>
      <c r="N27" s="371"/>
      <c r="O27" s="332">
        <v>0</v>
      </c>
      <c r="P27" s="336"/>
      <c r="Q27" s="328"/>
    </row>
    <row r="28" spans="1:17">
      <c r="A28" s="351"/>
      <c r="B28" s="353"/>
      <c r="C28" s="278"/>
      <c r="D28" s="279"/>
      <c r="E28" s="279"/>
      <c r="F28" s="278"/>
      <c r="G28" s="280"/>
      <c r="H28" s="280"/>
      <c r="I28" s="281"/>
      <c r="J28" s="281"/>
      <c r="K28" s="361"/>
      <c r="L28" s="372"/>
      <c r="M28" s="372"/>
      <c r="N28" s="372"/>
      <c r="O28" s="278"/>
      <c r="P28" s="282"/>
      <c r="Q28" s="283"/>
    </row>
    <row r="29" spans="1:17" s="329" customFormat="1" ht="31.5">
      <c r="A29" s="350" t="s">
        <v>371</v>
      </c>
      <c r="B29" s="352" t="s">
        <v>424</v>
      </c>
      <c r="C29" s="323" t="s">
        <v>236</v>
      </c>
      <c r="D29" s="324">
        <v>36458</v>
      </c>
      <c r="E29" s="324">
        <v>36458</v>
      </c>
      <c r="F29" s="323" t="s">
        <v>355</v>
      </c>
      <c r="G29" s="325"/>
      <c r="H29" s="325">
        <v>0</v>
      </c>
      <c r="I29" s="326">
        <v>5000</v>
      </c>
      <c r="J29" s="326">
        <v>0</v>
      </c>
      <c r="K29" s="359">
        <f t="shared" si="0"/>
        <v>5000</v>
      </c>
      <c r="L29" s="370">
        <v>5000</v>
      </c>
      <c r="M29" s="370">
        <v>5000</v>
      </c>
      <c r="N29" s="370"/>
      <c r="O29" s="323">
        <v>0</v>
      </c>
      <c r="P29" s="327"/>
      <c r="Q29" s="328"/>
    </row>
    <row r="30" spans="1:17" ht="18">
      <c r="A30" s="277"/>
      <c r="B30" s="293" t="s">
        <v>378</v>
      </c>
      <c r="C30" s="278"/>
      <c r="D30" s="278"/>
      <c r="E30" s="278"/>
      <c r="F30" s="278" t="s">
        <v>355</v>
      </c>
      <c r="G30" s="294"/>
      <c r="H30" s="357">
        <f t="shared" ref="H30:M30" si="1">SUM(H13:H29)</f>
        <v>13576552</v>
      </c>
      <c r="I30" s="357">
        <f t="shared" si="1"/>
        <v>5000</v>
      </c>
      <c r="J30" s="357">
        <f t="shared" si="1"/>
        <v>0</v>
      </c>
      <c r="K30" s="357">
        <f t="shared" si="1"/>
        <v>13581552</v>
      </c>
      <c r="L30" s="419">
        <f t="shared" si="1"/>
        <v>7035125</v>
      </c>
      <c r="M30" s="419">
        <f t="shared" si="1"/>
        <v>10674363</v>
      </c>
      <c r="N30" s="419"/>
      <c r="O30" s="278"/>
      <c r="P30" s="282"/>
      <c r="Q30" s="283"/>
    </row>
    <row r="31" spans="1:17">
      <c r="A31" s="277"/>
      <c r="B31" s="293" t="s">
        <v>379</v>
      </c>
      <c r="C31" s="278"/>
      <c r="D31" s="278"/>
      <c r="E31" s="278"/>
      <c r="F31" s="278" t="s">
        <v>358</v>
      </c>
      <c r="G31" s="294"/>
      <c r="H31" s="294">
        <v>0</v>
      </c>
      <c r="I31" s="294">
        <v>0</v>
      </c>
      <c r="J31" s="294">
        <v>0</v>
      </c>
      <c r="K31" s="357">
        <v>0</v>
      </c>
      <c r="L31" s="374"/>
      <c r="M31" s="374"/>
      <c r="N31" s="374"/>
      <c r="O31" s="278"/>
      <c r="P31" s="282"/>
      <c r="Q31" s="283"/>
    </row>
    <row r="32" spans="1:17">
      <c r="A32" s="277"/>
      <c r="B32" s="293" t="s">
        <v>380</v>
      </c>
      <c r="C32" s="278"/>
      <c r="D32" s="278"/>
      <c r="E32" s="278"/>
      <c r="F32" s="278" t="s">
        <v>361</v>
      </c>
      <c r="G32" s="294"/>
      <c r="H32" s="294">
        <v>0</v>
      </c>
      <c r="I32" s="294">
        <v>0</v>
      </c>
      <c r="J32" s="294">
        <v>0</v>
      </c>
      <c r="K32" s="357">
        <v>0</v>
      </c>
      <c r="L32" s="374"/>
      <c r="M32" s="374"/>
      <c r="N32" s="374"/>
      <c r="O32" s="278"/>
      <c r="P32" s="282"/>
      <c r="Q32" s="283"/>
    </row>
    <row r="33" spans="1:17">
      <c r="A33" s="277"/>
      <c r="B33" s="293" t="s">
        <v>381</v>
      </c>
      <c r="C33" s="278"/>
      <c r="D33" s="278"/>
      <c r="E33" s="278"/>
      <c r="F33" s="278" t="s">
        <v>382</v>
      </c>
      <c r="G33" s="294"/>
      <c r="H33" s="294">
        <v>0</v>
      </c>
      <c r="I33" s="294">
        <v>0</v>
      </c>
      <c r="J33" s="294">
        <v>0</v>
      </c>
      <c r="K33" s="357">
        <v>0</v>
      </c>
      <c r="L33" s="374"/>
      <c r="M33" s="374"/>
      <c r="N33" s="374"/>
      <c r="O33" s="278"/>
      <c r="P33" s="282"/>
      <c r="Q33" s="283"/>
    </row>
    <row r="34" spans="1:17" ht="16.5" thickBot="1">
      <c r="A34" s="295"/>
      <c r="B34" s="296"/>
      <c r="C34" s="297"/>
      <c r="D34" s="297"/>
      <c r="E34" s="297"/>
      <c r="F34" s="298"/>
      <c r="G34" s="299"/>
      <c r="H34" s="299"/>
      <c r="I34" s="299"/>
      <c r="J34" s="299"/>
      <c r="K34" s="358"/>
      <c r="L34" s="375"/>
      <c r="M34" s="375"/>
      <c r="N34" s="375"/>
      <c r="O34" s="297"/>
      <c r="P34" s="300"/>
      <c r="Q34" s="301"/>
    </row>
    <row r="35" spans="1:17">
      <c r="A35" s="277"/>
      <c r="B35" s="293"/>
      <c r="C35" s="278"/>
      <c r="D35" s="278"/>
      <c r="E35" s="278"/>
      <c r="F35" s="418"/>
      <c r="G35" s="294"/>
      <c r="H35" s="294"/>
      <c r="I35" s="294"/>
      <c r="J35" s="294"/>
      <c r="K35" s="357"/>
      <c r="L35" s="374"/>
      <c r="M35" s="374"/>
      <c r="N35" s="374"/>
      <c r="O35" s="278"/>
      <c r="P35" s="282"/>
      <c r="Q35" s="283"/>
    </row>
    <row r="36" spans="1:17">
      <c r="A36" s="277"/>
      <c r="B36" s="293"/>
      <c r="C36" s="278"/>
      <c r="D36" s="278"/>
      <c r="E36" s="278"/>
      <c r="F36" s="418"/>
      <c r="G36" s="294"/>
      <c r="H36" s="294"/>
      <c r="I36" s="294"/>
      <c r="J36" s="294"/>
      <c r="K36" s="357"/>
      <c r="L36" s="374"/>
      <c r="M36" s="374"/>
      <c r="N36" s="374"/>
      <c r="O36" s="278"/>
      <c r="P36" s="282"/>
      <c r="Q36" s="283"/>
    </row>
    <row r="37" spans="1:17" s="33" customFormat="1">
      <c r="A37" s="351"/>
      <c r="B37" s="417" t="s">
        <v>462</v>
      </c>
      <c r="C37" s="409"/>
      <c r="D37" s="410"/>
      <c r="E37" s="410"/>
      <c r="F37" s="409"/>
      <c r="G37" s="411"/>
      <c r="H37" s="411"/>
      <c r="I37" s="412"/>
      <c r="J37" s="412"/>
      <c r="K37" s="413"/>
      <c r="L37" s="414"/>
      <c r="M37" s="414"/>
      <c r="N37" s="414"/>
      <c r="O37" s="409"/>
      <c r="P37" s="415"/>
      <c r="Q37" s="416"/>
    </row>
    <row r="38" spans="1:17" s="329" customFormat="1">
      <c r="A38" s="350" t="s">
        <v>372</v>
      </c>
      <c r="B38" s="352" t="s">
        <v>373</v>
      </c>
      <c r="C38" s="323" t="s">
        <v>374</v>
      </c>
      <c r="D38" s="324">
        <v>36210</v>
      </c>
      <c r="E38" s="324">
        <v>36210</v>
      </c>
      <c r="F38" s="323" t="s">
        <v>355</v>
      </c>
      <c r="G38" s="325">
        <v>480000</v>
      </c>
      <c r="H38" s="325">
        <v>0</v>
      </c>
      <c r="I38" s="326">
        <v>0</v>
      </c>
      <c r="J38" s="326">
        <v>0</v>
      </c>
      <c r="K38" s="359">
        <f t="shared" si="0"/>
        <v>480000</v>
      </c>
      <c r="L38" s="370">
        <v>480000</v>
      </c>
      <c r="M38" s="370"/>
      <c r="N38" s="370"/>
      <c r="O38" s="323">
        <v>0</v>
      </c>
      <c r="P38" s="327"/>
      <c r="Q38" s="328"/>
    </row>
    <row r="39" spans="1:17" s="329" customFormat="1" ht="47.25">
      <c r="A39" s="349" t="s">
        <v>375</v>
      </c>
      <c r="B39" s="352" t="s">
        <v>425</v>
      </c>
      <c r="C39" s="332" t="s">
        <v>374</v>
      </c>
      <c r="D39" s="333">
        <v>36416</v>
      </c>
      <c r="E39" s="333">
        <v>36416</v>
      </c>
      <c r="F39" s="332" t="s">
        <v>355</v>
      </c>
      <c r="G39" s="334">
        <v>1832000</v>
      </c>
      <c r="H39" s="334">
        <v>0</v>
      </c>
      <c r="I39" s="335">
        <v>0</v>
      </c>
      <c r="J39" s="335">
        <v>0</v>
      </c>
      <c r="K39" s="360">
        <f t="shared" si="0"/>
        <v>1832000</v>
      </c>
      <c r="L39" s="371">
        <v>1832000</v>
      </c>
      <c r="M39" s="371"/>
      <c r="N39" s="371"/>
      <c r="O39" s="332">
        <v>0</v>
      </c>
      <c r="P39" s="336"/>
      <c r="Q39" s="328"/>
    </row>
    <row r="40" spans="1:17">
      <c r="A40" s="351"/>
      <c r="B40" s="353"/>
      <c r="C40" s="278"/>
      <c r="D40" s="279"/>
      <c r="E40" s="279"/>
      <c r="F40" s="278"/>
      <c r="G40" s="280"/>
      <c r="H40" s="280"/>
      <c r="I40" s="281"/>
      <c r="J40" s="281"/>
      <c r="K40" s="361"/>
      <c r="L40" s="372"/>
      <c r="M40" s="372"/>
      <c r="N40" s="372"/>
      <c r="O40" s="278"/>
      <c r="P40" s="282"/>
      <c r="Q40" s="283"/>
    </row>
    <row r="41" spans="1:17" s="329" customFormat="1">
      <c r="A41" s="350" t="s">
        <v>376</v>
      </c>
      <c r="B41" s="352" t="s">
        <v>377</v>
      </c>
      <c r="C41" s="323" t="s">
        <v>374</v>
      </c>
      <c r="D41" s="324">
        <v>36413</v>
      </c>
      <c r="E41" s="324">
        <v>36413</v>
      </c>
      <c r="F41" s="323" t="s">
        <v>355</v>
      </c>
      <c r="G41" s="325">
        <v>9479079</v>
      </c>
      <c r="H41" s="325">
        <v>0</v>
      </c>
      <c r="I41" s="326">
        <v>0</v>
      </c>
      <c r="J41" s="326">
        <v>0</v>
      </c>
      <c r="K41" s="359">
        <f t="shared" si="0"/>
        <v>9479079</v>
      </c>
      <c r="L41" s="370">
        <v>9479079</v>
      </c>
      <c r="M41" s="370"/>
      <c r="N41" s="370"/>
      <c r="O41" s="323">
        <v>0</v>
      </c>
      <c r="P41" s="327"/>
      <c r="Q41" s="328"/>
    </row>
    <row r="42" spans="1:17">
      <c r="A42" s="284"/>
      <c r="B42" s="322"/>
      <c r="C42" s="278"/>
      <c r="D42" s="279"/>
      <c r="E42" s="279"/>
      <c r="F42" s="278"/>
      <c r="G42" s="280"/>
      <c r="H42" s="280"/>
      <c r="I42" s="281"/>
      <c r="J42" s="281"/>
      <c r="K42" s="361"/>
      <c r="L42" s="372"/>
      <c r="M42" s="372"/>
      <c r="N42" s="372"/>
      <c r="O42" s="278"/>
      <c r="P42" s="282"/>
      <c r="Q42" s="283"/>
    </row>
    <row r="43" spans="1:17" ht="4.5" customHeight="1">
      <c r="A43" s="286"/>
      <c r="B43" s="321"/>
      <c r="C43" s="288"/>
      <c r="D43" s="288"/>
      <c r="E43" s="288"/>
      <c r="F43" s="288"/>
      <c r="G43" s="289"/>
      <c r="H43" s="289"/>
      <c r="I43" s="290"/>
      <c r="J43" s="290"/>
      <c r="K43" s="362"/>
      <c r="L43" s="373"/>
      <c r="M43" s="373"/>
      <c r="N43" s="373"/>
      <c r="O43" s="288"/>
      <c r="P43" s="291"/>
      <c r="Q43" s="292"/>
    </row>
    <row r="44" spans="1:17" ht="4.5" customHeight="1">
      <c r="A44" s="277"/>
      <c r="B44" s="293"/>
      <c r="C44" s="278"/>
      <c r="D44" s="278"/>
      <c r="E44" s="278"/>
      <c r="F44" s="278"/>
      <c r="G44" s="278"/>
      <c r="H44" s="294"/>
      <c r="I44" s="294"/>
      <c r="J44" s="294"/>
      <c r="K44" s="357"/>
      <c r="L44" s="374"/>
      <c r="M44" s="374"/>
      <c r="N44" s="374"/>
      <c r="O44" s="278"/>
      <c r="P44" s="282"/>
      <c r="Q44" s="283"/>
    </row>
    <row r="45" spans="1:17" ht="12.75">
      <c r="A45" s="277"/>
      <c r="B45" s="293" t="s">
        <v>378</v>
      </c>
      <c r="C45" s="278"/>
      <c r="D45" s="278"/>
      <c r="E45" s="278"/>
      <c r="F45" s="278" t="s">
        <v>355</v>
      </c>
      <c r="G45" s="294">
        <f t="shared" ref="G45:L45" si="2">SUM(G38:G41)</f>
        <v>11791079</v>
      </c>
      <c r="H45" s="294">
        <f t="shared" si="2"/>
        <v>0</v>
      </c>
      <c r="I45" s="294">
        <f t="shared" si="2"/>
        <v>0</v>
      </c>
      <c r="J45" s="294">
        <f t="shared" si="2"/>
        <v>0</v>
      </c>
      <c r="K45" s="294">
        <f t="shared" si="2"/>
        <v>11791079</v>
      </c>
      <c r="L45" s="420">
        <f t="shared" si="2"/>
        <v>11791079</v>
      </c>
      <c r="M45" s="420"/>
      <c r="N45" s="420"/>
      <c r="O45" s="278"/>
      <c r="P45" s="282"/>
      <c r="Q45" s="283"/>
    </row>
    <row r="46" spans="1:17">
      <c r="A46" s="277"/>
      <c r="B46" s="293" t="s">
        <v>379</v>
      </c>
      <c r="C46" s="278"/>
      <c r="D46" s="278"/>
      <c r="E46" s="278"/>
      <c r="F46" s="278" t="s">
        <v>358</v>
      </c>
      <c r="G46" s="294">
        <f t="shared" ref="G46:K48" si="3">SUMIF($F$12:$F$43,$F46,G$12:G$43)</f>
        <v>0</v>
      </c>
      <c r="H46" s="294">
        <v>0</v>
      </c>
      <c r="I46" s="294">
        <f t="shared" si="3"/>
        <v>0</v>
      </c>
      <c r="J46" s="294">
        <f t="shared" si="3"/>
        <v>0</v>
      </c>
      <c r="K46" s="357">
        <v>0</v>
      </c>
      <c r="L46" s="374"/>
      <c r="M46" s="374"/>
      <c r="N46" s="374"/>
      <c r="O46" s="278"/>
      <c r="P46" s="282"/>
      <c r="Q46" s="283"/>
    </row>
    <row r="47" spans="1:17">
      <c r="A47" s="277"/>
      <c r="B47" s="293" t="s">
        <v>380</v>
      </c>
      <c r="C47" s="278"/>
      <c r="D47" s="278"/>
      <c r="E47" s="278"/>
      <c r="F47" s="278" t="s">
        <v>361</v>
      </c>
      <c r="G47" s="294">
        <f t="shared" si="3"/>
        <v>0</v>
      </c>
      <c r="H47" s="294">
        <v>0</v>
      </c>
      <c r="I47" s="294">
        <f t="shared" si="3"/>
        <v>0</v>
      </c>
      <c r="J47" s="294">
        <f t="shared" si="3"/>
        <v>0</v>
      </c>
      <c r="K47" s="357">
        <v>0</v>
      </c>
      <c r="L47" s="374"/>
      <c r="M47" s="374"/>
      <c r="N47" s="374"/>
      <c r="O47" s="278"/>
      <c r="P47" s="282"/>
      <c r="Q47" s="283"/>
    </row>
    <row r="48" spans="1:17">
      <c r="A48" s="277"/>
      <c r="B48" s="293" t="s">
        <v>381</v>
      </c>
      <c r="C48" s="278"/>
      <c r="D48" s="278"/>
      <c r="E48" s="278"/>
      <c r="F48" s="278" t="s">
        <v>382</v>
      </c>
      <c r="G48" s="294">
        <f t="shared" si="3"/>
        <v>0</v>
      </c>
      <c r="H48" s="294">
        <f t="shared" si="3"/>
        <v>0</v>
      </c>
      <c r="I48" s="294">
        <f t="shared" si="3"/>
        <v>0</v>
      </c>
      <c r="J48" s="294">
        <f t="shared" si="3"/>
        <v>0</v>
      </c>
      <c r="K48" s="357">
        <f t="shared" si="3"/>
        <v>0</v>
      </c>
      <c r="L48" s="374"/>
      <c r="M48" s="374"/>
      <c r="N48" s="374"/>
      <c r="O48" s="278"/>
      <c r="P48" s="282"/>
      <c r="Q48" s="283"/>
    </row>
    <row r="49" spans="1:14" ht="12.75">
      <c r="L49"/>
      <c r="M49"/>
      <c r="N49"/>
    </row>
    <row r="50" spans="1:14">
      <c r="K50" s="363"/>
    </row>
    <row r="51" spans="1:14">
      <c r="B51" s="24" t="s">
        <v>463</v>
      </c>
      <c r="K51" s="363"/>
    </row>
    <row r="52" spans="1:14">
      <c r="K52" s="422"/>
      <c r="L52" s="421"/>
      <c r="M52" s="421"/>
      <c r="N52" s="421"/>
    </row>
    <row r="55" spans="1:14" ht="15">
      <c r="A55" s="426" t="s">
        <v>490</v>
      </c>
      <c r="B55" s="427"/>
      <c r="L55"/>
      <c r="M55"/>
      <c r="N55"/>
    </row>
    <row r="56" spans="1:14" s="18" customFormat="1" ht="15">
      <c r="A56" s="433" t="s">
        <v>515</v>
      </c>
      <c r="B56" s="432" t="s">
        <v>516</v>
      </c>
      <c r="H56" s="68">
        <v>385857</v>
      </c>
    </row>
    <row r="57" spans="1:14" s="18" customFormat="1" ht="15">
      <c r="A57" s="433" t="s">
        <v>517</v>
      </c>
      <c r="B57" s="432" t="s">
        <v>518</v>
      </c>
      <c r="H57" s="68">
        <v>-67189</v>
      </c>
    </row>
    <row r="58" spans="1:14" s="18" customFormat="1" ht="15">
      <c r="A58" s="433" t="s">
        <v>495</v>
      </c>
      <c r="B58" s="432" t="s">
        <v>519</v>
      </c>
      <c r="H58" s="68">
        <v>38441</v>
      </c>
    </row>
    <row r="59" spans="1:14" s="18" customFormat="1" ht="15">
      <c r="A59" s="433" t="s">
        <v>520</v>
      </c>
      <c r="B59" s="432" t="s">
        <v>521</v>
      </c>
      <c r="H59" s="68">
        <v>99963</v>
      </c>
    </row>
    <row r="60" spans="1:14" s="18" customFormat="1" ht="15">
      <c r="A60" s="433" t="s">
        <v>497</v>
      </c>
      <c r="B60" s="432" t="s">
        <v>522</v>
      </c>
      <c r="H60" s="68">
        <v>-64133</v>
      </c>
    </row>
    <row r="61" spans="1:14" s="18" customFormat="1" ht="15">
      <c r="A61" s="433" t="s">
        <v>523</v>
      </c>
      <c r="B61" s="432" t="s">
        <v>524</v>
      </c>
      <c r="H61" s="68">
        <v>-85517</v>
      </c>
    </row>
    <row r="62" spans="1:14" s="18" customFormat="1" ht="15">
      <c r="A62" s="433" t="s">
        <v>525</v>
      </c>
      <c r="B62" s="432" t="s">
        <v>526</v>
      </c>
      <c r="H62" s="68">
        <v>93106</v>
      </c>
    </row>
    <row r="63" spans="1:14" s="18" customFormat="1" ht="15">
      <c r="A63" s="433" t="s">
        <v>497</v>
      </c>
      <c r="B63" s="432" t="s">
        <v>522</v>
      </c>
      <c r="H63" s="68">
        <v>24659</v>
      </c>
    </row>
    <row r="64" spans="1:14" s="305" customFormat="1" ht="15">
      <c r="A64" s="430" t="s">
        <v>384</v>
      </c>
      <c r="B64" s="430"/>
      <c r="H64" s="434">
        <f>SUM(H56:H63)</f>
        <v>425187</v>
      </c>
    </row>
    <row r="65" spans="1:14" ht="12.75">
      <c r="A65" s="30"/>
      <c r="B65" s="30"/>
      <c r="L65"/>
      <c r="M65"/>
      <c r="N65"/>
    </row>
    <row r="66" spans="1:14" ht="12.75">
      <c r="A66" s="30"/>
      <c r="B66" s="30"/>
      <c r="L66"/>
      <c r="M66"/>
      <c r="N66"/>
    </row>
    <row r="67" spans="1:14" ht="18.75" thickBot="1">
      <c r="B67" s="438" t="s">
        <v>514</v>
      </c>
      <c r="C67" s="439"/>
      <c r="D67" s="439"/>
      <c r="E67" s="439"/>
      <c r="F67" s="439"/>
      <c r="G67" s="439"/>
      <c r="H67" s="451">
        <f>H64+L45</f>
        <v>12216266</v>
      </c>
      <c r="L67"/>
      <c r="M67"/>
      <c r="N67"/>
    </row>
    <row r="68" spans="1:14" ht="16.5" thickTop="1"/>
  </sheetData>
  <mergeCells count="13">
    <mergeCell ref="E7:E9"/>
    <mergeCell ref="F7:F9"/>
    <mergeCell ref="G7:G9"/>
    <mergeCell ref="P7:P9"/>
    <mergeCell ref="I7:I9"/>
    <mergeCell ref="J7:J9"/>
    <mergeCell ref="K7:K9"/>
    <mergeCell ref="A7:A9"/>
    <mergeCell ref="O7:O9"/>
    <mergeCell ref="B7:B9"/>
    <mergeCell ref="H7:H9"/>
    <mergeCell ref="C7:C9"/>
    <mergeCell ref="D7:D9"/>
  </mergeCells>
  <printOptions horizontalCentered="1"/>
  <pageMargins left="0.17" right="0.16" top="0.18" bottom="0.16" header="0.17" footer="0.17"/>
  <pageSetup scale="53"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7169"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7169"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S47"/>
  <sheetViews>
    <sheetView showGridLines="0" zoomScale="75" zoomScaleNormal="75" zoomScaleSheetLayoutView="75" workbookViewId="0">
      <pane xSplit="1" ySplit="9" topLeftCell="B24" activePane="bottomRight" state="frozen"/>
      <selection activeCell="A9" sqref="A9"/>
      <selection pane="topRight" activeCell="A9" sqref="A9"/>
      <selection pane="bottomLeft" activeCell="A9" sqref="A9"/>
      <selection pane="bottomRight" activeCell="A46" sqref="A46"/>
    </sheetView>
  </sheetViews>
  <sheetFormatPr defaultRowHeight="12.75"/>
  <cols>
    <col min="1" max="1" width="13"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140625" bestFit="1"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9" ht="2.25" customHeight="1">
      <c r="C1" s="49"/>
      <c r="H1" s="254"/>
      <c r="I1" s="254"/>
      <c r="J1" s="254"/>
      <c r="K1" s="254"/>
      <c r="L1" s="49"/>
      <c r="M1" s="49"/>
    </row>
    <row r="2" spans="1:19" ht="11.25" customHeight="1">
      <c r="N2" s="255"/>
    </row>
    <row r="3" spans="1:19" ht="40.5" customHeight="1">
      <c r="A3" s="256"/>
      <c r="B3" s="256" t="s">
        <v>337</v>
      </c>
      <c r="G3" s="347" t="s">
        <v>329</v>
      </c>
      <c r="N3" s="255"/>
    </row>
    <row r="4" spans="1:19" ht="26.25">
      <c r="A4" s="257"/>
      <c r="B4" s="257" t="s">
        <v>338</v>
      </c>
      <c r="C4" s="255"/>
      <c r="D4" s="255"/>
      <c r="E4" s="255"/>
      <c r="F4" s="255"/>
      <c r="G4" s="255"/>
      <c r="H4" s="258"/>
      <c r="I4" s="258"/>
      <c r="J4" s="258"/>
      <c r="K4" s="258"/>
      <c r="L4" s="255"/>
      <c r="M4" s="255"/>
      <c r="N4" s="255"/>
    </row>
    <row r="5" spans="1:19" ht="20.25">
      <c r="A5" s="259"/>
      <c r="B5" s="259" t="s">
        <v>339</v>
      </c>
      <c r="C5" s="255"/>
      <c r="D5" s="255"/>
      <c r="E5" s="255"/>
      <c r="F5" s="255"/>
      <c r="G5" s="255"/>
      <c r="H5" s="258"/>
      <c r="I5" s="258"/>
      <c r="J5" s="258"/>
      <c r="K5" s="258"/>
      <c r="L5" s="255"/>
      <c r="M5" s="255"/>
      <c r="N5" s="255"/>
    </row>
    <row r="6" spans="1:19" ht="6.75" customHeight="1" thickBot="1">
      <c r="C6" s="49"/>
      <c r="H6" s="254"/>
      <c r="I6" s="254"/>
      <c r="J6" s="254"/>
      <c r="K6" s="254"/>
      <c r="L6" s="49"/>
      <c r="M6" s="49"/>
    </row>
    <row r="7" spans="1:19" ht="25.5" customHeight="1">
      <c r="A7" s="490" t="s">
        <v>340</v>
      </c>
      <c r="B7" s="493" t="s">
        <v>341</v>
      </c>
      <c r="C7" s="493" t="s">
        <v>342</v>
      </c>
      <c r="D7" s="493" t="s">
        <v>343</v>
      </c>
      <c r="E7" s="493" t="s">
        <v>344</v>
      </c>
      <c r="F7" s="493" t="s">
        <v>345</v>
      </c>
      <c r="G7" s="487" t="s">
        <v>346</v>
      </c>
      <c r="H7" s="487" t="s">
        <v>347</v>
      </c>
      <c r="I7" s="487" t="s">
        <v>348</v>
      </c>
      <c r="J7" s="487" t="s">
        <v>349</v>
      </c>
      <c r="K7" s="487" t="s">
        <v>350</v>
      </c>
      <c r="L7" s="493" t="s">
        <v>351</v>
      </c>
      <c r="M7" s="484" t="s">
        <v>352</v>
      </c>
      <c r="N7" s="260"/>
    </row>
    <row r="8" spans="1:19">
      <c r="A8" s="491"/>
      <c r="B8" s="494"/>
      <c r="C8" s="494"/>
      <c r="D8" s="494"/>
      <c r="E8" s="494"/>
      <c r="F8" s="494"/>
      <c r="G8" s="488"/>
      <c r="H8" s="488"/>
      <c r="I8" s="488"/>
      <c r="J8" s="488"/>
      <c r="K8" s="488"/>
      <c r="L8" s="494"/>
      <c r="M8" s="485"/>
      <c r="N8" s="261"/>
    </row>
    <row r="9" spans="1:19" ht="13.5" thickBot="1">
      <c r="A9" s="492"/>
      <c r="B9" s="495"/>
      <c r="C9" s="495"/>
      <c r="D9" s="495"/>
      <c r="E9" s="495"/>
      <c r="F9" s="495"/>
      <c r="G9" s="489"/>
      <c r="H9" s="489"/>
      <c r="I9" s="489"/>
      <c r="J9" s="489"/>
      <c r="K9" s="489"/>
      <c r="L9" s="495"/>
      <c r="M9" s="486"/>
      <c r="N9" s="262"/>
    </row>
    <row r="10" spans="1:19" ht="13.5" thickBot="1">
      <c r="A10" s="263"/>
      <c r="B10" s="264"/>
      <c r="C10" s="264"/>
      <c r="D10" s="264"/>
      <c r="E10" s="264"/>
      <c r="F10" s="264"/>
      <c r="G10" s="264"/>
      <c r="H10" s="263"/>
      <c r="I10" s="263"/>
      <c r="J10" s="263"/>
      <c r="K10" s="263"/>
      <c r="L10" s="264"/>
      <c r="M10" s="264"/>
      <c r="N10" s="265"/>
    </row>
    <row r="11" spans="1:19" s="30" customFormat="1" ht="18.75" customHeight="1" thickBot="1">
      <c r="A11" s="266" t="s">
        <v>385</v>
      </c>
      <c r="B11" s="267"/>
      <c r="C11" s="268"/>
      <c r="D11" s="268"/>
      <c r="E11" s="268"/>
      <c r="F11" s="268"/>
      <c r="G11" s="268"/>
      <c r="H11" s="269"/>
      <c r="I11" s="269"/>
      <c r="J11" s="269"/>
      <c r="K11" s="269"/>
      <c r="L11" s="268"/>
      <c r="M11" s="265"/>
      <c r="N11" s="265"/>
    </row>
    <row r="12" spans="1:19" ht="6" customHeight="1">
      <c r="A12" s="270"/>
      <c r="B12" s="271"/>
      <c r="C12" s="272"/>
      <c r="D12" s="272"/>
      <c r="E12" s="272"/>
      <c r="F12" s="272"/>
      <c r="G12" s="272"/>
      <c r="H12" s="273"/>
      <c r="I12" s="274"/>
      <c r="J12" s="274"/>
      <c r="K12" s="274"/>
      <c r="L12" s="272"/>
      <c r="M12" s="275"/>
      <c r="N12" s="276"/>
    </row>
    <row r="13" spans="1:19" s="331" customFormat="1" ht="110.25">
      <c r="A13" s="348" t="s">
        <v>386</v>
      </c>
      <c r="B13" s="354" t="s">
        <v>432</v>
      </c>
      <c r="C13" s="337" t="s">
        <v>230</v>
      </c>
      <c r="D13" s="338">
        <v>36369</v>
      </c>
      <c r="E13" s="338"/>
      <c r="F13" s="337" t="s">
        <v>361</v>
      </c>
      <c r="G13" s="339"/>
      <c r="H13" s="339">
        <v>3822297</v>
      </c>
      <c r="I13" s="340">
        <v>0</v>
      </c>
      <c r="J13" s="340">
        <v>0</v>
      </c>
      <c r="K13" s="340">
        <f>SUM(G13:J13)</f>
        <v>3822297</v>
      </c>
      <c r="L13" s="337" t="s">
        <v>387</v>
      </c>
      <c r="M13" s="341"/>
      <c r="N13" s="330"/>
    </row>
    <row r="14" spans="1:19" s="331" customFormat="1" ht="141.75">
      <c r="A14" s="348" t="s">
        <v>388</v>
      </c>
      <c r="B14" s="354" t="s">
        <v>431</v>
      </c>
      <c r="C14" s="337" t="s">
        <v>230</v>
      </c>
      <c r="D14" s="338">
        <v>36464</v>
      </c>
      <c r="E14" s="338"/>
      <c r="F14" s="337" t="s">
        <v>361</v>
      </c>
      <c r="G14" s="339"/>
      <c r="H14" s="339">
        <v>2906759</v>
      </c>
      <c r="I14" s="340">
        <v>0</v>
      </c>
      <c r="J14" s="340">
        <v>0</v>
      </c>
      <c r="K14" s="340">
        <f>SUM(G14:J14)</f>
        <v>2906759</v>
      </c>
      <c r="L14" s="337" t="s">
        <v>387</v>
      </c>
      <c r="M14" s="341"/>
      <c r="N14" s="330"/>
    </row>
    <row r="15" spans="1:19" s="435" customFormat="1">
      <c r="A15" s="338"/>
      <c r="B15" s="450" t="s">
        <v>509</v>
      </c>
      <c r="C15" s="338"/>
      <c r="D15" s="338"/>
      <c r="E15" s="338"/>
      <c r="F15" s="338"/>
      <c r="G15" s="338"/>
      <c r="H15" s="436">
        <v>263743</v>
      </c>
      <c r="I15" s="338"/>
      <c r="J15" s="338"/>
      <c r="K15" s="437">
        <f>SUM(C15:J15)</f>
        <v>263743</v>
      </c>
      <c r="L15" s="338"/>
      <c r="M15" s="338"/>
      <c r="N15" s="338"/>
      <c r="O15" s="338"/>
      <c r="P15" s="338"/>
      <c r="Q15" s="338"/>
      <c r="R15" s="338"/>
      <c r="S15" s="338"/>
    </row>
    <row r="16" spans="1:19" ht="15.75">
      <c r="A16" s="277" t="s">
        <v>389</v>
      </c>
      <c r="B16" s="355"/>
      <c r="C16" s="278" t="s">
        <v>374</v>
      </c>
      <c r="D16" s="279">
        <v>36350</v>
      </c>
      <c r="E16" s="279">
        <v>36350</v>
      </c>
      <c r="F16" s="278" t="s">
        <v>355</v>
      </c>
      <c r="G16" s="280">
        <v>436901</v>
      </c>
      <c r="H16" s="280">
        <v>0</v>
      </c>
      <c r="I16" s="281">
        <v>0</v>
      </c>
      <c r="J16" s="281">
        <v>0</v>
      </c>
      <c r="K16" s="281">
        <f>SUM(G16:J16)</f>
        <v>436901</v>
      </c>
      <c r="L16" s="278">
        <v>0</v>
      </c>
      <c r="M16" s="282"/>
      <c r="N16" s="283"/>
    </row>
    <row r="17" spans="1:14" ht="15.75">
      <c r="A17" s="277" t="s">
        <v>390</v>
      </c>
      <c r="B17" s="355" t="s">
        <v>391</v>
      </c>
      <c r="C17" s="278" t="s">
        <v>374</v>
      </c>
      <c r="D17" s="279">
        <v>36425</v>
      </c>
      <c r="E17" s="279">
        <v>36425</v>
      </c>
      <c r="F17" s="278" t="s">
        <v>355</v>
      </c>
      <c r="G17" s="280">
        <v>900</v>
      </c>
      <c r="H17" s="280">
        <v>0</v>
      </c>
      <c r="I17" s="281">
        <v>0</v>
      </c>
      <c r="J17" s="281">
        <v>0</v>
      </c>
      <c r="K17" s="281">
        <f>SUM(G17:J17)</f>
        <v>900</v>
      </c>
      <c r="L17" s="278">
        <v>0</v>
      </c>
      <c r="M17" s="282"/>
      <c r="N17" s="283"/>
    </row>
    <row r="18" spans="1:14" ht="15.75">
      <c r="A18" s="277"/>
      <c r="B18" s="355"/>
      <c r="C18" s="278"/>
      <c r="D18" s="279"/>
      <c r="E18" s="279"/>
      <c r="F18" s="278"/>
      <c r="G18" s="280"/>
      <c r="H18" s="280"/>
      <c r="I18" s="281"/>
      <c r="J18" s="281"/>
      <c r="K18" s="281"/>
      <c r="L18" s="278"/>
      <c r="M18" s="282"/>
      <c r="N18" s="283"/>
    </row>
    <row r="19" spans="1:14" ht="15.75">
      <c r="A19" s="277" t="s">
        <v>392</v>
      </c>
      <c r="B19" s="355" t="s">
        <v>393</v>
      </c>
      <c r="C19" s="278" t="s">
        <v>374</v>
      </c>
      <c r="D19" s="279">
        <v>36423</v>
      </c>
      <c r="E19" s="279">
        <v>36423</v>
      </c>
      <c r="F19" s="278" t="s">
        <v>355</v>
      </c>
      <c r="G19" s="280">
        <v>1099800</v>
      </c>
      <c r="H19" s="280">
        <v>0</v>
      </c>
      <c r="I19" s="280">
        <v>0</v>
      </c>
      <c r="J19" s="280">
        <v>0</v>
      </c>
      <c r="K19" s="281">
        <f>SUM(G19:J19)</f>
        <v>1099800</v>
      </c>
      <c r="L19" s="278">
        <v>0</v>
      </c>
      <c r="M19" s="282"/>
      <c r="N19" s="283"/>
    </row>
    <row r="20" spans="1:14" ht="15.75">
      <c r="A20" s="277" t="s">
        <v>394</v>
      </c>
      <c r="B20" s="355" t="s">
        <v>395</v>
      </c>
      <c r="C20" s="278" t="s">
        <v>374</v>
      </c>
      <c r="D20" s="279">
        <v>36425</v>
      </c>
      <c r="E20" s="279">
        <v>36425</v>
      </c>
      <c r="F20" s="278" t="s">
        <v>355</v>
      </c>
      <c r="G20" s="280">
        <v>16100</v>
      </c>
      <c r="H20" s="280">
        <v>0</v>
      </c>
      <c r="I20" s="280">
        <v>0</v>
      </c>
      <c r="J20" s="280">
        <v>0</v>
      </c>
      <c r="K20" s="281">
        <f>SUM(G20:J20)</f>
        <v>16100</v>
      </c>
      <c r="L20" s="278">
        <v>0</v>
      </c>
      <c r="M20" s="282"/>
      <c r="N20" s="283"/>
    </row>
    <row r="21" spans="1:14" ht="15.75">
      <c r="A21" s="277" t="s">
        <v>394</v>
      </c>
      <c r="B21" s="355" t="s">
        <v>396</v>
      </c>
      <c r="C21" s="278" t="s">
        <v>374</v>
      </c>
      <c r="D21" s="279">
        <v>36425</v>
      </c>
      <c r="E21" s="279">
        <v>36425</v>
      </c>
      <c r="F21" s="278" t="s">
        <v>355</v>
      </c>
      <c r="G21" s="280">
        <v>29800</v>
      </c>
      <c r="H21" s="280">
        <v>0</v>
      </c>
      <c r="I21" s="280">
        <v>0</v>
      </c>
      <c r="J21" s="280">
        <v>0</v>
      </c>
      <c r="K21" s="281">
        <f>SUM(G21:J21)</f>
        <v>29800</v>
      </c>
      <c r="L21" s="278">
        <v>0</v>
      </c>
      <c r="M21" s="282"/>
      <c r="N21" s="283"/>
    </row>
    <row r="22" spans="1:14" ht="15.75">
      <c r="A22" s="277" t="s">
        <v>397</v>
      </c>
      <c r="B22" s="355" t="s">
        <v>398</v>
      </c>
      <c r="C22" s="278" t="s">
        <v>374</v>
      </c>
      <c r="D22" s="279">
        <v>36425</v>
      </c>
      <c r="E22" s="279">
        <v>36425</v>
      </c>
      <c r="F22" s="278" t="s">
        <v>355</v>
      </c>
      <c r="G22" s="280">
        <v>22900</v>
      </c>
      <c r="H22" s="280">
        <v>0</v>
      </c>
      <c r="I22" s="280">
        <v>0</v>
      </c>
      <c r="J22" s="280">
        <v>0</v>
      </c>
      <c r="K22" s="281">
        <f>SUM(G22:J22)</f>
        <v>22900</v>
      </c>
      <c r="L22" s="278">
        <v>0</v>
      </c>
      <c r="M22" s="282"/>
      <c r="N22" s="283"/>
    </row>
    <row r="23" spans="1:14" ht="15.75">
      <c r="A23" s="277" t="s">
        <v>397</v>
      </c>
      <c r="B23" s="355" t="s">
        <v>399</v>
      </c>
      <c r="C23" s="278" t="s">
        <v>374</v>
      </c>
      <c r="D23" s="279">
        <v>36425</v>
      </c>
      <c r="E23" s="279">
        <v>36425</v>
      </c>
      <c r="F23" s="278" t="s">
        <v>355</v>
      </c>
      <c r="G23" s="280">
        <v>39315</v>
      </c>
      <c r="H23" s="280">
        <v>0</v>
      </c>
      <c r="I23" s="280">
        <v>0</v>
      </c>
      <c r="J23" s="280">
        <v>0</v>
      </c>
      <c r="K23" s="281">
        <f>SUM(G23:J23)</f>
        <v>39315</v>
      </c>
      <c r="L23" s="278">
        <v>0</v>
      </c>
      <c r="M23" s="282"/>
      <c r="N23" s="283"/>
    </row>
    <row r="24" spans="1:14" ht="15.75">
      <c r="A24" s="284"/>
      <c r="B24" s="356"/>
      <c r="C24" s="278"/>
      <c r="D24" s="279"/>
      <c r="E24" s="279"/>
      <c r="F24" s="278"/>
      <c r="G24" s="280"/>
      <c r="H24" s="280"/>
      <c r="I24" s="281"/>
      <c r="J24" s="281"/>
      <c r="K24" s="281"/>
      <c r="L24" s="278"/>
      <c r="M24" s="282"/>
      <c r="N24" s="283"/>
    </row>
    <row r="25" spans="1:14" ht="4.5" customHeight="1">
      <c r="A25" s="286"/>
      <c r="B25" s="287"/>
      <c r="C25" s="288"/>
      <c r="D25" s="288"/>
      <c r="E25" s="288"/>
      <c r="F25" s="288"/>
      <c r="G25" s="288"/>
      <c r="H25" s="289"/>
      <c r="I25" s="290"/>
      <c r="J25" s="290"/>
      <c r="K25" s="290"/>
      <c r="L25" s="288"/>
      <c r="M25" s="291"/>
      <c r="N25" s="292"/>
    </row>
    <row r="26" spans="1:14" ht="4.5" customHeight="1">
      <c r="A26" s="277"/>
      <c r="B26" s="293"/>
      <c r="C26" s="278"/>
      <c r="D26" s="278"/>
      <c r="E26" s="278"/>
      <c r="F26" s="278"/>
      <c r="G26" s="278"/>
      <c r="H26" s="294"/>
      <c r="I26" s="294"/>
      <c r="J26" s="294"/>
      <c r="K26" s="294"/>
      <c r="L26" s="278"/>
      <c r="M26" s="282"/>
      <c r="N26" s="283"/>
    </row>
    <row r="27" spans="1:14">
      <c r="A27" s="277"/>
      <c r="B27" s="293" t="s">
        <v>378</v>
      </c>
      <c r="C27" s="278"/>
      <c r="D27" s="278"/>
      <c r="E27" s="278"/>
      <c r="F27" s="278" t="s">
        <v>355</v>
      </c>
      <c r="G27" s="294">
        <f t="shared" ref="G27:K30" si="0">SUMIF($F$12:$F$25,$F27,G$12:G$25)</f>
        <v>1645716</v>
      </c>
      <c r="H27" s="294">
        <f t="shared" si="0"/>
        <v>0</v>
      </c>
      <c r="I27" s="294">
        <f t="shared" si="0"/>
        <v>0</v>
      </c>
      <c r="J27" s="294">
        <f t="shared" si="0"/>
        <v>0</v>
      </c>
      <c r="K27" s="294">
        <f>SUM(K16:K23)</f>
        <v>1645716</v>
      </c>
      <c r="L27" s="278"/>
      <c r="M27" s="282"/>
      <c r="N27" s="283"/>
    </row>
    <row r="28" spans="1:14">
      <c r="A28" s="277"/>
      <c r="B28" s="293" t="s">
        <v>379</v>
      </c>
      <c r="C28" s="278"/>
      <c r="D28" s="278"/>
      <c r="E28" s="278"/>
      <c r="F28" s="278" t="s">
        <v>358</v>
      </c>
      <c r="G28" s="294">
        <f t="shared" si="0"/>
        <v>0</v>
      </c>
      <c r="H28" s="294">
        <f>SUM(H13:H15)</f>
        <v>6992799</v>
      </c>
      <c r="I28" s="294">
        <f t="shared" si="0"/>
        <v>0</v>
      </c>
      <c r="J28" s="294">
        <f t="shared" si="0"/>
        <v>0</v>
      </c>
      <c r="K28" s="294">
        <f>SUM(K13:K15)</f>
        <v>6992799</v>
      </c>
      <c r="L28" s="278"/>
      <c r="M28" s="282"/>
      <c r="N28" s="283"/>
    </row>
    <row r="29" spans="1:14">
      <c r="A29" s="277"/>
      <c r="B29" s="293" t="s">
        <v>380</v>
      </c>
      <c r="C29" s="278"/>
      <c r="D29" s="278"/>
      <c r="E29" s="278"/>
      <c r="F29" s="278" t="s">
        <v>361</v>
      </c>
      <c r="G29" s="294">
        <f t="shared" si="0"/>
        <v>0</v>
      </c>
      <c r="H29" s="294">
        <v>0</v>
      </c>
      <c r="I29" s="294">
        <f t="shared" si="0"/>
        <v>0</v>
      </c>
      <c r="J29" s="294">
        <f t="shared" si="0"/>
        <v>0</v>
      </c>
      <c r="K29" s="294">
        <v>0</v>
      </c>
      <c r="L29" s="278"/>
      <c r="M29" s="282"/>
      <c r="N29" s="283"/>
    </row>
    <row r="30" spans="1:14">
      <c r="A30" s="277"/>
      <c r="B30" s="293" t="s">
        <v>381</v>
      </c>
      <c r="C30" s="278"/>
      <c r="D30" s="278"/>
      <c r="E30" s="278"/>
      <c r="F30" s="278" t="s">
        <v>382</v>
      </c>
      <c r="G30" s="294">
        <f t="shared" si="0"/>
        <v>0</v>
      </c>
      <c r="H30" s="294">
        <f t="shared" si="0"/>
        <v>0</v>
      </c>
      <c r="I30" s="294">
        <f t="shared" si="0"/>
        <v>0</v>
      </c>
      <c r="J30" s="294">
        <f t="shared" si="0"/>
        <v>0</v>
      </c>
      <c r="K30" s="294">
        <f t="shared" si="0"/>
        <v>0</v>
      </c>
      <c r="L30" s="278"/>
      <c r="M30" s="282"/>
      <c r="N30" s="283"/>
    </row>
    <row r="31" spans="1:14" ht="13.5" thickBot="1">
      <c r="A31" s="295"/>
      <c r="B31" s="296" t="s">
        <v>400</v>
      </c>
      <c r="C31" s="297"/>
      <c r="D31" s="297"/>
      <c r="E31" s="297"/>
      <c r="F31" s="298" t="s">
        <v>75</v>
      </c>
      <c r="G31" s="299">
        <f>SUM(G26:G30)</f>
        <v>1645716</v>
      </c>
      <c r="H31" s="299">
        <f>SUM(H27:H30)</f>
        <v>6992799</v>
      </c>
      <c r="I31" s="299">
        <f>SUM(I26:I30)</f>
        <v>0</v>
      </c>
      <c r="J31" s="299">
        <f>SUM(J26:J30)</f>
        <v>0</v>
      </c>
      <c r="K31" s="299">
        <f>SUM(K26:K30)</f>
        <v>8638515</v>
      </c>
      <c r="L31" s="297"/>
      <c r="M31" s="300"/>
      <c r="N31" s="301"/>
    </row>
    <row r="32" spans="1:14">
      <c r="A32" s="307"/>
      <c r="B32" s="308"/>
      <c r="C32" s="309"/>
      <c r="D32" s="309"/>
      <c r="E32" s="309"/>
      <c r="F32" s="268"/>
      <c r="G32" s="310"/>
      <c r="H32" s="310"/>
      <c r="I32" s="310"/>
      <c r="J32" s="310"/>
      <c r="K32" s="310"/>
      <c r="L32" s="309"/>
      <c r="M32" s="282"/>
      <c r="N32" s="311"/>
    </row>
    <row r="33" spans="1:8" ht="15">
      <c r="A33" s="306" t="s">
        <v>401</v>
      </c>
    </row>
    <row r="34" spans="1:8" ht="15">
      <c r="A34" s="306"/>
    </row>
    <row r="35" spans="1:8" s="122" customFormat="1" ht="15.75">
      <c r="A35" s="122" t="s">
        <v>383</v>
      </c>
      <c r="H35" s="302">
        <f>H24+H25</f>
        <v>0</v>
      </c>
    </row>
    <row r="37" spans="1:8" s="303" customFormat="1" ht="15">
      <c r="A37" s="303" t="s">
        <v>402</v>
      </c>
      <c r="H37" s="304">
        <v>0</v>
      </c>
    </row>
    <row r="39" spans="1:8" ht="15">
      <c r="A39" s="426" t="s">
        <v>490</v>
      </c>
      <c r="B39" s="427"/>
    </row>
    <row r="40" spans="1:8" s="18" customFormat="1" ht="15">
      <c r="A40" s="433" t="s">
        <v>491</v>
      </c>
      <c r="B40" s="432" t="s">
        <v>494</v>
      </c>
      <c r="H40" s="68">
        <v>317897</v>
      </c>
    </row>
    <row r="41" spans="1:8" s="18" customFormat="1" ht="15">
      <c r="A41" s="433" t="s">
        <v>495</v>
      </c>
      <c r="B41" s="432" t="s">
        <v>498</v>
      </c>
      <c r="H41" s="68">
        <v>-739008</v>
      </c>
    </row>
    <row r="42" spans="1:8" s="18" customFormat="1" ht="15">
      <c r="A42" s="433" t="s">
        <v>497</v>
      </c>
      <c r="B42" s="432" t="s">
        <v>510</v>
      </c>
      <c r="H42" s="68">
        <v>421112</v>
      </c>
    </row>
    <row r="43" spans="1:8" s="305" customFormat="1" ht="15">
      <c r="A43" s="430" t="s">
        <v>384</v>
      </c>
      <c r="B43" s="430"/>
      <c r="H43" s="434">
        <f>SUM(H40:H42)</f>
        <v>1</v>
      </c>
    </row>
    <row r="44" spans="1:8">
      <c r="H44" s="254"/>
    </row>
    <row r="46" spans="1:8" ht="18.75" thickBot="1">
      <c r="B46" s="438" t="s">
        <v>514</v>
      </c>
      <c r="C46" s="439"/>
      <c r="D46" s="439"/>
      <c r="E46" s="439"/>
      <c r="F46" s="439"/>
      <c r="G46" s="439"/>
      <c r="H46" s="440">
        <f>H31+H43</f>
        <v>6992800</v>
      </c>
    </row>
    <row r="47" spans="1:8" ht="13.5" thickTop="1"/>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17"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8193"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819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1:N90"/>
  <sheetViews>
    <sheetView showGridLines="0" zoomScale="75" zoomScaleNormal="75" zoomScaleSheetLayoutView="75" workbookViewId="0">
      <pane xSplit="1" ySplit="9" topLeftCell="B20" activePane="bottomRight" state="frozen"/>
      <selection activeCell="A9" sqref="A9"/>
      <selection pane="topRight" activeCell="A9" sqref="A9"/>
      <selection pane="bottomLeft" activeCell="A9" sqref="A9"/>
      <selection pane="bottomRight" activeCell="E45" sqref="E45"/>
    </sheetView>
  </sheetViews>
  <sheetFormatPr defaultRowHeight="12.75"/>
  <cols>
    <col min="1" max="1" width="13.7109375" customWidth="1"/>
    <col min="2" max="2" width="47.85546875" customWidth="1"/>
    <col min="3" max="3" width="11.42578125" bestFit="1" customWidth="1"/>
    <col min="4" max="4" width="9.7109375" customWidth="1"/>
    <col min="5" max="5" width="10.85546875" customWidth="1"/>
    <col min="6" max="6" width="16.7109375" bestFit="1" customWidth="1"/>
    <col min="7" max="7" width="14" bestFit="1" customWidth="1"/>
    <col min="8" max="8" width="16.5703125" customWidth="1"/>
    <col min="9" max="9" width="11.42578125" customWidth="1"/>
    <col min="10" max="10" width="10.42578125" customWidth="1"/>
    <col min="11" max="11" width="13.5703125" customWidth="1"/>
    <col min="12" max="12" width="9.85546875" customWidth="1"/>
    <col min="13" max="13" width="41.140625" bestFit="1" customWidth="1"/>
    <col min="14" max="14" width="1.28515625" customWidth="1"/>
    <col min="15" max="16" width="30.7109375" customWidth="1"/>
  </cols>
  <sheetData>
    <row r="1" spans="1:14" ht="2.25" customHeight="1">
      <c r="C1" s="49"/>
      <c r="H1" s="254"/>
      <c r="I1" s="254"/>
      <c r="J1" s="254"/>
      <c r="K1" s="254"/>
      <c r="L1" s="49"/>
      <c r="M1" s="49"/>
    </row>
    <row r="2" spans="1:14" ht="11.25" customHeight="1">
      <c r="N2" s="255"/>
    </row>
    <row r="3" spans="1:14" ht="40.5" customHeight="1">
      <c r="A3" s="256"/>
      <c r="B3" s="256" t="s">
        <v>337</v>
      </c>
      <c r="G3" s="347" t="s">
        <v>330</v>
      </c>
      <c r="N3" s="255"/>
    </row>
    <row r="4" spans="1:14" ht="26.25">
      <c r="A4" s="257"/>
      <c r="B4" s="257" t="s">
        <v>338</v>
      </c>
      <c r="C4" s="255"/>
      <c r="D4" s="255"/>
      <c r="E4" s="255"/>
      <c r="F4" s="255"/>
      <c r="G4" s="255"/>
      <c r="H4" s="258"/>
      <c r="I4" s="258"/>
      <c r="J4" s="258"/>
      <c r="K4" s="258"/>
      <c r="L4" s="255"/>
      <c r="M4" s="255"/>
      <c r="N4" s="255"/>
    </row>
    <row r="5" spans="1:14" ht="20.25">
      <c r="A5" s="259"/>
      <c r="B5" s="259" t="s">
        <v>339</v>
      </c>
      <c r="C5" s="255"/>
      <c r="D5" s="255"/>
      <c r="E5" s="255"/>
      <c r="F5" s="255"/>
      <c r="G5" s="255"/>
      <c r="H5" s="258"/>
      <c r="I5" s="258"/>
      <c r="J5" s="258"/>
      <c r="K5" s="258"/>
      <c r="L5" s="255"/>
      <c r="M5" s="255"/>
      <c r="N5" s="255"/>
    </row>
    <row r="6" spans="1:14" ht="6.75" customHeight="1" thickBot="1">
      <c r="C6" s="49"/>
      <c r="H6" s="254"/>
      <c r="I6" s="254"/>
      <c r="J6" s="254"/>
      <c r="K6" s="254"/>
      <c r="L6" s="49"/>
      <c r="M6" s="49"/>
    </row>
    <row r="7" spans="1:14" ht="25.5" customHeight="1">
      <c r="A7" s="490" t="s">
        <v>340</v>
      </c>
      <c r="B7" s="493" t="s">
        <v>341</v>
      </c>
      <c r="C7" s="493" t="s">
        <v>342</v>
      </c>
      <c r="D7" s="493" t="s">
        <v>343</v>
      </c>
      <c r="E7" s="493" t="s">
        <v>344</v>
      </c>
      <c r="F7" s="493" t="s">
        <v>345</v>
      </c>
      <c r="G7" s="487" t="s">
        <v>346</v>
      </c>
      <c r="H7" s="487" t="s">
        <v>347</v>
      </c>
      <c r="I7" s="487" t="s">
        <v>348</v>
      </c>
      <c r="J7" s="487" t="s">
        <v>349</v>
      </c>
      <c r="K7" s="487" t="s">
        <v>350</v>
      </c>
      <c r="L7" s="493" t="s">
        <v>351</v>
      </c>
      <c r="M7" s="484" t="s">
        <v>352</v>
      </c>
      <c r="N7" s="260"/>
    </row>
    <row r="8" spans="1:14">
      <c r="A8" s="491"/>
      <c r="B8" s="494"/>
      <c r="C8" s="494"/>
      <c r="D8" s="494"/>
      <c r="E8" s="494"/>
      <c r="F8" s="494"/>
      <c r="G8" s="488"/>
      <c r="H8" s="488"/>
      <c r="I8" s="488"/>
      <c r="J8" s="488"/>
      <c r="K8" s="488"/>
      <c r="L8" s="494"/>
      <c r="M8" s="485"/>
      <c r="N8" s="261"/>
    </row>
    <row r="9" spans="1:14" ht="13.5" thickBot="1">
      <c r="A9" s="492"/>
      <c r="B9" s="495"/>
      <c r="C9" s="495"/>
      <c r="D9" s="495"/>
      <c r="E9" s="495"/>
      <c r="F9" s="495"/>
      <c r="G9" s="489"/>
      <c r="H9" s="489"/>
      <c r="I9" s="489"/>
      <c r="J9" s="489"/>
      <c r="K9" s="489"/>
      <c r="L9" s="495"/>
      <c r="M9" s="486"/>
      <c r="N9" s="262"/>
    </row>
    <row r="10" spans="1:14" ht="13.5" thickBot="1">
      <c r="A10" s="263"/>
      <c r="B10" s="264"/>
      <c r="C10" s="264"/>
      <c r="D10" s="264"/>
      <c r="E10" s="264"/>
      <c r="F10" s="264"/>
      <c r="G10" s="264"/>
      <c r="H10" s="263"/>
      <c r="I10" s="263"/>
      <c r="J10" s="263"/>
      <c r="K10" s="263"/>
      <c r="L10" s="264"/>
      <c r="M10" s="264"/>
      <c r="N10" s="265"/>
    </row>
    <row r="11" spans="1:14" s="30" customFormat="1" ht="18.75" customHeight="1" thickBot="1">
      <c r="A11" s="266" t="s">
        <v>404</v>
      </c>
      <c r="B11" s="267"/>
      <c r="C11" s="268"/>
      <c r="D11" s="268"/>
      <c r="E11" s="268"/>
      <c r="F11" s="268"/>
      <c r="G11" s="268"/>
      <c r="H11" s="269"/>
      <c r="I11" s="269"/>
      <c r="J11" s="269"/>
      <c r="K11" s="269"/>
      <c r="L11" s="268"/>
      <c r="M11" s="265"/>
      <c r="N11" s="265"/>
    </row>
    <row r="12" spans="1:14" s="331" customFormat="1" ht="74.25" customHeight="1">
      <c r="A12" s="348" t="s">
        <v>405</v>
      </c>
      <c r="B12" s="354" t="s">
        <v>433</v>
      </c>
      <c r="C12" s="337" t="s">
        <v>230</v>
      </c>
      <c r="D12" s="338">
        <v>36388</v>
      </c>
      <c r="E12" s="338"/>
      <c r="F12" s="337" t="s">
        <v>361</v>
      </c>
      <c r="G12" s="339"/>
      <c r="H12" s="339">
        <v>3953393</v>
      </c>
      <c r="I12" s="340">
        <v>0</v>
      </c>
      <c r="J12" s="340">
        <v>0</v>
      </c>
      <c r="K12" s="340">
        <f>SUM(G12:J12)</f>
        <v>3953393</v>
      </c>
      <c r="L12" s="337" t="s">
        <v>387</v>
      </c>
      <c r="M12" s="341"/>
      <c r="N12" s="330"/>
    </row>
    <row r="13" spans="1:14" s="331" customFormat="1" ht="89.25" customHeight="1">
      <c r="A13" s="348" t="s">
        <v>406</v>
      </c>
      <c r="B13" s="354" t="s">
        <v>435</v>
      </c>
      <c r="C13" s="337" t="s">
        <v>230</v>
      </c>
      <c r="D13" s="338">
        <v>36464</v>
      </c>
      <c r="E13" s="338"/>
      <c r="F13" s="337" t="s">
        <v>361</v>
      </c>
      <c r="G13" s="339"/>
      <c r="H13" s="339">
        <v>2321129</v>
      </c>
      <c r="I13" s="340">
        <v>0</v>
      </c>
      <c r="J13" s="340">
        <v>0</v>
      </c>
      <c r="K13" s="340">
        <f>SUM(G13:J13)</f>
        <v>2321129</v>
      </c>
      <c r="L13" s="337" t="s">
        <v>387</v>
      </c>
      <c r="M13" s="341"/>
      <c r="N13" s="330"/>
    </row>
    <row r="14" spans="1:14" s="449" customFormat="1" ht="23.25" customHeight="1">
      <c r="A14" s="441"/>
      <c r="B14" s="442" t="s">
        <v>509</v>
      </c>
      <c r="C14" s="443"/>
      <c r="D14" s="444"/>
      <c r="E14" s="444"/>
      <c r="F14" s="443"/>
      <c r="G14" s="445"/>
      <c r="H14" s="445">
        <v>294693</v>
      </c>
      <c r="I14" s="446"/>
      <c r="J14" s="446"/>
      <c r="K14" s="446">
        <f>SUM(H14:J14)</f>
        <v>294693</v>
      </c>
      <c r="L14" s="443"/>
      <c r="M14" s="447"/>
      <c r="N14" s="448"/>
    </row>
    <row r="15" spans="1:14" ht="15.75">
      <c r="A15" s="277"/>
      <c r="B15" s="355"/>
      <c r="C15" s="278"/>
      <c r="D15" s="279"/>
      <c r="E15" s="279"/>
      <c r="F15" s="278"/>
      <c r="G15" s="280"/>
      <c r="H15" s="280"/>
      <c r="I15" s="281"/>
      <c r="J15" s="281"/>
      <c r="K15" s="281"/>
      <c r="L15" s="278"/>
      <c r="M15" s="282"/>
      <c r="N15" s="283"/>
    </row>
    <row r="16" spans="1:14" ht="15.75">
      <c r="A16" s="277" t="s">
        <v>407</v>
      </c>
      <c r="B16" s="355" t="s">
        <v>408</v>
      </c>
      <c r="C16" s="278" t="s">
        <v>374</v>
      </c>
      <c r="D16" s="279">
        <v>36342</v>
      </c>
      <c r="E16" s="279">
        <v>36342</v>
      </c>
      <c r="F16" s="278" t="s">
        <v>355</v>
      </c>
      <c r="G16" s="280">
        <v>-100000</v>
      </c>
      <c r="H16" s="280">
        <v>0</v>
      </c>
      <c r="I16" s="281">
        <v>0</v>
      </c>
      <c r="J16" s="281">
        <v>0</v>
      </c>
      <c r="K16" s="281">
        <f>SUM(G16:J16)</f>
        <v>-100000</v>
      </c>
      <c r="L16" s="278">
        <v>0</v>
      </c>
      <c r="M16" s="282"/>
      <c r="N16" s="283"/>
    </row>
    <row r="17" spans="1:14" ht="15.75">
      <c r="A17" s="277" t="s">
        <v>409</v>
      </c>
      <c r="B17" s="355" t="s">
        <v>410</v>
      </c>
      <c r="C17" s="278" t="s">
        <v>374</v>
      </c>
      <c r="D17" s="279">
        <v>36348</v>
      </c>
      <c r="E17" s="279">
        <v>36348</v>
      </c>
      <c r="F17" s="278" t="s">
        <v>355</v>
      </c>
      <c r="G17" s="280">
        <v>353801</v>
      </c>
      <c r="H17" s="280">
        <v>0</v>
      </c>
      <c r="I17" s="281">
        <v>0</v>
      </c>
      <c r="J17" s="281">
        <v>0</v>
      </c>
      <c r="K17" s="281">
        <f>SUM(G17:J17)</f>
        <v>353801</v>
      </c>
      <c r="L17" s="278">
        <v>0</v>
      </c>
      <c r="M17" s="282"/>
      <c r="N17" s="283"/>
    </row>
    <row r="18" spans="1:14" ht="15.75">
      <c r="A18" s="277" t="s">
        <v>411</v>
      </c>
      <c r="B18" s="355" t="s">
        <v>412</v>
      </c>
      <c r="C18" s="278" t="s">
        <v>374</v>
      </c>
      <c r="D18" s="279">
        <v>36398</v>
      </c>
      <c r="E18" s="279">
        <v>36398</v>
      </c>
      <c r="F18" s="278" t="s">
        <v>355</v>
      </c>
      <c r="G18" s="280">
        <v>-22200</v>
      </c>
      <c r="H18" s="280">
        <v>0</v>
      </c>
      <c r="I18" s="281">
        <v>0</v>
      </c>
      <c r="J18" s="281">
        <v>0</v>
      </c>
      <c r="K18" s="281">
        <f>SUM(G18:J18)</f>
        <v>-22200</v>
      </c>
      <c r="L18" s="278">
        <v>0</v>
      </c>
      <c r="M18" s="282"/>
      <c r="N18" s="283"/>
    </row>
    <row r="19" spans="1:14">
      <c r="A19" s="284"/>
      <c r="B19" s="285"/>
      <c r="C19" s="278"/>
      <c r="D19" s="279"/>
      <c r="E19" s="279"/>
      <c r="F19" s="278"/>
      <c r="G19" s="280"/>
      <c r="H19" s="280"/>
      <c r="I19" s="281"/>
      <c r="J19" s="281"/>
      <c r="K19" s="281"/>
      <c r="L19" s="278"/>
      <c r="M19" s="282"/>
      <c r="N19" s="283"/>
    </row>
    <row r="20" spans="1:14" ht="4.5" customHeight="1">
      <c r="A20" s="286"/>
      <c r="B20" s="287"/>
      <c r="C20" s="288"/>
      <c r="D20" s="288"/>
      <c r="E20" s="288"/>
      <c r="F20" s="288"/>
      <c r="G20" s="288"/>
      <c r="H20" s="289"/>
      <c r="I20" s="290"/>
      <c r="J20" s="290"/>
      <c r="K20" s="290"/>
      <c r="L20" s="288"/>
      <c r="M20" s="291"/>
      <c r="N20" s="292"/>
    </row>
    <row r="21" spans="1:14" ht="4.5" customHeight="1">
      <c r="A21" s="277"/>
      <c r="B21" s="293"/>
      <c r="C21" s="278"/>
      <c r="D21" s="278"/>
      <c r="E21" s="278"/>
      <c r="F21" s="278"/>
      <c r="G21" s="278"/>
      <c r="H21" s="294"/>
      <c r="I21" s="294"/>
      <c r="J21" s="294"/>
      <c r="K21" s="294"/>
      <c r="L21" s="278"/>
      <c r="M21" s="282"/>
      <c r="N21" s="283"/>
    </row>
    <row r="22" spans="1:14">
      <c r="A22" s="277"/>
      <c r="B22" s="293" t="s">
        <v>378</v>
      </c>
      <c r="C22" s="278"/>
      <c r="D22" s="278"/>
      <c r="E22" s="278"/>
      <c r="F22" s="278" t="s">
        <v>355</v>
      </c>
      <c r="G22" s="294">
        <f t="shared" ref="G22:K25" si="0">SUMIF($F$12:$F$20,$F22,G$12:G$20)</f>
        <v>231601</v>
      </c>
      <c r="H22" s="294">
        <f t="shared" si="0"/>
        <v>0</v>
      </c>
      <c r="I22" s="294">
        <f t="shared" si="0"/>
        <v>0</v>
      </c>
      <c r="J22" s="294">
        <f t="shared" si="0"/>
        <v>0</v>
      </c>
      <c r="K22" s="294">
        <f t="shared" si="0"/>
        <v>231601</v>
      </c>
      <c r="L22" s="278"/>
      <c r="M22" s="282"/>
      <c r="N22" s="283"/>
    </row>
    <row r="23" spans="1:14">
      <c r="A23" s="277"/>
      <c r="B23" s="293" t="s">
        <v>379</v>
      </c>
      <c r="C23" s="278"/>
      <c r="D23" s="278"/>
      <c r="E23" s="278"/>
      <c r="F23" s="278" t="s">
        <v>358</v>
      </c>
      <c r="G23" s="294">
        <f t="shared" si="0"/>
        <v>0</v>
      </c>
      <c r="H23" s="294">
        <f>SUM(H12:H19)</f>
        <v>6569215</v>
      </c>
      <c r="I23" s="294">
        <f t="shared" si="0"/>
        <v>0</v>
      </c>
      <c r="J23" s="294">
        <f t="shared" si="0"/>
        <v>0</v>
      </c>
      <c r="K23" s="294">
        <f t="shared" si="0"/>
        <v>0</v>
      </c>
      <c r="L23" s="278"/>
      <c r="M23" s="282"/>
      <c r="N23" s="283"/>
    </row>
    <row r="24" spans="1:14">
      <c r="A24" s="277"/>
      <c r="B24" s="293" t="s">
        <v>380</v>
      </c>
      <c r="C24" s="278"/>
      <c r="D24" s="278"/>
      <c r="E24" s="278"/>
      <c r="F24" s="278" t="s">
        <v>361</v>
      </c>
      <c r="G24" s="294">
        <f t="shared" si="0"/>
        <v>0</v>
      </c>
      <c r="H24" s="294"/>
      <c r="I24" s="294">
        <f t="shared" si="0"/>
        <v>0</v>
      </c>
      <c r="J24" s="294">
        <f t="shared" si="0"/>
        <v>0</v>
      </c>
      <c r="K24" s="294">
        <f t="shared" si="0"/>
        <v>6274522</v>
      </c>
      <c r="L24" s="278"/>
      <c r="M24" s="282"/>
      <c r="N24" s="283"/>
    </row>
    <row r="25" spans="1:14">
      <c r="A25" s="277"/>
      <c r="B25" s="293" t="s">
        <v>381</v>
      </c>
      <c r="C25" s="278"/>
      <c r="D25" s="278"/>
      <c r="E25" s="278"/>
      <c r="F25" s="278" t="s">
        <v>382</v>
      </c>
      <c r="G25" s="294">
        <f t="shared" si="0"/>
        <v>0</v>
      </c>
      <c r="H25" s="294">
        <f t="shared" si="0"/>
        <v>0</v>
      </c>
      <c r="I25" s="294">
        <f t="shared" si="0"/>
        <v>0</v>
      </c>
      <c r="J25" s="294">
        <f t="shared" si="0"/>
        <v>0</v>
      </c>
      <c r="K25" s="294">
        <f t="shared" si="0"/>
        <v>0</v>
      </c>
      <c r="L25" s="278"/>
      <c r="M25" s="282"/>
      <c r="N25" s="283"/>
    </row>
    <row r="26" spans="1:14" ht="13.5" thickBot="1">
      <c r="A26" s="277"/>
      <c r="B26" s="293" t="s">
        <v>413</v>
      </c>
      <c r="C26" s="297"/>
      <c r="D26" s="297"/>
      <c r="E26" s="297"/>
      <c r="F26" s="298" t="s">
        <v>75</v>
      </c>
      <c r="G26" s="299">
        <f>SUM(G21:G25)</f>
        <v>231601</v>
      </c>
      <c r="H26" s="299">
        <f>SUM(H22:H25)</f>
        <v>6569215</v>
      </c>
      <c r="I26" s="299">
        <f>SUM(I21:I25)</f>
        <v>0</v>
      </c>
      <c r="J26" s="299">
        <f>SUM(J21:J25)</f>
        <v>0</v>
      </c>
      <c r="K26" s="299">
        <f>SUM(K21:K25)</f>
        <v>6506123</v>
      </c>
      <c r="L26" s="297"/>
      <c r="M26" s="300"/>
      <c r="N26" s="301"/>
    </row>
    <row r="27" spans="1:14">
      <c r="A27" s="30"/>
      <c r="B27" s="30"/>
    </row>
    <row r="28" spans="1:14" ht="15">
      <c r="A28" s="431" t="s">
        <v>401</v>
      </c>
      <c r="B28" s="30"/>
    </row>
    <row r="29" spans="1:14" ht="15">
      <c r="A29" s="431"/>
      <c r="B29" s="30"/>
    </row>
    <row r="30" spans="1:14" s="122" customFormat="1" ht="15.75">
      <c r="A30" s="428" t="s">
        <v>383</v>
      </c>
      <c r="B30" s="428"/>
      <c r="H30" s="302">
        <f>H19+H20</f>
        <v>0</v>
      </c>
    </row>
    <row r="31" spans="1:14">
      <c r="A31" s="30"/>
      <c r="B31" s="30"/>
    </row>
    <row r="32" spans="1:14" s="303" customFormat="1" ht="15">
      <c r="A32" s="429" t="s">
        <v>402</v>
      </c>
      <c r="B32" s="429"/>
      <c r="H32" s="304">
        <v>0</v>
      </c>
    </row>
    <row r="33" spans="1:8">
      <c r="A33" s="30"/>
      <c r="B33" s="30"/>
    </row>
    <row r="34" spans="1:8">
      <c r="A34" s="30"/>
      <c r="B34" s="30"/>
    </row>
    <row r="35" spans="1:8" ht="15">
      <c r="A35" s="426" t="s">
        <v>490</v>
      </c>
      <c r="B35" s="427"/>
    </row>
    <row r="36" spans="1:8" s="18" customFormat="1" ht="15">
      <c r="A36" s="433" t="s">
        <v>491</v>
      </c>
      <c r="B36" s="432" t="s">
        <v>492</v>
      </c>
      <c r="H36" s="68">
        <v>-124695</v>
      </c>
    </row>
    <row r="37" spans="1:8" s="18" customFormat="1" ht="15">
      <c r="A37" s="433" t="s">
        <v>493</v>
      </c>
      <c r="B37" s="432" t="s">
        <v>494</v>
      </c>
      <c r="H37" s="68">
        <v>-95805</v>
      </c>
    </row>
    <row r="38" spans="1:8" s="18" customFormat="1" ht="15">
      <c r="A38" s="433" t="s">
        <v>495</v>
      </c>
      <c r="B38" s="432" t="s">
        <v>496</v>
      </c>
      <c r="H38" s="68">
        <v>-477220</v>
      </c>
    </row>
    <row r="39" spans="1:8" s="18" customFormat="1" ht="15">
      <c r="A39" s="433" t="s">
        <v>497</v>
      </c>
      <c r="B39" s="432" t="s">
        <v>498</v>
      </c>
      <c r="H39" s="68">
        <v>745403</v>
      </c>
    </row>
    <row r="40" spans="1:8" s="305" customFormat="1" ht="15">
      <c r="A40" s="430" t="s">
        <v>384</v>
      </c>
      <c r="B40" s="430"/>
      <c r="H40" s="434">
        <f>SUM(H36:H39)</f>
        <v>47683</v>
      </c>
    </row>
    <row r="41" spans="1:8">
      <c r="A41" s="30"/>
      <c r="B41" s="30"/>
    </row>
    <row r="42" spans="1:8">
      <c r="A42" s="30"/>
      <c r="B42" s="30"/>
    </row>
    <row r="43" spans="1:8" ht="18.75" thickBot="1">
      <c r="B43" s="438" t="s">
        <v>514</v>
      </c>
      <c r="C43" s="439"/>
      <c r="D43" s="439"/>
      <c r="E43" s="439"/>
      <c r="F43" s="439"/>
      <c r="G43" s="439"/>
      <c r="H43" s="440">
        <f>H26+H40</f>
        <v>6616898</v>
      </c>
    </row>
    <row r="44" spans="1:8" ht="13.5" thickTop="1">
      <c r="A44" s="30"/>
      <c r="B44" s="30"/>
    </row>
    <row r="45" spans="1:8">
      <c r="A45" s="30"/>
      <c r="B45" s="30"/>
    </row>
    <row r="46" spans="1:8">
      <c r="A46" s="30"/>
      <c r="B46" s="30"/>
    </row>
    <row r="47" spans="1:8">
      <c r="A47" s="30"/>
      <c r="B47" s="30"/>
    </row>
    <row r="48" spans="1:8">
      <c r="A48" s="30"/>
      <c r="B48" s="30"/>
    </row>
    <row r="49" spans="1:2">
      <c r="A49" s="30"/>
      <c r="B49" s="30"/>
    </row>
    <row r="50" spans="1:2">
      <c r="A50" s="30"/>
      <c r="B50" s="30"/>
    </row>
    <row r="51" spans="1:2">
      <c r="A51" s="30"/>
      <c r="B51" s="30"/>
    </row>
    <row r="52" spans="1:2">
      <c r="A52" s="30"/>
      <c r="B52" s="30"/>
    </row>
    <row r="53" spans="1:2">
      <c r="A53" s="30"/>
      <c r="B53" s="30"/>
    </row>
    <row r="54" spans="1:2">
      <c r="A54" s="30"/>
      <c r="B54" s="30"/>
    </row>
    <row r="55" spans="1:2">
      <c r="A55" s="30"/>
      <c r="B55" s="30"/>
    </row>
    <row r="56" spans="1:2">
      <c r="A56" s="30"/>
      <c r="B56" s="30"/>
    </row>
    <row r="57" spans="1:2">
      <c r="A57" s="30"/>
      <c r="B57" s="30"/>
    </row>
    <row r="58" spans="1:2">
      <c r="A58" s="30"/>
      <c r="B58" s="30"/>
    </row>
    <row r="59" spans="1:2">
      <c r="A59" s="30"/>
      <c r="B59" s="30"/>
    </row>
    <row r="60" spans="1:2">
      <c r="A60" s="30"/>
      <c r="B60" s="30"/>
    </row>
    <row r="61" spans="1:2">
      <c r="A61" s="30"/>
      <c r="B61" s="30"/>
    </row>
    <row r="62" spans="1:2">
      <c r="A62" s="30"/>
      <c r="B62" s="30"/>
    </row>
    <row r="63" spans="1:2">
      <c r="A63" s="30"/>
      <c r="B63" s="30"/>
    </row>
    <row r="64" spans="1:2">
      <c r="B64" s="30"/>
    </row>
    <row r="65" spans="2:2">
      <c r="B65" s="30"/>
    </row>
    <row r="66" spans="2:2">
      <c r="B66" s="30"/>
    </row>
    <row r="67" spans="2:2">
      <c r="B67" s="30"/>
    </row>
    <row r="68" spans="2:2">
      <c r="B68" s="30"/>
    </row>
    <row r="69" spans="2:2">
      <c r="B69" s="30"/>
    </row>
    <row r="70" spans="2:2">
      <c r="B70" s="30"/>
    </row>
    <row r="71" spans="2:2">
      <c r="B71" s="30"/>
    </row>
    <row r="72" spans="2:2">
      <c r="B72" s="30"/>
    </row>
    <row r="73" spans="2:2">
      <c r="B73" s="30"/>
    </row>
    <row r="74" spans="2:2">
      <c r="B74" s="30"/>
    </row>
    <row r="75" spans="2:2">
      <c r="B75" s="30"/>
    </row>
    <row r="76" spans="2:2">
      <c r="B76" s="30"/>
    </row>
    <row r="77" spans="2:2">
      <c r="B77" s="30"/>
    </row>
    <row r="78" spans="2:2">
      <c r="B78" s="30"/>
    </row>
    <row r="79" spans="2:2">
      <c r="B79" s="30"/>
    </row>
    <row r="80" spans="2:2">
      <c r="B80" s="30"/>
    </row>
    <row r="81" spans="2:2">
      <c r="B81" s="30"/>
    </row>
    <row r="82" spans="2:2">
      <c r="B82" s="30"/>
    </row>
    <row r="83" spans="2:2">
      <c r="B83" s="30"/>
    </row>
    <row r="84" spans="2:2">
      <c r="B84" s="30"/>
    </row>
    <row r="85" spans="2:2">
      <c r="B85" s="30"/>
    </row>
    <row r="86" spans="2:2">
      <c r="B86" s="30"/>
    </row>
    <row r="87" spans="2:2">
      <c r="B87" s="30"/>
    </row>
    <row r="88" spans="2:2">
      <c r="B88" s="30"/>
    </row>
    <row r="89" spans="2:2">
      <c r="B89" s="30"/>
    </row>
    <row r="90" spans="2:2">
      <c r="B90" s="30"/>
    </row>
  </sheetData>
  <mergeCells count="13">
    <mergeCell ref="E7:E9"/>
    <mergeCell ref="F7:F9"/>
    <mergeCell ref="G7:G9"/>
    <mergeCell ref="M7:M9"/>
    <mergeCell ref="I7:I9"/>
    <mergeCell ref="J7:J9"/>
    <mergeCell ref="K7:K9"/>
    <mergeCell ref="A7:A9"/>
    <mergeCell ref="L7:L9"/>
    <mergeCell ref="B7:B9"/>
    <mergeCell ref="H7:H9"/>
    <mergeCell ref="C7:C9"/>
    <mergeCell ref="D7:D9"/>
  </mergeCells>
  <printOptions horizontalCentered="1"/>
  <pageMargins left="0.31" right="0.16" top="0.18" bottom="0.35" header="0.17" footer="0.17"/>
  <pageSetup scale="50" fitToHeight="0" orientation="landscape" horizontalDpi="4294967292" verticalDpi="4294967292" r:id="rId1"/>
  <headerFooter alignWithMargins="0">
    <oddFooter>&amp;LPrepared by:  Nepco / Gaul / Miesen&amp;CPage &amp;P of &amp;N&amp;R&amp;F, &amp;D, &amp;T</oddFooter>
  </headerFooter>
  <drawing r:id="rId2"/>
  <legacyDrawing r:id="rId3"/>
  <oleObjects>
    <mc:AlternateContent xmlns:mc="http://schemas.openxmlformats.org/markup-compatibility/2006">
      <mc:Choice Requires="x14">
        <oleObject progId="Word.Document.8" shapeId="9217" r:id="rId4">
          <objectPr defaultSize="0" autoPict="0" r:id="rId5">
            <anchor moveWithCells="1">
              <from>
                <xdr:col>0</xdr:col>
                <xdr:colOff>66675</xdr:colOff>
                <xdr:row>2</xdr:row>
                <xdr:rowOff>190500</xdr:rowOff>
              </from>
              <to>
                <xdr:col>0</xdr:col>
                <xdr:colOff>838200</xdr:colOff>
                <xdr:row>4</xdr:row>
                <xdr:rowOff>142875</xdr:rowOff>
              </to>
            </anchor>
          </objectPr>
        </oleObject>
      </mc:Choice>
      <mc:Fallback>
        <oleObject progId="Word.Document.8" shapeId="9217" r:id="rId4"/>
      </mc:Fallback>
    </mc:AlternateContent>
  </oleObjec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A46"/>
  <sheetViews>
    <sheetView topLeftCell="A26" workbookViewId="0">
      <selection activeCell="A50" sqref="A50"/>
    </sheetView>
  </sheetViews>
  <sheetFormatPr defaultRowHeight="15.75"/>
  <cols>
    <col min="1" max="1" width="6.140625" style="24" customWidth="1"/>
    <col min="2" max="2" width="22" customWidth="1"/>
    <col min="3" max="18" width="11.28515625" customWidth="1"/>
  </cols>
  <sheetData>
    <row r="1" spans="1:79" ht="18">
      <c r="A1" s="252" t="s">
        <v>334</v>
      </c>
    </row>
    <row r="3" spans="1:79">
      <c r="A3" s="24" t="s">
        <v>328</v>
      </c>
    </row>
    <row r="4" spans="1:79">
      <c r="C4" s="248">
        <v>36281</v>
      </c>
      <c r="D4" s="248">
        <v>36312</v>
      </c>
      <c r="E4" s="248">
        <v>36342</v>
      </c>
      <c r="F4" s="248">
        <v>36373</v>
      </c>
      <c r="G4" s="248">
        <v>36404</v>
      </c>
      <c r="H4" s="248">
        <v>36434</v>
      </c>
      <c r="I4" s="248">
        <v>36465</v>
      </c>
      <c r="J4" s="248">
        <v>36495</v>
      </c>
      <c r="K4" s="248">
        <v>36526</v>
      </c>
      <c r="L4" s="248">
        <v>36557</v>
      </c>
      <c r="M4" s="248">
        <v>36586</v>
      </c>
      <c r="N4" s="248">
        <v>36617</v>
      </c>
      <c r="O4" s="248">
        <v>36647</v>
      </c>
      <c r="P4" s="248">
        <v>36678</v>
      </c>
      <c r="Q4" s="248">
        <v>36708</v>
      </c>
      <c r="R4" s="248">
        <v>36739</v>
      </c>
    </row>
    <row r="5" spans="1:79">
      <c r="B5" t="s">
        <v>331</v>
      </c>
      <c r="C5" s="25">
        <v>14.023999999999999</v>
      </c>
      <c r="D5" s="25">
        <v>57.518000000000001</v>
      </c>
      <c r="E5" s="25">
        <v>86.16</v>
      </c>
      <c r="F5" s="25">
        <v>175.03700000000001</v>
      </c>
      <c r="G5" s="25">
        <v>244.47</v>
      </c>
      <c r="H5" s="25">
        <v>2454.0909999999999</v>
      </c>
      <c r="I5" s="25">
        <v>7201.3689999999997</v>
      </c>
      <c r="J5" s="25">
        <v>11765.741</v>
      </c>
      <c r="K5" s="25">
        <v>13662.535</v>
      </c>
      <c r="L5" s="25">
        <v>10563.121999999999</v>
      </c>
      <c r="M5" s="25">
        <v>5404.1080000000002</v>
      </c>
      <c r="N5" s="25">
        <v>3274.7109999999998</v>
      </c>
      <c r="O5" s="25">
        <v>2750.6260000000002</v>
      </c>
      <c r="P5" s="25">
        <v>773.38699999999994</v>
      </c>
      <c r="Q5" s="25">
        <v>0</v>
      </c>
      <c r="R5" s="25">
        <v>0</v>
      </c>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row>
    <row r="6" spans="1:79">
      <c r="B6" t="s">
        <v>332</v>
      </c>
      <c r="C6" s="25">
        <f>C5</f>
        <v>14.023999999999999</v>
      </c>
      <c r="D6" s="25">
        <f>C6+D5</f>
        <v>71.542000000000002</v>
      </c>
      <c r="E6" s="25">
        <f t="shared" ref="E6:R6" si="0">D6+E5</f>
        <v>157.702</v>
      </c>
      <c r="F6" s="25">
        <f t="shared" si="0"/>
        <v>332.73900000000003</v>
      </c>
      <c r="G6" s="25">
        <f t="shared" si="0"/>
        <v>577.20900000000006</v>
      </c>
      <c r="H6" s="25">
        <f t="shared" si="0"/>
        <v>3031.3</v>
      </c>
      <c r="I6" s="253">
        <f t="shared" si="0"/>
        <v>10232.669</v>
      </c>
      <c r="J6" s="25">
        <f t="shared" si="0"/>
        <v>21998.41</v>
      </c>
      <c r="K6" s="25">
        <f t="shared" si="0"/>
        <v>35660.945</v>
      </c>
      <c r="L6" s="25">
        <f t="shared" si="0"/>
        <v>46224.066999999995</v>
      </c>
      <c r="M6" s="25">
        <f t="shared" si="0"/>
        <v>51628.174999999996</v>
      </c>
      <c r="N6" s="25">
        <f t="shared" si="0"/>
        <v>54902.885999999999</v>
      </c>
      <c r="O6" s="25">
        <f t="shared" si="0"/>
        <v>57653.512000000002</v>
      </c>
      <c r="P6" s="25">
        <f t="shared" si="0"/>
        <v>58426.899000000005</v>
      </c>
      <c r="Q6" s="25">
        <f t="shared" si="0"/>
        <v>58426.899000000005</v>
      </c>
      <c r="R6" s="25">
        <f t="shared" si="0"/>
        <v>58426.899000000005</v>
      </c>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row>
    <row r="7" spans="1:79">
      <c r="B7" t="s">
        <v>333</v>
      </c>
      <c r="C7" s="249">
        <v>2.0000000000000001E-4</v>
      </c>
      <c r="D7" s="249">
        <f>D6/$R$6</f>
        <v>1.2244702564139164E-3</v>
      </c>
      <c r="E7" s="249">
        <f t="shared" ref="E7:R7" si="1">E6/$R$6</f>
        <v>2.699133493290479E-3</v>
      </c>
      <c r="F7" s="249">
        <f t="shared" si="1"/>
        <v>5.6949625206020264E-3</v>
      </c>
      <c r="G7" s="249">
        <f t="shared" si="1"/>
        <v>9.8791654166003225E-3</v>
      </c>
      <c r="H7" s="249">
        <f t="shared" si="1"/>
        <v>5.1881925138624933E-2</v>
      </c>
      <c r="I7" s="249">
        <f t="shared" si="1"/>
        <v>0.17513626728675091</v>
      </c>
      <c r="J7" s="249">
        <f t="shared" si="1"/>
        <v>0.37651168171701183</v>
      </c>
      <c r="K7" s="249">
        <f t="shared" si="1"/>
        <v>0.6103514923836707</v>
      </c>
      <c r="L7" s="249">
        <f t="shared" si="1"/>
        <v>0.79114359637673037</v>
      </c>
      <c r="M7" s="249">
        <f t="shared" si="1"/>
        <v>0.88363708982740963</v>
      </c>
      <c r="N7" s="249">
        <f t="shared" si="1"/>
        <v>0.93968509264884992</v>
      </c>
      <c r="O7" s="249">
        <f t="shared" si="1"/>
        <v>0.9867631687931957</v>
      </c>
      <c r="P7" s="249">
        <f t="shared" si="1"/>
        <v>1</v>
      </c>
      <c r="Q7" s="249">
        <f t="shared" si="1"/>
        <v>1</v>
      </c>
      <c r="R7" s="249">
        <f t="shared" si="1"/>
        <v>1</v>
      </c>
      <c r="S7" s="249"/>
      <c r="T7" s="249"/>
      <c r="U7" s="249"/>
      <c r="V7" s="249"/>
      <c r="W7" s="249"/>
      <c r="X7" s="249"/>
      <c r="Y7" s="249"/>
      <c r="Z7" s="249"/>
      <c r="AA7" s="249"/>
      <c r="AB7" s="249"/>
      <c r="AC7" s="249"/>
      <c r="AD7" s="249"/>
      <c r="AE7" s="249"/>
      <c r="AF7" s="249"/>
      <c r="AG7" s="249"/>
      <c r="AH7" s="249"/>
      <c r="AI7" s="249"/>
      <c r="AJ7" s="249"/>
      <c r="AK7" s="249"/>
      <c r="AL7" s="249"/>
      <c r="AM7" s="249"/>
      <c r="AN7" s="249"/>
      <c r="AO7" s="249"/>
      <c r="AP7" s="249"/>
      <c r="AQ7" s="249"/>
      <c r="AR7" s="249"/>
      <c r="AS7" s="249"/>
      <c r="AT7" s="249"/>
      <c r="AU7" s="249"/>
      <c r="AV7" s="249"/>
      <c r="AW7" s="249"/>
      <c r="AX7" s="249"/>
      <c r="AY7" s="249"/>
      <c r="AZ7" s="249"/>
      <c r="BA7" s="249"/>
      <c r="BB7" s="249"/>
      <c r="BC7" s="249"/>
      <c r="BD7" s="249"/>
      <c r="BE7" s="249"/>
      <c r="BF7" s="249"/>
      <c r="BG7" s="249"/>
      <c r="BH7" s="249"/>
      <c r="BI7" s="249"/>
      <c r="BJ7" s="249"/>
      <c r="BK7" s="249"/>
      <c r="BL7" s="249"/>
      <c r="BM7" s="249"/>
      <c r="BN7" s="249"/>
      <c r="BO7" s="249"/>
      <c r="BP7" s="249"/>
      <c r="BQ7" s="249"/>
      <c r="BR7" s="249"/>
      <c r="BS7" s="249"/>
      <c r="BT7" s="249"/>
      <c r="BU7" s="249"/>
      <c r="BV7" s="249"/>
      <c r="BW7" s="249"/>
      <c r="BX7" s="249"/>
      <c r="BY7" s="249"/>
      <c r="BZ7" s="249"/>
      <c r="CA7" s="249"/>
    </row>
    <row r="9" spans="1:79">
      <c r="B9" t="s">
        <v>335</v>
      </c>
      <c r="H9" s="250">
        <f>865.389</f>
        <v>865.38900000000001</v>
      </c>
      <c r="I9" s="250">
        <f>4488.545-865</f>
        <v>3623.5450000000001</v>
      </c>
    </row>
    <row r="10" spans="1:79">
      <c r="B10" t="s">
        <v>44</v>
      </c>
      <c r="G10" s="250">
        <f>G9</f>
        <v>0</v>
      </c>
      <c r="H10" s="250">
        <f t="shared" ref="H10:R10" si="2">H9+G10</f>
        <v>865.38900000000001</v>
      </c>
      <c r="I10" s="250">
        <f t="shared" si="2"/>
        <v>4488.9340000000002</v>
      </c>
      <c r="J10" s="250">
        <f t="shared" si="2"/>
        <v>4488.9340000000002</v>
      </c>
      <c r="K10" s="250">
        <f t="shared" si="2"/>
        <v>4488.9340000000002</v>
      </c>
      <c r="L10" s="250">
        <f t="shared" si="2"/>
        <v>4488.9340000000002</v>
      </c>
      <c r="M10" s="250">
        <f t="shared" si="2"/>
        <v>4488.9340000000002</v>
      </c>
      <c r="N10" s="250">
        <f t="shared" si="2"/>
        <v>4488.9340000000002</v>
      </c>
      <c r="O10" s="250">
        <f t="shared" si="2"/>
        <v>4488.9340000000002</v>
      </c>
      <c r="P10" s="250">
        <f t="shared" si="2"/>
        <v>4488.9340000000002</v>
      </c>
      <c r="Q10" s="250">
        <f t="shared" si="2"/>
        <v>4488.9340000000002</v>
      </c>
      <c r="R10" s="250">
        <f t="shared" si="2"/>
        <v>4488.9340000000002</v>
      </c>
    </row>
    <row r="11" spans="1:79" s="249" customFormat="1">
      <c r="A11" s="251"/>
      <c r="G11" s="249">
        <f>G10/$R$15</f>
        <v>0</v>
      </c>
      <c r="H11" s="249">
        <f>H10/$R$6</f>
        <v>1.4811482635763365E-2</v>
      </c>
      <c r="I11" s="249">
        <f t="shared" ref="I11:R11" si="3">I10/$R$6</f>
        <v>7.6829920410460259E-2</v>
      </c>
      <c r="J11" s="249">
        <f t="shared" si="3"/>
        <v>7.6829920410460259E-2</v>
      </c>
      <c r="K11" s="249">
        <f t="shared" si="3"/>
        <v>7.6829920410460259E-2</v>
      </c>
      <c r="L11" s="249">
        <f t="shared" si="3"/>
        <v>7.6829920410460259E-2</v>
      </c>
      <c r="M11" s="249">
        <f t="shared" si="3"/>
        <v>7.6829920410460259E-2</v>
      </c>
      <c r="N11" s="249">
        <f t="shared" si="3"/>
        <v>7.6829920410460259E-2</v>
      </c>
      <c r="O11" s="249">
        <f t="shared" si="3"/>
        <v>7.6829920410460259E-2</v>
      </c>
      <c r="P11" s="249">
        <f t="shared" si="3"/>
        <v>7.6829920410460259E-2</v>
      </c>
      <c r="Q11" s="249">
        <f t="shared" si="3"/>
        <v>7.6829920410460259E-2</v>
      </c>
      <c r="R11" s="249">
        <f t="shared" si="3"/>
        <v>7.6829920410460259E-2</v>
      </c>
    </row>
    <row r="12" spans="1:79">
      <c r="A12" s="24" t="s">
        <v>329</v>
      </c>
    </row>
    <row r="14" spans="1:79">
      <c r="B14" t="s">
        <v>331</v>
      </c>
      <c r="E14" s="25">
        <v>25.337</v>
      </c>
      <c r="F14" s="25">
        <v>65.207999999999998</v>
      </c>
      <c r="G14" s="25">
        <v>169.726</v>
      </c>
      <c r="H14" s="25">
        <v>1006.954</v>
      </c>
      <c r="I14" s="25">
        <v>4786.8069999999998</v>
      </c>
      <c r="J14" s="25">
        <v>6212.1530000000002</v>
      </c>
      <c r="K14" s="25">
        <v>7622.5360000000001</v>
      </c>
      <c r="L14" s="25">
        <v>7064.893</v>
      </c>
      <c r="M14" s="25">
        <v>5584.0379999999996</v>
      </c>
      <c r="N14" s="25">
        <v>3429.4110000000001</v>
      </c>
      <c r="O14" s="25">
        <v>2821.7809999999999</v>
      </c>
      <c r="P14" s="25">
        <v>1980.434</v>
      </c>
      <c r="Q14" s="25">
        <v>970.07299999999998</v>
      </c>
      <c r="R14" s="25">
        <v>2.0499999999999998</v>
      </c>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row>
    <row r="15" spans="1:79">
      <c r="B15" t="s">
        <v>332</v>
      </c>
      <c r="C15" s="25">
        <v>0</v>
      </c>
      <c r="D15" s="25">
        <v>0</v>
      </c>
      <c r="E15" s="25">
        <f>E14</f>
        <v>25.337</v>
      </c>
      <c r="F15" s="25">
        <f>F14+E15</f>
        <v>90.545000000000002</v>
      </c>
      <c r="G15" s="25">
        <f t="shared" ref="G15:R15" si="4">G14+F15</f>
        <v>260.27100000000002</v>
      </c>
      <c r="H15" s="25">
        <f t="shared" si="4"/>
        <v>1267.2249999999999</v>
      </c>
      <c r="I15" s="253">
        <f t="shared" si="4"/>
        <v>6054.0319999999992</v>
      </c>
      <c r="J15" s="25">
        <f t="shared" si="4"/>
        <v>12266.184999999999</v>
      </c>
      <c r="K15" s="25">
        <f t="shared" si="4"/>
        <v>19888.720999999998</v>
      </c>
      <c r="L15" s="25">
        <f t="shared" si="4"/>
        <v>26953.613999999998</v>
      </c>
      <c r="M15" s="25">
        <f t="shared" si="4"/>
        <v>32537.651999999998</v>
      </c>
      <c r="N15" s="25">
        <f t="shared" si="4"/>
        <v>35967.062999999995</v>
      </c>
      <c r="O15" s="25">
        <f t="shared" si="4"/>
        <v>38788.843999999997</v>
      </c>
      <c r="P15" s="25">
        <f t="shared" si="4"/>
        <v>40769.277999999998</v>
      </c>
      <c r="Q15" s="25">
        <f t="shared" si="4"/>
        <v>41739.350999999995</v>
      </c>
      <c r="R15" s="25">
        <f t="shared" si="4"/>
        <v>41741.400999999998</v>
      </c>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row>
    <row r="16" spans="1:79">
      <c r="B16" t="s">
        <v>333</v>
      </c>
      <c r="C16" s="249">
        <v>2.0000000000000001E-4</v>
      </c>
      <c r="D16" s="249">
        <f>D15/$R$6</f>
        <v>0</v>
      </c>
      <c r="E16" s="249">
        <f>E15/$R$15</f>
        <v>6.0699927153858588E-4</v>
      </c>
      <c r="F16" s="249">
        <f t="shared" ref="F16:R16" si="5">F15/$R$15</f>
        <v>2.1691892900288614E-3</v>
      </c>
      <c r="G16" s="249">
        <f t="shared" si="5"/>
        <v>6.2353201800773297E-3</v>
      </c>
      <c r="H16" s="249">
        <f t="shared" si="5"/>
        <v>3.0358947463215238E-2</v>
      </c>
      <c r="I16" s="249">
        <f t="shared" si="5"/>
        <v>0.14503662682524718</v>
      </c>
      <c r="J16" s="249">
        <f t="shared" si="5"/>
        <v>0.29386136320628048</v>
      </c>
      <c r="K16" s="249">
        <f t="shared" si="5"/>
        <v>0.4764746875649909</v>
      </c>
      <c r="L16" s="249">
        <f t="shared" si="5"/>
        <v>0.64572854178996053</v>
      </c>
      <c r="M16" s="249">
        <f t="shared" si="5"/>
        <v>0.77950550821233811</v>
      </c>
      <c r="N16" s="249">
        <f t="shared" si="5"/>
        <v>0.86166401075038179</v>
      </c>
      <c r="O16" s="249">
        <f t="shared" si="5"/>
        <v>0.92926550309128342</v>
      </c>
      <c r="P16" s="249">
        <f t="shared" si="5"/>
        <v>0.97671082003213072</v>
      </c>
      <c r="Q16" s="249">
        <f t="shared" si="5"/>
        <v>0.99995088808830346</v>
      </c>
      <c r="R16" s="249">
        <f t="shared" si="5"/>
        <v>1</v>
      </c>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249"/>
      <c r="BD16" s="249"/>
      <c r="BE16" s="249"/>
      <c r="BF16" s="249"/>
      <c r="BG16" s="249"/>
      <c r="BH16" s="249"/>
      <c r="BI16" s="249"/>
      <c r="BJ16" s="249"/>
      <c r="BK16" s="249"/>
      <c r="BL16" s="249"/>
      <c r="BM16" s="249"/>
      <c r="BN16" s="249"/>
      <c r="BO16" s="249"/>
      <c r="BP16" s="249"/>
      <c r="BQ16" s="249"/>
      <c r="BR16" s="249"/>
      <c r="BS16" s="249"/>
      <c r="BT16" s="249"/>
      <c r="BU16" s="249"/>
      <c r="BV16" s="249"/>
      <c r="BW16" s="249"/>
      <c r="BX16" s="249"/>
      <c r="BY16" s="249"/>
      <c r="BZ16" s="249"/>
      <c r="CA16" s="249"/>
    </row>
    <row r="18" spans="1:79">
      <c r="B18" t="s">
        <v>335</v>
      </c>
      <c r="G18" s="250">
        <v>0</v>
      </c>
      <c r="H18" s="250">
        <f>884.52-175.093</f>
        <v>709.42700000000002</v>
      </c>
      <c r="I18" s="250">
        <f>2628.807-709</f>
        <v>1919.8069999999998</v>
      </c>
    </row>
    <row r="19" spans="1:79">
      <c r="B19" t="s">
        <v>44</v>
      </c>
      <c r="G19" s="250">
        <f>G18</f>
        <v>0</v>
      </c>
      <c r="H19" s="250">
        <f>H18+G19</f>
        <v>709.42700000000002</v>
      </c>
      <c r="I19" s="250">
        <f t="shared" ref="I19:R19" si="6">I18+H19</f>
        <v>2629.2339999999999</v>
      </c>
      <c r="J19" s="250">
        <f t="shared" si="6"/>
        <v>2629.2339999999999</v>
      </c>
      <c r="K19" s="250">
        <f t="shared" si="6"/>
        <v>2629.2339999999999</v>
      </c>
      <c r="L19" s="250">
        <f t="shared" si="6"/>
        <v>2629.2339999999999</v>
      </c>
      <c r="M19" s="250">
        <f t="shared" si="6"/>
        <v>2629.2339999999999</v>
      </c>
      <c r="N19" s="250">
        <f t="shared" si="6"/>
        <v>2629.2339999999999</v>
      </c>
      <c r="O19" s="250">
        <f t="shared" si="6"/>
        <v>2629.2339999999999</v>
      </c>
      <c r="P19" s="250">
        <f t="shared" si="6"/>
        <v>2629.2339999999999</v>
      </c>
      <c r="Q19" s="250">
        <f t="shared" si="6"/>
        <v>2629.2339999999999</v>
      </c>
      <c r="R19" s="250">
        <f t="shared" si="6"/>
        <v>2629.2339999999999</v>
      </c>
    </row>
    <row r="20" spans="1:79" s="249" customFormat="1">
      <c r="A20" s="251"/>
      <c r="G20" s="249">
        <f>G19/$R$15</f>
        <v>0</v>
      </c>
      <c r="H20" s="249">
        <f t="shared" ref="H20:R20" si="7">H19/$R$15</f>
        <v>1.6995763989809544E-2</v>
      </c>
      <c r="I20" s="249">
        <f t="shared" si="7"/>
        <v>6.2988638067035654E-2</v>
      </c>
      <c r="J20" s="249">
        <f t="shared" si="7"/>
        <v>6.2988638067035654E-2</v>
      </c>
      <c r="K20" s="249">
        <f t="shared" si="7"/>
        <v>6.2988638067035654E-2</v>
      </c>
      <c r="L20" s="249">
        <f t="shared" si="7"/>
        <v>6.2988638067035654E-2</v>
      </c>
      <c r="M20" s="249">
        <f t="shared" si="7"/>
        <v>6.2988638067035654E-2</v>
      </c>
      <c r="N20" s="249">
        <f t="shared" si="7"/>
        <v>6.2988638067035654E-2</v>
      </c>
      <c r="O20" s="249">
        <f t="shared" si="7"/>
        <v>6.2988638067035654E-2</v>
      </c>
      <c r="P20" s="249">
        <f t="shared" si="7"/>
        <v>6.2988638067035654E-2</v>
      </c>
      <c r="Q20" s="249">
        <f t="shared" si="7"/>
        <v>6.2988638067035654E-2</v>
      </c>
      <c r="R20" s="249">
        <f t="shared" si="7"/>
        <v>6.2988638067035654E-2</v>
      </c>
    </row>
    <row r="21" spans="1:79" s="249" customFormat="1">
      <c r="A21" s="251"/>
    </row>
    <row r="23" spans="1:79">
      <c r="A23" s="24" t="s">
        <v>330</v>
      </c>
    </row>
    <row r="25" spans="1:79">
      <c r="B25" t="s">
        <v>331</v>
      </c>
      <c r="C25" s="25">
        <v>0</v>
      </c>
      <c r="D25" s="25">
        <v>0</v>
      </c>
      <c r="E25" s="25">
        <v>33</v>
      </c>
      <c r="F25" s="25">
        <v>105.708</v>
      </c>
      <c r="G25" s="25">
        <v>113.539</v>
      </c>
      <c r="H25" s="25">
        <v>674.69100000000003</v>
      </c>
      <c r="I25" s="25">
        <v>3528.01</v>
      </c>
      <c r="J25" s="25">
        <v>5746.7849999999999</v>
      </c>
      <c r="K25" s="25">
        <v>7528.0879999999997</v>
      </c>
      <c r="L25" s="25">
        <v>6944.8890000000001</v>
      </c>
      <c r="M25" s="25">
        <v>5046.0010000000002</v>
      </c>
      <c r="N25" s="25">
        <v>3298.9279999999999</v>
      </c>
      <c r="O25" s="25">
        <v>2936.6170000000002</v>
      </c>
      <c r="P25" s="25">
        <v>1317.172</v>
      </c>
      <c r="Q25" s="25">
        <v>665.24</v>
      </c>
      <c r="R25" s="25">
        <v>4.0999999999999996</v>
      </c>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row>
    <row r="26" spans="1:79">
      <c r="B26" t="s">
        <v>332</v>
      </c>
      <c r="C26" s="25">
        <f>C25</f>
        <v>0</v>
      </c>
      <c r="D26" s="25">
        <f t="shared" ref="D26:R26" si="8">C26+D25</f>
        <v>0</v>
      </c>
      <c r="E26" s="25">
        <f t="shared" si="8"/>
        <v>33</v>
      </c>
      <c r="F26" s="25">
        <f t="shared" si="8"/>
        <v>138.708</v>
      </c>
      <c r="G26" s="25">
        <f t="shared" si="8"/>
        <v>252.24700000000001</v>
      </c>
      <c r="H26" s="25">
        <f t="shared" si="8"/>
        <v>926.9380000000001</v>
      </c>
      <c r="I26" s="253">
        <f t="shared" si="8"/>
        <v>4454.9480000000003</v>
      </c>
      <c r="J26" s="25">
        <f t="shared" si="8"/>
        <v>10201.733</v>
      </c>
      <c r="K26" s="25">
        <f t="shared" si="8"/>
        <v>17729.821</v>
      </c>
      <c r="L26" s="25">
        <f t="shared" si="8"/>
        <v>24674.71</v>
      </c>
      <c r="M26" s="25">
        <f t="shared" si="8"/>
        <v>29720.710999999999</v>
      </c>
      <c r="N26" s="25">
        <f t="shared" si="8"/>
        <v>33019.638999999996</v>
      </c>
      <c r="O26" s="25">
        <f t="shared" si="8"/>
        <v>35956.255999999994</v>
      </c>
      <c r="P26" s="25">
        <f t="shared" si="8"/>
        <v>37273.427999999993</v>
      </c>
      <c r="Q26" s="25">
        <f t="shared" si="8"/>
        <v>37938.667999999991</v>
      </c>
      <c r="R26" s="25">
        <f t="shared" si="8"/>
        <v>37942.767999999989</v>
      </c>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row>
    <row r="27" spans="1:79">
      <c r="B27" t="s">
        <v>333</v>
      </c>
      <c r="C27" s="249">
        <v>0</v>
      </c>
      <c r="D27" s="249">
        <f>D26/$R$6</f>
        <v>0</v>
      </c>
      <c r="E27" s="249">
        <f>E26/$R$26</f>
        <v>8.6973095900647025E-4</v>
      </c>
      <c r="F27" s="249">
        <f t="shared" ref="F27:R27" si="9">F26/$R$26</f>
        <v>3.6557164200566507E-3</v>
      </c>
      <c r="G27" s="249">
        <f t="shared" si="9"/>
        <v>6.648091673227427E-3</v>
      </c>
      <c r="H27" s="249">
        <f t="shared" si="9"/>
        <v>2.442989926301635E-2</v>
      </c>
      <c r="I27" s="249">
        <f t="shared" si="9"/>
        <v>0.11741230898072597</v>
      </c>
      <c r="J27" s="249">
        <f t="shared" si="9"/>
        <v>0.2688716068369077</v>
      </c>
      <c r="K27" s="249">
        <f t="shared" si="9"/>
        <v>0.4672780067073653</v>
      </c>
      <c r="L27" s="249">
        <f t="shared" si="9"/>
        <v>0.65031391489413759</v>
      </c>
      <c r="M27" s="249">
        <f t="shared" si="9"/>
        <v>0.78330371152679235</v>
      </c>
      <c r="N27" s="249">
        <f t="shared" si="9"/>
        <v>0.87024855434901338</v>
      </c>
      <c r="O27" s="249">
        <f t="shared" si="9"/>
        <v>0.94764451555036799</v>
      </c>
      <c r="P27" s="249">
        <f t="shared" si="9"/>
        <v>0.9823592206029883</v>
      </c>
      <c r="Q27" s="249">
        <f t="shared" si="9"/>
        <v>0.99989194251721436</v>
      </c>
      <c r="R27" s="249">
        <f t="shared" si="9"/>
        <v>1</v>
      </c>
      <c r="S27" s="249"/>
      <c r="T27" s="249"/>
      <c r="U27" s="249"/>
      <c r="V27" s="249"/>
      <c r="W27" s="249"/>
      <c r="X27" s="249"/>
      <c r="Y27" s="249"/>
      <c r="Z27" s="249"/>
      <c r="AA27" s="249"/>
      <c r="AB27" s="249"/>
      <c r="AC27" s="249"/>
      <c r="AD27" s="249"/>
      <c r="AE27" s="249"/>
      <c r="AF27" s="249"/>
      <c r="AG27" s="249"/>
      <c r="AH27" s="249"/>
      <c r="AI27" s="249"/>
      <c r="AJ27" s="249"/>
      <c r="AK27" s="249"/>
      <c r="AL27" s="249"/>
      <c r="AM27" s="249"/>
      <c r="AN27" s="249"/>
      <c r="AO27" s="249"/>
      <c r="AP27" s="249"/>
      <c r="AQ27" s="249"/>
      <c r="AR27" s="249"/>
      <c r="AS27" s="249"/>
      <c r="AT27" s="249"/>
      <c r="AU27" s="249"/>
      <c r="AV27" s="249"/>
      <c r="AW27" s="249"/>
      <c r="AX27" s="249"/>
      <c r="AY27" s="249"/>
      <c r="AZ27" s="249"/>
      <c r="BA27" s="249"/>
      <c r="BB27" s="249"/>
      <c r="BC27" s="249"/>
      <c r="BD27" s="249"/>
      <c r="BE27" s="249"/>
      <c r="BF27" s="249"/>
      <c r="BG27" s="249"/>
      <c r="BH27" s="249"/>
      <c r="BI27" s="249"/>
      <c r="BJ27" s="249"/>
      <c r="BK27" s="249"/>
      <c r="BL27" s="249"/>
      <c r="BM27" s="249"/>
      <c r="BN27" s="249"/>
      <c r="BO27" s="249"/>
      <c r="BP27" s="249"/>
      <c r="BQ27" s="249"/>
      <c r="BR27" s="249"/>
      <c r="BS27" s="249"/>
      <c r="BT27" s="249"/>
      <c r="BU27" s="249"/>
      <c r="BV27" s="249"/>
      <c r="BW27" s="249"/>
      <c r="BX27" s="249"/>
      <c r="BY27" s="249"/>
      <c r="BZ27" s="249"/>
      <c r="CA27" s="249"/>
    </row>
    <row r="29" spans="1:79">
      <c r="B29" t="s">
        <v>335</v>
      </c>
      <c r="G29" s="250">
        <v>0</v>
      </c>
      <c r="H29" s="250">
        <f>1018.28-214.458</f>
        <v>803.822</v>
      </c>
      <c r="I29" s="250">
        <f>2301.095-804</f>
        <v>1497.0949999999998</v>
      </c>
    </row>
    <row r="30" spans="1:79">
      <c r="B30" t="s">
        <v>44</v>
      </c>
      <c r="G30" s="250">
        <f>G29</f>
        <v>0</v>
      </c>
      <c r="H30" s="250">
        <f>H29+G30</f>
        <v>803.822</v>
      </c>
      <c r="I30" s="250">
        <f t="shared" ref="I30:R30" si="10">I29+H30</f>
        <v>2300.9169999999999</v>
      </c>
      <c r="J30" s="250">
        <f t="shared" si="10"/>
        <v>2300.9169999999999</v>
      </c>
      <c r="K30" s="250">
        <f t="shared" si="10"/>
        <v>2300.9169999999999</v>
      </c>
      <c r="L30" s="250">
        <f t="shared" si="10"/>
        <v>2300.9169999999999</v>
      </c>
      <c r="M30" s="250">
        <f t="shared" si="10"/>
        <v>2300.9169999999999</v>
      </c>
      <c r="N30" s="250">
        <f t="shared" si="10"/>
        <v>2300.9169999999999</v>
      </c>
      <c r="O30" s="250">
        <f t="shared" si="10"/>
        <v>2300.9169999999999</v>
      </c>
      <c r="P30" s="250">
        <f t="shared" si="10"/>
        <v>2300.9169999999999</v>
      </c>
      <c r="Q30" s="250">
        <f t="shared" si="10"/>
        <v>2300.9169999999999</v>
      </c>
      <c r="R30" s="250">
        <f t="shared" si="10"/>
        <v>2300.9169999999999</v>
      </c>
    </row>
    <row r="31" spans="1:79" s="249" customFormat="1">
      <c r="A31" s="251"/>
      <c r="G31" s="249">
        <f>G30/$R$26</f>
        <v>0</v>
      </c>
      <c r="H31" s="249">
        <f t="shared" ref="H31:R31" si="11">H30/$R$26</f>
        <v>2.1185117543348453E-2</v>
      </c>
      <c r="I31" s="249">
        <f t="shared" si="11"/>
        <v>6.0641780272857285E-2</v>
      </c>
      <c r="J31" s="249">
        <f t="shared" si="11"/>
        <v>6.0641780272857285E-2</v>
      </c>
      <c r="K31" s="249">
        <f t="shared" si="11"/>
        <v>6.0641780272857285E-2</v>
      </c>
      <c r="L31" s="249">
        <f t="shared" si="11"/>
        <v>6.0641780272857285E-2</v>
      </c>
      <c r="M31" s="249">
        <f t="shared" si="11"/>
        <v>6.0641780272857285E-2</v>
      </c>
      <c r="N31" s="249">
        <f t="shared" si="11"/>
        <v>6.0641780272857285E-2</v>
      </c>
      <c r="O31" s="249">
        <f t="shared" si="11"/>
        <v>6.0641780272857285E-2</v>
      </c>
      <c r="P31" s="249">
        <f t="shared" si="11"/>
        <v>6.0641780272857285E-2</v>
      </c>
      <c r="Q31" s="249">
        <f t="shared" si="11"/>
        <v>6.0641780272857285E-2</v>
      </c>
      <c r="R31" s="249">
        <f t="shared" si="11"/>
        <v>6.0641780272857285E-2</v>
      </c>
    </row>
    <row r="32" spans="1:79" s="249" customFormat="1">
      <c r="A32" s="251"/>
    </row>
    <row r="33" spans="1:79" s="249" customFormat="1">
      <c r="A33" s="251"/>
    </row>
    <row r="34" spans="1:79" s="249" customFormat="1">
      <c r="A34" s="251"/>
    </row>
    <row r="36" spans="1:79">
      <c r="A36" s="24" t="s">
        <v>336</v>
      </c>
    </row>
    <row r="37" spans="1:79">
      <c r="B37" t="s">
        <v>331</v>
      </c>
      <c r="C37" s="25">
        <f>C25+C14+C5</f>
        <v>14.023999999999999</v>
      </c>
      <c r="D37" s="25">
        <f t="shared" ref="D37:R37" si="12">D25+D14+D5</f>
        <v>57.518000000000001</v>
      </c>
      <c r="E37" s="25">
        <f t="shared" si="12"/>
        <v>144.49700000000001</v>
      </c>
      <c r="F37" s="25">
        <f t="shared" si="12"/>
        <v>345.95299999999997</v>
      </c>
      <c r="G37" s="25">
        <f t="shared" si="12"/>
        <v>527.73500000000001</v>
      </c>
      <c r="H37" s="25">
        <f t="shared" si="12"/>
        <v>4135.7359999999999</v>
      </c>
      <c r="I37" s="25">
        <f t="shared" si="12"/>
        <v>15516.185999999998</v>
      </c>
      <c r="J37" s="25">
        <f t="shared" si="12"/>
        <v>23724.679</v>
      </c>
      <c r="K37" s="25">
        <f t="shared" si="12"/>
        <v>28813.159</v>
      </c>
      <c r="L37" s="25">
        <f t="shared" si="12"/>
        <v>24572.903999999999</v>
      </c>
      <c r="M37" s="25">
        <f t="shared" si="12"/>
        <v>16034.147000000001</v>
      </c>
      <c r="N37" s="25">
        <f t="shared" si="12"/>
        <v>10003.049999999999</v>
      </c>
      <c r="O37" s="25">
        <f t="shared" si="12"/>
        <v>8509.0240000000013</v>
      </c>
      <c r="P37" s="25">
        <f t="shared" si="12"/>
        <v>4070.9929999999995</v>
      </c>
      <c r="Q37" s="25">
        <f t="shared" si="12"/>
        <v>1635.3130000000001</v>
      </c>
      <c r="R37" s="25">
        <f t="shared" si="12"/>
        <v>6.1499999999999995</v>
      </c>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row>
    <row r="38" spans="1:79">
      <c r="B38" t="s">
        <v>332</v>
      </c>
      <c r="C38" s="25">
        <f>C15+C26+C6</f>
        <v>14.023999999999999</v>
      </c>
      <c r="D38" s="25">
        <f t="shared" ref="D38:R38" si="13">D15+D26+D6</f>
        <v>71.542000000000002</v>
      </c>
      <c r="E38" s="25">
        <f t="shared" si="13"/>
        <v>216.03899999999999</v>
      </c>
      <c r="F38" s="25">
        <f t="shared" si="13"/>
        <v>561.99199999999996</v>
      </c>
      <c r="G38" s="25">
        <f t="shared" si="13"/>
        <v>1089.7270000000001</v>
      </c>
      <c r="H38" s="25">
        <f t="shared" si="13"/>
        <v>5225.4629999999997</v>
      </c>
      <c r="I38" s="25">
        <f t="shared" si="13"/>
        <v>20741.648999999998</v>
      </c>
      <c r="J38" s="25">
        <f t="shared" si="13"/>
        <v>44466.327999999994</v>
      </c>
      <c r="K38" s="25">
        <f t="shared" si="13"/>
        <v>73279.486999999994</v>
      </c>
      <c r="L38" s="25">
        <f t="shared" si="13"/>
        <v>97852.390999999989</v>
      </c>
      <c r="M38" s="25">
        <f t="shared" si="13"/>
        <v>113886.538</v>
      </c>
      <c r="N38" s="25">
        <f t="shared" si="13"/>
        <v>123889.58799999999</v>
      </c>
      <c r="O38" s="25">
        <f t="shared" si="13"/>
        <v>132398.61199999999</v>
      </c>
      <c r="P38" s="25">
        <f t="shared" si="13"/>
        <v>136469.60499999998</v>
      </c>
      <c r="Q38" s="25">
        <f t="shared" si="13"/>
        <v>138104.91800000001</v>
      </c>
      <c r="R38" s="25">
        <f t="shared" si="13"/>
        <v>138111.068</v>
      </c>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row>
    <row r="39" spans="1:79">
      <c r="B39" t="s">
        <v>333</v>
      </c>
      <c r="C39" s="249">
        <f>C38/$R$38</f>
        <v>1.0154146371527588E-4</v>
      </c>
      <c r="D39" s="249">
        <f t="shared" ref="D39:R39" si="14">D38/$R$38</f>
        <v>5.1800337971465117E-4</v>
      </c>
      <c r="E39" s="249">
        <f t="shared" si="14"/>
        <v>1.5642410353383118E-3</v>
      </c>
      <c r="F39" s="249">
        <f t="shared" si="14"/>
        <v>4.0691307955130719E-3</v>
      </c>
      <c r="G39" s="249">
        <f t="shared" si="14"/>
        <v>7.8902220928448695E-3</v>
      </c>
      <c r="H39" s="249">
        <f t="shared" si="14"/>
        <v>3.7835222590560227E-2</v>
      </c>
      <c r="I39" s="249">
        <f t="shared" si="14"/>
        <v>0.15018093263893953</v>
      </c>
      <c r="J39" s="249">
        <f t="shared" si="14"/>
        <v>0.32196064112689354</v>
      </c>
      <c r="K39" s="249">
        <f t="shared" si="14"/>
        <v>0.53058374003740227</v>
      </c>
      <c r="L39" s="249">
        <f t="shared" si="14"/>
        <v>0.70850506347543407</v>
      </c>
      <c r="M39" s="249">
        <f t="shared" si="14"/>
        <v>0.82460109569205564</v>
      </c>
      <c r="N39" s="249">
        <f t="shared" si="14"/>
        <v>0.89702867260428387</v>
      </c>
      <c r="O39" s="249">
        <f t="shared" si="14"/>
        <v>0.95863868057265322</v>
      </c>
      <c r="P39" s="249">
        <f t="shared" si="14"/>
        <v>0.98811490618550557</v>
      </c>
      <c r="Q39" s="249">
        <f t="shared" si="14"/>
        <v>0.99995547062165946</v>
      </c>
      <c r="R39" s="249">
        <f t="shared" si="14"/>
        <v>1</v>
      </c>
      <c r="S39" s="249"/>
      <c r="T39" s="249"/>
      <c r="U39" s="249"/>
      <c r="V39" s="249"/>
      <c r="W39" s="249"/>
      <c r="X39" s="249"/>
      <c r="Y39" s="249"/>
      <c r="Z39" s="249"/>
      <c r="AA39" s="249"/>
      <c r="AB39" s="249"/>
      <c r="AC39" s="249"/>
      <c r="AD39" s="249"/>
      <c r="AE39" s="249"/>
      <c r="AF39" s="249"/>
      <c r="AG39" s="249"/>
      <c r="AH39" s="249"/>
      <c r="AI39" s="249"/>
      <c r="AJ39" s="249"/>
      <c r="AK39" s="249"/>
      <c r="AL39" s="249"/>
      <c r="AM39" s="249"/>
      <c r="AN39" s="249"/>
      <c r="AO39" s="249"/>
      <c r="AP39" s="249"/>
      <c r="AQ39" s="249"/>
      <c r="AR39" s="249"/>
      <c r="AS39" s="249"/>
      <c r="AT39" s="249"/>
      <c r="AU39" s="249"/>
      <c r="AV39" s="249"/>
      <c r="AW39" s="249"/>
      <c r="AX39" s="249"/>
      <c r="AY39" s="249"/>
      <c r="AZ39" s="249"/>
      <c r="BA39" s="249"/>
      <c r="BB39" s="249"/>
      <c r="BC39" s="249"/>
      <c r="BD39" s="249"/>
      <c r="BE39" s="249"/>
      <c r="BF39" s="249"/>
      <c r="BG39" s="249"/>
      <c r="BH39" s="249"/>
      <c r="BI39" s="249"/>
      <c r="BJ39" s="249"/>
      <c r="BK39" s="249"/>
      <c r="BL39" s="249"/>
      <c r="BM39" s="249"/>
      <c r="BN39" s="249"/>
      <c r="BO39" s="249"/>
      <c r="BP39" s="249"/>
      <c r="BQ39" s="249"/>
      <c r="BR39" s="249"/>
      <c r="BS39" s="249"/>
      <c r="BT39" s="249"/>
      <c r="BU39" s="249"/>
      <c r="BV39" s="249"/>
      <c r="BW39" s="249"/>
      <c r="BX39" s="249"/>
      <c r="BY39" s="249"/>
      <c r="BZ39" s="249"/>
      <c r="CA39" s="249"/>
    </row>
    <row r="41" spans="1:79">
      <c r="B41" t="s">
        <v>335</v>
      </c>
      <c r="G41" s="250">
        <f>G29+G18+G9</f>
        <v>0</v>
      </c>
      <c r="H41" s="250">
        <f t="shared" ref="H41:R41" si="15">H29+H18+H9</f>
        <v>2378.6379999999999</v>
      </c>
      <c r="I41" s="250">
        <f t="shared" si="15"/>
        <v>7040.4470000000001</v>
      </c>
      <c r="J41" s="250">
        <f t="shared" si="15"/>
        <v>0</v>
      </c>
      <c r="K41" s="250">
        <f t="shared" si="15"/>
        <v>0</v>
      </c>
      <c r="L41" s="250">
        <f t="shared" si="15"/>
        <v>0</v>
      </c>
      <c r="M41" s="250">
        <f t="shared" si="15"/>
        <v>0</v>
      </c>
      <c r="N41" s="250">
        <f t="shared" si="15"/>
        <v>0</v>
      </c>
      <c r="O41" s="250">
        <f t="shared" si="15"/>
        <v>0</v>
      </c>
      <c r="P41" s="250">
        <f t="shared" si="15"/>
        <v>0</v>
      </c>
      <c r="Q41" s="250">
        <f t="shared" si="15"/>
        <v>0</v>
      </c>
      <c r="R41" s="250">
        <f t="shared" si="15"/>
        <v>0</v>
      </c>
    </row>
    <row r="42" spans="1:79">
      <c r="B42" t="s">
        <v>44</v>
      </c>
      <c r="G42" s="250">
        <f>G41</f>
        <v>0</v>
      </c>
      <c r="H42" s="250">
        <f>H41+G42</f>
        <v>2378.6379999999999</v>
      </c>
      <c r="I42" s="250">
        <f t="shared" ref="I42:R42" si="16">I41+H42</f>
        <v>9419.0849999999991</v>
      </c>
      <c r="J42" s="250">
        <f t="shared" si="16"/>
        <v>9419.0849999999991</v>
      </c>
      <c r="K42" s="250">
        <f t="shared" si="16"/>
        <v>9419.0849999999991</v>
      </c>
      <c r="L42" s="250">
        <f t="shared" si="16"/>
        <v>9419.0849999999991</v>
      </c>
      <c r="M42" s="250">
        <f t="shared" si="16"/>
        <v>9419.0849999999991</v>
      </c>
      <c r="N42" s="250">
        <f t="shared" si="16"/>
        <v>9419.0849999999991</v>
      </c>
      <c r="O42" s="250">
        <f t="shared" si="16"/>
        <v>9419.0849999999991</v>
      </c>
      <c r="P42" s="250">
        <f t="shared" si="16"/>
        <v>9419.0849999999991</v>
      </c>
      <c r="Q42" s="250">
        <f t="shared" si="16"/>
        <v>9419.0849999999991</v>
      </c>
      <c r="R42" s="250">
        <f t="shared" si="16"/>
        <v>9419.0849999999991</v>
      </c>
    </row>
    <row r="43" spans="1:79" s="249" customFormat="1">
      <c r="A43" s="251"/>
      <c r="G43" s="249">
        <f>G42/$R$38</f>
        <v>0</v>
      </c>
      <c r="H43" s="249">
        <f t="shared" ref="H43:R43" si="17">H42/$R$38</f>
        <v>1.7222645762177437E-2</v>
      </c>
      <c r="I43" s="249">
        <f t="shared" si="17"/>
        <v>6.8199349526426076E-2</v>
      </c>
      <c r="J43" s="249">
        <f t="shared" si="17"/>
        <v>6.8199349526426076E-2</v>
      </c>
      <c r="K43" s="249">
        <f t="shared" si="17"/>
        <v>6.8199349526426076E-2</v>
      </c>
      <c r="L43" s="249">
        <f t="shared" si="17"/>
        <v>6.8199349526426076E-2</v>
      </c>
      <c r="M43" s="249">
        <f t="shared" si="17"/>
        <v>6.8199349526426076E-2</v>
      </c>
      <c r="N43" s="249">
        <f t="shared" si="17"/>
        <v>6.8199349526426076E-2</v>
      </c>
      <c r="O43" s="249">
        <f t="shared" si="17"/>
        <v>6.8199349526426076E-2</v>
      </c>
      <c r="P43" s="249">
        <f t="shared" si="17"/>
        <v>6.8199349526426076E-2</v>
      </c>
      <c r="Q43" s="249">
        <f t="shared" si="17"/>
        <v>6.8199349526426076E-2</v>
      </c>
      <c r="R43" s="249">
        <f t="shared" si="17"/>
        <v>6.8199349526426076E-2</v>
      </c>
    </row>
    <row r="45" spans="1:79" s="4" customFormat="1" ht="13.5" thickBot="1">
      <c r="A45" s="21"/>
      <c r="G45" s="4" t="s">
        <v>444</v>
      </c>
      <c r="I45" s="364">
        <v>19947.871999999999</v>
      </c>
      <c r="J45" s="20">
        <f>I45+10717.074</f>
        <v>30664.946</v>
      </c>
    </row>
    <row r="46" spans="1:79" ht="16.5" thickBot="1">
      <c r="D46" t="s">
        <v>418</v>
      </c>
      <c r="I46" s="35">
        <f>I45-I42</f>
        <v>10528.787</v>
      </c>
      <c r="J46" s="365">
        <f>J45-J42</f>
        <v>21245.861000000001</v>
      </c>
      <c r="K46" s="35"/>
      <c r="L46" s="35"/>
      <c r="M46" s="35"/>
      <c r="N46" s="35"/>
      <c r="O46" s="35"/>
      <c r="P46" s="35"/>
      <c r="Q46" s="35"/>
      <c r="R46" s="35"/>
    </row>
  </sheetData>
  <pageMargins left="0.18" right="0.17" top="1" bottom="1" header="0.5" footer="0.5"/>
  <pageSetup scale="6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2"/>
  <sheetViews>
    <sheetView topLeftCell="A19" workbookViewId="0">
      <selection activeCell="E41" sqref="E41"/>
    </sheetView>
  </sheetViews>
  <sheetFormatPr defaultRowHeight="12.75"/>
  <cols>
    <col min="4" max="4" width="10.42578125" customWidth="1"/>
    <col min="5" max="5" width="14.85546875" bestFit="1" customWidth="1"/>
    <col min="6" max="6" width="2.85546875" customWidth="1"/>
  </cols>
  <sheetData>
    <row r="1" spans="1:5" ht="18">
      <c r="A1" s="43" t="s">
        <v>73</v>
      </c>
    </row>
    <row r="2" spans="1:5" ht="18">
      <c r="A2" s="43" t="s">
        <v>81</v>
      </c>
    </row>
    <row r="5" spans="1:5">
      <c r="A5" s="21" t="s">
        <v>82</v>
      </c>
    </row>
    <row r="6" spans="1:5">
      <c r="A6" t="s">
        <v>84</v>
      </c>
      <c r="E6" s="25">
        <v>26785396</v>
      </c>
    </row>
    <row r="7" spans="1:5">
      <c r="B7" t="s">
        <v>83</v>
      </c>
      <c r="E7" s="36">
        <f>32000000-E6</f>
        <v>5214604</v>
      </c>
    </row>
    <row r="8" spans="1:5">
      <c r="E8" s="35">
        <f>SUM(E6:E7)</f>
        <v>32000000</v>
      </c>
    </row>
    <row r="10" spans="1:5">
      <c r="A10" s="21" t="s">
        <v>85</v>
      </c>
    </row>
    <row r="11" spans="1:5">
      <c r="B11" t="s">
        <v>97</v>
      </c>
      <c r="E11" s="40">
        <v>1347000</v>
      </c>
    </row>
    <row r="12" spans="1:5">
      <c r="B12" t="s">
        <v>87</v>
      </c>
      <c r="E12" s="40">
        <v>500000</v>
      </c>
    </row>
    <row r="13" spans="1:5">
      <c r="B13" t="s">
        <v>94</v>
      </c>
      <c r="E13" s="41">
        <f>E11*0.1</f>
        <v>134700</v>
      </c>
    </row>
    <row r="14" spans="1:5">
      <c r="E14" s="40">
        <f>SUM(E11:E13)</f>
        <v>1981700</v>
      </c>
    </row>
    <row r="15" spans="1:5">
      <c r="E15" s="33"/>
    </row>
    <row r="16" spans="1:5">
      <c r="A16" s="21" t="s">
        <v>88</v>
      </c>
      <c r="E16" s="33"/>
    </row>
    <row r="17" spans="1:7">
      <c r="B17" t="s">
        <v>89</v>
      </c>
      <c r="E17" s="40">
        <v>27502700</v>
      </c>
    </row>
    <row r="18" spans="1:7">
      <c r="B18" t="s">
        <v>105</v>
      </c>
      <c r="E18" s="40">
        <f>3600000-E19</f>
        <v>2700000</v>
      </c>
    </row>
    <row r="19" spans="1:7">
      <c r="B19" t="s">
        <v>106</v>
      </c>
      <c r="E19" s="40">
        <v>900000</v>
      </c>
    </row>
    <row r="20" spans="1:7">
      <c r="B20" t="s">
        <v>90</v>
      </c>
      <c r="E20" s="44">
        <v>-700000</v>
      </c>
      <c r="G20" t="s">
        <v>100</v>
      </c>
    </row>
    <row r="21" spans="1:7">
      <c r="B21" t="s">
        <v>95</v>
      </c>
      <c r="E21" s="40">
        <v>1307660</v>
      </c>
    </row>
    <row r="22" spans="1:7">
      <c r="B22" t="s">
        <v>90</v>
      </c>
      <c r="E22" s="40">
        <v>-200500</v>
      </c>
      <c r="G22" t="s">
        <v>100</v>
      </c>
    </row>
    <row r="23" spans="1:7">
      <c r="B23" t="s">
        <v>99</v>
      </c>
      <c r="E23" s="40">
        <f>254805*5</f>
        <v>1274025</v>
      </c>
    </row>
    <row r="24" spans="1:7">
      <c r="B24" t="s">
        <v>90</v>
      </c>
      <c r="E24" s="40">
        <v>-100000</v>
      </c>
      <c r="G24" t="s">
        <v>100</v>
      </c>
    </row>
    <row r="25" spans="1:7">
      <c r="B25" t="s">
        <v>98</v>
      </c>
      <c r="E25" s="41">
        <f>E23*0.07</f>
        <v>89181.750000000015</v>
      </c>
    </row>
    <row r="26" spans="1:7">
      <c r="E26" s="42">
        <f>SUM(E17:E25)</f>
        <v>32773066.75</v>
      </c>
    </row>
    <row r="29" spans="1:7">
      <c r="A29" s="21" t="s">
        <v>91</v>
      </c>
    </row>
    <row r="30" spans="1:7">
      <c r="B30" s="37" t="s">
        <v>92</v>
      </c>
      <c r="E30" s="35">
        <f>27500000/4</f>
        <v>6875000</v>
      </c>
    </row>
    <row r="31" spans="1:7">
      <c r="B31" t="s">
        <v>93</v>
      </c>
      <c r="E31" s="35">
        <f>2000000/4</f>
        <v>500000</v>
      </c>
    </row>
    <row r="32" spans="1:7">
      <c r="B32" t="s">
        <v>86</v>
      </c>
      <c r="E32" s="36">
        <v>0</v>
      </c>
    </row>
    <row r="33" spans="1:7">
      <c r="E33" s="20">
        <f>SUM(E30:E32)</f>
        <v>7375000</v>
      </c>
    </row>
    <row r="34" spans="1:7">
      <c r="E34" s="20"/>
    </row>
    <row r="35" spans="1:7">
      <c r="A35" s="21" t="s">
        <v>96</v>
      </c>
      <c r="E35" s="46">
        <v>0</v>
      </c>
      <c r="G35" t="s">
        <v>107</v>
      </c>
    </row>
    <row r="36" spans="1:7" ht="8.25" customHeight="1">
      <c r="E36" s="30"/>
    </row>
    <row r="37" spans="1:7">
      <c r="A37" s="21" t="s">
        <v>102</v>
      </c>
      <c r="E37" s="47">
        <f>E35+E33+E26+E14+E8</f>
        <v>74129766.75</v>
      </c>
    </row>
    <row r="39" spans="1:7">
      <c r="A39" s="21" t="s">
        <v>101</v>
      </c>
      <c r="E39" s="48">
        <v>10870000</v>
      </c>
    </row>
    <row r="40" spans="1:7" ht="8.25" customHeight="1"/>
    <row r="41" spans="1:7" ht="13.5" thickBot="1">
      <c r="A41" s="21" t="s">
        <v>103</v>
      </c>
      <c r="E41" s="45">
        <f>E37+E39</f>
        <v>84999766.75</v>
      </c>
    </row>
    <row r="42" spans="1:7" ht="13.5" thickTop="1"/>
  </sheetData>
  <pageMargins left="0.75" right="0.75" top="1" bottom="1" header="0.5" footer="0.5"/>
  <pageSetup scale="96" orientation="portrait" verticalDpi="300" r:id="rId1"/>
  <headerFooter alignWithMargins="0">
    <oddFooter>&amp;R&amp;F&amp;A
&amp;D&amp;T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G5" sqref="G5"/>
    </sheetView>
  </sheetViews>
  <sheetFormatPr defaultRowHeight="12.75"/>
  <cols>
    <col min="1" max="1" width="11.28515625" style="35" customWidth="1"/>
    <col min="2" max="2" width="5.5703125" style="35" customWidth="1"/>
    <col min="3" max="3" width="11.28515625" style="35" bestFit="1" customWidth="1"/>
    <col min="4" max="4" width="3.28515625" style="35" customWidth="1"/>
    <col min="5" max="5" width="10.28515625" style="35" bestFit="1" customWidth="1"/>
    <col min="6" max="6" width="2.7109375" style="35" customWidth="1"/>
    <col min="7" max="7" width="13.42578125" style="35" bestFit="1" customWidth="1"/>
    <col min="8" max="8" width="2.28515625" style="35" customWidth="1"/>
    <col min="9" max="16384" width="9.140625" style="35"/>
  </cols>
  <sheetData>
    <row r="1" spans="1:7" ht="18">
      <c r="A1" s="34" t="s">
        <v>70</v>
      </c>
    </row>
    <row r="3" spans="1:7">
      <c r="C3" s="7" t="s">
        <v>77</v>
      </c>
      <c r="E3" s="7" t="s">
        <v>76</v>
      </c>
    </row>
    <row r="4" spans="1:7">
      <c r="C4" s="7" t="s">
        <v>78</v>
      </c>
      <c r="E4" s="7" t="s">
        <v>79</v>
      </c>
      <c r="G4" s="7" t="s">
        <v>118</v>
      </c>
    </row>
    <row r="5" spans="1:7">
      <c r="C5" s="7"/>
    </row>
    <row r="6" spans="1:7">
      <c r="A6" s="9" t="s">
        <v>72</v>
      </c>
      <c r="C6" s="35">
        <v>395276</v>
      </c>
      <c r="E6" s="35">
        <v>587051</v>
      </c>
      <c r="G6" s="35">
        <f>E6-C6</f>
        <v>191775</v>
      </c>
    </row>
    <row r="7" spans="1:7">
      <c r="A7" s="9"/>
      <c r="G7" s="35">
        <f t="shared" ref="G7:G14" si="0">E7-C7</f>
        <v>0</v>
      </c>
    </row>
    <row r="8" spans="1:7">
      <c r="A8" s="9" t="s">
        <v>74</v>
      </c>
      <c r="C8" s="35">
        <v>395276</v>
      </c>
      <c r="E8" s="35">
        <v>620100</v>
      </c>
      <c r="G8" s="35">
        <f t="shared" si="0"/>
        <v>224824</v>
      </c>
    </row>
    <row r="9" spans="1:7">
      <c r="A9" s="9"/>
    </row>
    <row r="10" spans="1:7">
      <c r="A10" s="9" t="s">
        <v>73</v>
      </c>
      <c r="C10" s="35">
        <v>395276</v>
      </c>
      <c r="E10" s="35">
        <v>641831</v>
      </c>
      <c r="G10" s="35">
        <f t="shared" si="0"/>
        <v>246555</v>
      </c>
    </row>
    <row r="11" spans="1:7">
      <c r="A11" s="9"/>
    </row>
    <row r="12" spans="1:7">
      <c r="A12" s="9" t="s">
        <v>71</v>
      </c>
      <c r="C12" s="36">
        <v>395276</v>
      </c>
      <c r="E12" s="36">
        <v>225000</v>
      </c>
      <c r="F12" s="35" t="s">
        <v>80</v>
      </c>
      <c r="G12" s="36">
        <f t="shared" si="0"/>
        <v>-170276</v>
      </c>
    </row>
    <row r="14" spans="1:7" s="9" customFormat="1">
      <c r="A14" s="9" t="s">
        <v>75</v>
      </c>
      <c r="C14" s="9">
        <f>SUM(C6:C12)</f>
        <v>1581104</v>
      </c>
      <c r="E14" s="9">
        <f>SUM(E6:E12)</f>
        <v>2073982</v>
      </c>
      <c r="G14" s="9">
        <f t="shared" si="0"/>
        <v>492878</v>
      </c>
    </row>
    <row r="16" spans="1:7">
      <c r="E16" s="35" t="s">
        <v>104</v>
      </c>
    </row>
  </sheetData>
  <pageMargins left="0.75" right="0.75" top="1" bottom="1" header="0.5" footer="0.5"/>
  <pageSetup orientation="portrait" verticalDpi="300" r:id="rId1"/>
  <headerFooter alignWithMargins="0">
    <oddFooter>&amp;R&amp;F&amp;A
&amp;D&amp;T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16"/>
  <sheetViews>
    <sheetView workbookViewId="0">
      <selection activeCell="G32" sqref="G32"/>
    </sheetView>
  </sheetViews>
  <sheetFormatPr defaultRowHeight="12.75"/>
  <cols>
    <col min="1" max="1" width="2" bestFit="1" customWidth="1"/>
    <col min="2" max="3" width="4.7109375" customWidth="1"/>
  </cols>
  <sheetData>
    <row r="1" spans="1:4">
      <c r="B1" s="85" t="s">
        <v>132</v>
      </c>
    </row>
    <row r="3" spans="1:4">
      <c r="A3">
        <v>1</v>
      </c>
      <c r="B3" t="s">
        <v>140</v>
      </c>
    </row>
    <row r="5" spans="1:4">
      <c r="A5">
        <v>2</v>
      </c>
      <c r="B5" t="s">
        <v>133</v>
      </c>
    </row>
    <row r="6" spans="1:4">
      <c r="C6" t="s">
        <v>187</v>
      </c>
    </row>
    <row r="8" spans="1:4">
      <c r="A8">
        <v>3</v>
      </c>
      <c r="B8" t="s">
        <v>134</v>
      </c>
    </row>
    <row r="9" spans="1:4">
      <c r="C9" t="s">
        <v>135</v>
      </c>
    </row>
    <row r="10" spans="1:4">
      <c r="C10" t="s">
        <v>136</v>
      </c>
    </row>
    <row r="11" spans="1:4">
      <c r="C11" t="s">
        <v>137</v>
      </c>
    </row>
    <row r="12" spans="1:4">
      <c r="D12" t="s">
        <v>188</v>
      </c>
    </row>
    <row r="13" spans="1:4">
      <c r="D13" t="s">
        <v>138</v>
      </c>
    </row>
    <row r="15" spans="1:4">
      <c r="A15">
        <v>4</v>
      </c>
      <c r="B15" t="s">
        <v>133</v>
      </c>
    </row>
    <row r="16" spans="1:4">
      <c r="C16" t="s">
        <v>139</v>
      </c>
    </row>
  </sheetData>
  <pageMargins left="0.75" right="0.75" top="1" bottom="1" header="0.5" footer="0.5"/>
  <pageSetup orientation="landscape"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V111"/>
  <sheetViews>
    <sheetView tabSelected="1" zoomScale="90" zoomScaleNormal="90" zoomScaleSheetLayoutView="100" workbookViewId="0">
      <selection activeCell="A32" sqref="A32"/>
    </sheetView>
  </sheetViews>
  <sheetFormatPr defaultRowHeight="12.75"/>
  <cols>
    <col min="1" max="1" width="28.140625" style="175" customWidth="1"/>
    <col min="2" max="2" width="3.140625" style="175" customWidth="1"/>
    <col min="3" max="3" width="15" style="175" customWidth="1"/>
    <col min="4" max="4" width="2.42578125" style="175" customWidth="1"/>
    <col min="5" max="5" width="16.28515625" style="175" bestFit="1" customWidth="1"/>
    <col min="6" max="6" width="2.42578125" style="175" customWidth="1"/>
    <col min="7" max="7" width="15.7109375" style="175" bestFit="1" customWidth="1"/>
    <col min="8" max="8" width="2.42578125" style="175" customWidth="1"/>
    <col min="9" max="9" width="20.28515625" style="175" bestFit="1" customWidth="1"/>
    <col min="10" max="10" width="2.7109375" style="175" customWidth="1"/>
    <col min="11" max="11" width="17.140625" style="175" bestFit="1" customWidth="1"/>
    <col min="12" max="12" width="2.7109375" style="175" customWidth="1"/>
    <col min="13" max="13" width="13.28515625" style="175" bestFit="1" customWidth="1"/>
    <col min="14" max="14" width="2.7109375" style="175" customWidth="1"/>
    <col min="15" max="15" width="19.140625" style="175" bestFit="1" customWidth="1"/>
    <col min="16" max="18" width="0" hidden="1" customWidth="1"/>
    <col min="47" max="58" width="0" hidden="1" customWidth="1"/>
  </cols>
  <sheetData>
    <row r="1" spans="1:74" ht="15.75">
      <c r="A1" s="174" t="s">
        <v>127</v>
      </c>
    </row>
    <row r="2" spans="1:74" ht="15.75">
      <c r="A2" s="174" t="s">
        <v>170</v>
      </c>
      <c r="G2" s="176"/>
      <c r="J2" s="177" t="s">
        <v>124</v>
      </c>
      <c r="O2" s="176">
        <f ca="1">NOW()</f>
        <v>36651.54237210648</v>
      </c>
    </row>
    <row r="3" spans="1:74" ht="15.75">
      <c r="A3" s="178" t="s">
        <v>189</v>
      </c>
      <c r="G3" s="176"/>
      <c r="J3" s="177"/>
      <c r="O3" s="176"/>
      <c r="BV3" t="str">
        <f ca="1">Summary!A5</f>
        <v>Revision # 56</v>
      </c>
    </row>
    <row r="4" spans="1:74" ht="15.75">
      <c r="A4" s="174" t="s">
        <v>185</v>
      </c>
      <c r="J4" s="177" t="s">
        <v>125</v>
      </c>
      <c r="O4" s="98" t="s">
        <v>563</v>
      </c>
    </row>
    <row r="5" spans="1:74" ht="15.75">
      <c r="A5" s="178" t="s">
        <v>562</v>
      </c>
      <c r="I5" s="26"/>
      <c r="O5" s="179"/>
    </row>
    <row r="6" spans="1:74" ht="16.5" thickBot="1">
      <c r="A6" s="174"/>
      <c r="I6" s="26"/>
      <c r="O6" s="179"/>
    </row>
    <row r="7" spans="1:74" ht="16.5" thickBot="1">
      <c r="A7" s="174"/>
      <c r="G7" s="165" t="s">
        <v>122</v>
      </c>
      <c r="H7" s="166"/>
      <c r="I7" s="166"/>
      <c r="J7" s="166"/>
      <c r="K7" s="167"/>
      <c r="L7" s="174"/>
      <c r="M7" s="174"/>
    </row>
    <row r="8" spans="1:74">
      <c r="A8" s="224" t="s">
        <v>272</v>
      </c>
      <c r="C8" s="180"/>
      <c r="E8" s="27" t="s">
        <v>43</v>
      </c>
      <c r="G8" s="86" t="s">
        <v>44</v>
      </c>
      <c r="H8" s="181"/>
      <c r="I8" s="87" t="s">
        <v>51</v>
      </c>
      <c r="J8" s="181"/>
      <c r="K8" s="88" t="s">
        <v>128</v>
      </c>
      <c r="M8" s="27" t="s">
        <v>141</v>
      </c>
      <c r="O8" s="27" t="s">
        <v>45</v>
      </c>
    </row>
    <row r="9" spans="1:74">
      <c r="A9" s="29" t="s">
        <v>284</v>
      </c>
      <c r="C9" s="29" t="s">
        <v>47</v>
      </c>
      <c r="E9" s="151" t="s">
        <v>286</v>
      </c>
      <c r="G9" s="89" t="str">
        <f>+O4</f>
        <v xml:space="preserve"> As of 4/28/00</v>
      </c>
      <c r="H9" s="182"/>
      <c r="I9" s="53" t="str">
        <f>+O4</f>
        <v xml:space="preserve"> As of 4/28/00</v>
      </c>
      <c r="J9" s="182"/>
      <c r="K9" s="90" t="str">
        <f>+O4</f>
        <v xml:space="preserve"> As of 4/28/00</v>
      </c>
      <c r="M9" s="28" t="s">
        <v>143</v>
      </c>
      <c r="O9" s="28" t="s">
        <v>46</v>
      </c>
    </row>
    <row r="10" spans="1:74">
      <c r="A10" s="180"/>
      <c r="C10" s="27"/>
      <c r="E10" s="180"/>
      <c r="G10" s="183"/>
      <c r="H10" s="182"/>
      <c r="I10" s="180"/>
      <c r="J10" s="182"/>
      <c r="K10" s="184"/>
      <c r="M10" s="180"/>
      <c r="O10" s="180"/>
    </row>
    <row r="11" spans="1:74">
      <c r="A11" s="185" t="s">
        <v>254</v>
      </c>
      <c r="C11" s="455">
        <v>608</v>
      </c>
      <c r="E11" s="187">
        <f ca="1">Wilton!R177/1000</f>
        <v>239675.46775000001</v>
      </c>
      <c r="F11" s="186"/>
      <c r="G11" s="188">
        <f ca="1">Wilton!BL177/1000</f>
        <v>239128.64830774479</v>
      </c>
      <c r="H11" s="182"/>
      <c r="I11" s="187">
        <f ca="1">K11-G11</f>
        <v>18124.679361492803</v>
      </c>
      <c r="J11" s="182"/>
      <c r="K11" s="189">
        <f ca="1">Wilton!BR177/1000</f>
        <v>257253.32766923759</v>
      </c>
      <c r="M11" s="187">
        <f ca="1">+E11-K11</f>
        <v>-17577.859919237584</v>
      </c>
      <c r="O11" s="190">
        <f ca="1">+G11/K11</f>
        <v>0.92954540364664773</v>
      </c>
    </row>
    <row r="12" spans="1:74">
      <c r="A12" s="191"/>
      <c r="C12" s="455"/>
      <c r="E12" s="192"/>
      <c r="F12" s="186"/>
      <c r="G12" s="193"/>
      <c r="H12" s="182"/>
      <c r="I12" s="192"/>
      <c r="J12" s="182"/>
      <c r="K12" s="194"/>
      <c r="M12" s="192"/>
      <c r="O12" s="195"/>
    </row>
    <row r="13" spans="1:74">
      <c r="A13" s="185" t="str">
        <f ca="1">Gleason!A3</f>
        <v>Gleason, TN</v>
      </c>
      <c r="C13" s="455">
        <v>509</v>
      </c>
      <c r="E13" s="187">
        <f ca="1">Gleason!R225/1000</f>
        <v>170575.01</v>
      </c>
      <c r="F13" s="186"/>
      <c r="G13" s="188">
        <f ca="1">Gleason!BN225/1000</f>
        <v>145391.16498483869</v>
      </c>
      <c r="H13" s="182"/>
      <c r="I13" s="187">
        <f ca="1">K13-G13</f>
        <v>29394.550047960802</v>
      </c>
      <c r="J13" s="182"/>
      <c r="K13" s="189">
        <f ca="1">Gleason!BT225/1000</f>
        <v>174785.71503279949</v>
      </c>
      <c r="M13" s="187">
        <f ca="1">+E13-K13</f>
        <v>-4210.7050327994803</v>
      </c>
      <c r="O13" s="190">
        <f ca="1">+G13/K13</f>
        <v>0.83182521499285711</v>
      </c>
    </row>
    <row r="14" spans="1:74">
      <c r="A14" s="191"/>
      <c r="C14" s="455"/>
      <c r="E14" s="192"/>
      <c r="F14" s="186"/>
      <c r="G14" s="193"/>
      <c r="H14" s="182"/>
      <c r="I14" s="192"/>
      <c r="J14" s="182"/>
      <c r="K14" s="194"/>
      <c r="M14" s="192"/>
      <c r="O14" s="195"/>
    </row>
    <row r="15" spans="1:74">
      <c r="A15" s="185" t="s">
        <v>194</v>
      </c>
      <c r="C15" s="455">
        <v>470</v>
      </c>
      <c r="E15" s="187">
        <f ca="1">Wheatland!R176/1000</f>
        <v>158451.2481</v>
      </c>
      <c r="F15" s="186"/>
      <c r="G15" s="188">
        <f ca="1">Wheatland!BL176/1000</f>
        <v>131885.49470717751</v>
      </c>
      <c r="H15" s="182"/>
      <c r="I15" s="187">
        <f ca="1">K15-G15</f>
        <v>28094.424869319162</v>
      </c>
      <c r="J15" s="182"/>
      <c r="K15" s="189">
        <f ca="1">Wheatland!BR176/1000</f>
        <v>159979.91957649667</v>
      </c>
      <c r="M15" s="187">
        <f ca="1">+E15-K15</f>
        <v>-1528.6714764966746</v>
      </c>
      <c r="O15" s="190">
        <f ca="1">+G15/K15</f>
        <v>0.82438780477142681</v>
      </c>
      <c r="AC15" t="s">
        <v>154</v>
      </c>
    </row>
    <row r="16" spans="1:74" ht="8.25" customHeight="1">
      <c r="A16" s="191"/>
      <c r="B16" s="182"/>
      <c r="C16" s="456"/>
      <c r="D16" s="182"/>
      <c r="E16" s="196"/>
      <c r="F16" s="182"/>
      <c r="G16" s="197"/>
      <c r="H16" s="182"/>
      <c r="I16" s="196"/>
      <c r="J16" s="182"/>
      <c r="K16" s="198"/>
      <c r="L16" s="182"/>
      <c r="M16" s="196"/>
      <c r="N16" s="182"/>
      <c r="O16" s="191"/>
    </row>
    <row r="17" spans="1:29">
      <c r="A17" s="199" t="s">
        <v>267</v>
      </c>
      <c r="B17" s="200"/>
      <c r="C17" s="457">
        <f>SUM(C11:C15)</f>
        <v>1587</v>
      </c>
      <c r="D17" s="182"/>
      <c r="E17" s="201">
        <f ca="1">SUM(E11:E15)</f>
        <v>568701.72585000005</v>
      </c>
      <c r="F17" s="202"/>
      <c r="G17" s="203">
        <f ca="1">SUM(G11:G15)</f>
        <v>516405.30799976096</v>
      </c>
      <c r="H17" s="202"/>
      <c r="I17" s="201">
        <f ca="1">SUM(I11:I15)</f>
        <v>75613.654278772767</v>
      </c>
      <c r="J17" s="182"/>
      <c r="K17" s="204">
        <f ca="1">SUM(K11:K15)</f>
        <v>592018.96227853373</v>
      </c>
      <c r="L17" s="182"/>
      <c r="M17" s="201">
        <f ca="1">SUM(M10:M15)</f>
        <v>-23317.236428533739</v>
      </c>
      <c r="N17" s="182"/>
      <c r="O17" s="205">
        <f ca="1">+G17/K17</f>
        <v>0.87227832367437252</v>
      </c>
    </row>
    <row r="18" spans="1:29" ht="13.5" thickBot="1">
      <c r="A18" s="206" t="s">
        <v>50</v>
      </c>
      <c r="B18" s="200"/>
      <c r="C18" s="206"/>
      <c r="D18" s="182"/>
      <c r="E18" s="207">
        <f ca="1">E17/C17</f>
        <v>358.35017381852555</v>
      </c>
      <c r="F18" s="202"/>
      <c r="G18" s="208"/>
      <c r="H18" s="209"/>
      <c r="I18" s="210"/>
      <c r="J18" s="211"/>
      <c r="K18" s="212">
        <f ca="1">+K17/C17</f>
        <v>373.04282437210696</v>
      </c>
      <c r="L18" s="182"/>
      <c r="M18" s="207"/>
      <c r="N18" s="182"/>
      <c r="O18" s="213"/>
    </row>
    <row r="19" spans="1:29" s="33" customFormat="1">
      <c r="A19" s="214"/>
      <c r="B19" s="214"/>
      <c r="C19" s="214"/>
      <c r="D19" s="215"/>
      <c r="E19" s="202"/>
      <c r="F19" s="202"/>
      <c r="G19" s="202"/>
      <c r="H19" s="202"/>
      <c r="I19" s="202"/>
      <c r="J19" s="215"/>
      <c r="K19" s="202"/>
      <c r="L19" s="215"/>
      <c r="M19" s="202"/>
      <c r="N19" s="215"/>
      <c r="O19" s="216"/>
    </row>
    <row r="20" spans="1:29" ht="16.5" hidden="1" thickBot="1">
      <c r="A20" s="174"/>
      <c r="C20"/>
      <c r="G20" s="165" t="s">
        <v>122</v>
      </c>
      <c r="H20" s="166"/>
      <c r="I20" s="166"/>
      <c r="J20" s="166"/>
      <c r="K20" s="167"/>
      <c r="L20" s="174"/>
      <c r="M20" s="174"/>
      <c r="O20"/>
    </row>
    <row r="21" spans="1:29" hidden="1">
      <c r="A21" s="224" t="s">
        <v>271</v>
      </c>
      <c r="C21"/>
      <c r="E21" s="27" t="s">
        <v>43</v>
      </c>
      <c r="G21" s="86" t="s">
        <v>44</v>
      </c>
      <c r="H21" s="181"/>
      <c r="I21" s="87" t="s">
        <v>51</v>
      </c>
      <c r="J21" s="181"/>
      <c r="K21" s="88" t="s">
        <v>128</v>
      </c>
      <c r="M21" s="27" t="s">
        <v>141</v>
      </c>
      <c r="O21"/>
    </row>
    <row r="22" spans="1:29" hidden="1">
      <c r="A22" s="29" t="s">
        <v>48</v>
      </c>
      <c r="C22"/>
      <c r="E22" s="151" t="str">
        <f>E9</f>
        <v>as of 7/22/99</v>
      </c>
      <c r="G22" s="89" t="str">
        <f>G9</f>
        <v xml:space="preserve"> As of 4/28/00</v>
      </c>
      <c r="H22" s="182"/>
      <c r="I22" s="53" t="str">
        <f>I9</f>
        <v xml:space="preserve"> As of 4/28/00</v>
      </c>
      <c r="J22" s="182"/>
      <c r="K22" s="90" t="str">
        <f>K9</f>
        <v xml:space="preserve"> As of 4/28/00</v>
      </c>
      <c r="M22" s="28" t="s">
        <v>143</v>
      </c>
      <c r="O22"/>
    </row>
    <row r="23" spans="1:29" hidden="1">
      <c r="A23" s="180"/>
      <c r="C23"/>
      <c r="E23" s="180"/>
      <c r="G23" s="183"/>
      <c r="H23" s="182"/>
      <c r="I23" s="180"/>
      <c r="J23" s="182"/>
      <c r="K23" s="184"/>
      <c r="M23" s="180"/>
      <c r="O23"/>
    </row>
    <row r="24" spans="1:29" hidden="1">
      <c r="A24" s="185" t="s">
        <v>254</v>
      </c>
      <c r="C24"/>
      <c r="E24" s="187">
        <v>1500</v>
      </c>
      <c r="F24" s="186"/>
      <c r="G24" s="188">
        <v>0</v>
      </c>
      <c r="H24" s="182"/>
      <c r="I24" s="187">
        <f>K24-G24</f>
        <v>1500</v>
      </c>
      <c r="J24" s="182"/>
      <c r="K24" s="189">
        <v>1500</v>
      </c>
      <c r="M24" s="187">
        <f>+E24-K24</f>
        <v>0</v>
      </c>
      <c r="O24"/>
    </row>
    <row r="25" spans="1:29" hidden="1">
      <c r="A25" s="191"/>
      <c r="C25"/>
      <c r="E25" s="192"/>
      <c r="F25" s="186"/>
      <c r="G25" s="193"/>
      <c r="H25" s="182"/>
      <c r="I25" s="192"/>
      <c r="J25" s="182"/>
      <c r="K25" s="194"/>
      <c r="M25" s="192"/>
      <c r="O25"/>
    </row>
    <row r="26" spans="1:29" hidden="1">
      <c r="A26" s="185" t="str">
        <f ca="1">+'Calvert City'!$A$3</f>
        <v>Calvert City, KY</v>
      </c>
      <c r="C26"/>
      <c r="E26" s="187">
        <v>1500</v>
      </c>
      <c r="F26" s="186"/>
      <c r="G26" s="188">
        <v>0</v>
      </c>
      <c r="H26" s="182"/>
      <c r="I26" s="187">
        <f>K26-G26</f>
        <v>1500</v>
      </c>
      <c r="J26" s="182"/>
      <c r="K26" s="189">
        <v>1500</v>
      </c>
      <c r="M26" s="187">
        <f>+E26-K26</f>
        <v>0</v>
      </c>
      <c r="O26"/>
    </row>
    <row r="27" spans="1:29" hidden="1">
      <c r="A27" s="191"/>
      <c r="C27"/>
      <c r="E27" s="192"/>
      <c r="F27" s="186"/>
      <c r="G27" s="193"/>
      <c r="H27" s="182"/>
      <c r="I27" s="192"/>
      <c r="J27" s="182"/>
      <c r="K27" s="194"/>
      <c r="M27" s="192"/>
      <c r="O27"/>
    </row>
    <row r="28" spans="1:29" hidden="1">
      <c r="A28" s="185" t="s">
        <v>194</v>
      </c>
      <c r="C28"/>
      <c r="E28" s="187">
        <v>1500</v>
      </c>
      <c r="F28" s="186"/>
      <c r="G28" s="188">
        <v>0</v>
      </c>
      <c r="H28" s="182"/>
      <c r="I28" s="187">
        <f>K28-G28</f>
        <v>1500</v>
      </c>
      <c r="J28" s="182"/>
      <c r="K28" s="189">
        <v>1500</v>
      </c>
      <c r="M28" s="187">
        <f>+E28-K28</f>
        <v>0</v>
      </c>
      <c r="O28"/>
      <c r="AC28" t="s">
        <v>154</v>
      </c>
    </row>
    <row r="29" spans="1:29" ht="8.25" hidden="1" customHeight="1">
      <c r="A29" s="191"/>
      <c r="B29" s="182"/>
      <c r="C29"/>
      <c r="D29" s="182"/>
      <c r="E29" s="196"/>
      <c r="F29" s="182"/>
      <c r="G29" s="197"/>
      <c r="H29" s="182"/>
      <c r="I29" s="196"/>
      <c r="J29" s="182"/>
      <c r="K29" s="198"/>
      <c r="L29" s="182"/>
      <c r="M29" s="196"/>
      <c r="N29" s="182"/>
      <c r="O29"/>
    </row>
    <row r="30" spans="1:29" hidden="1">
      <c r="A30" s="223" t="s">
        <v>267</v>
      </c>
      <c r="B30" s="200"/>
      <c r="C30"/>
      <c r="D30" s="182"/>
      <c r="E30" s="220">
        <f>SUM(E24:E28)</f>
        <v>4500</v>
      </c>
      <c r="F30" s="202"/>
      <c r="G30" s="222">
        <f>SUM(G24:G28)</f>
        <v>0</v>
      </c>
      <c r="H30" s="202"/>
      <c r="I30" s="220">
        <f>SUM(I24:I28)</f>
        <v>4500</v>
      </c>
      <c r="J30" s="182"/>
      <c r="K30" s="221">
        <f>SUM(K24:K28)</f>
        <v>4500</v>
      </c>
      <c r="L30" s="182"/>
      <c r="M30" s="220">
        <f>SUM(M23:M28)</f>
        <v>0</v>
      </c>
      <c r="N30" s="182"/>
      <c r="O30"/>
    </row>
    <row r="31" spans="1:29" s="33" customFormat="1" hidden="1">
      <c r="A31" s="214"/>
      <c r="B31" s="214"/>
      <c r="C31"/>
      <c r="D31" s="215"/>
      <c r="E31" s="202"/>
      <c r="F31" s="202"/>
      <c r="G31" s="202"/>
      <c r="H31" s="202"/>
      <c r="I31" s="202"/>
      <c r="J31" s="215"/>
      <c r="K31" s="202"/>
      <c r="L31" s="215"/>
      <c r="M31" s="202"/>
      <c r="N31" s="215"/>
      <c r="O31"/>
    </row>
    <row r="32" spans="1:29" s="33" customFormat="1" ht="13.5" thickBot="1">
      <c r="A32" s="214"/>
      <c r="B32" s="214"/>
      <c r="C32" s="214"/>
      <c r="D32" s="215"/>
      <c r="E32" s="202"/>
      <c r="F32" s="202"/>
      <c r="G32" s="202"/>
      <c r="H32" s="202"/>
      <c r="I32" s="202"/>
      <c r="J32" s="215"/>
      <c r="K32" s="202"/>
      <c r="L32" s="215"/>
      <c r="M32" s="202"/>
      <c r="N32" s="215"/>
      <c r="O32" s="216"/>
    </row>
    <row r="33" spans="1:29" ht="16.5" thickBot="1">
      <c r="A33" s="135" t="s">
        <v>200</v>
      </c>
      <c r="G33" s="165" t="s">
        <v>122</v>
      </c>
      <c r="H33" s="166"/>
      <c r="I33" s="166"/>
      <c r="J33" s="166"/>
      <c r="K33" s="167"/>
      <c r="L33" s="174"/>
      <c r="M33" s="174"/>
    </row>
    <row r="34" spans="1:29">
      <c r="A34" s="191"/>
      <c r="E34" s="27" t="s">
        <v>43</v>
      </c>
      <c r="G34" s="86" t="s">
        <v>44</v>
      </c>
      <c r="H34" s="181"/>
      <c r="I34" s="87" t="s">
        <v>51</v>
      </c>
      <c r="J34" s="181"/>
      <c r="K34" s="88" t="s">
        <v>128</v>
      </c>
    </row>
    <row r="35" spans="1:29">
      <c r="A35" s="29" t="s">
        <v>48</v>
      </c>
      <c r="E35" s="151">
        <v>36433</v>
      </c>
      <c r="G35" s="89" t="str">
        <f>O4</f>
        <v xml:space="preserve"> As of 4/28/00</v>
      </c>
      <c r="H35" s="182"/>
      <c r="I35" s="53" t="str">
        <f>O4</f>
        <v xml:space="preserve"> As of 4/28/00</v>
      </c>
      <c r="J35" s="182"/>
      <c r="K35" s="90" t="str">
        <f>O4</f>
        <v xml:space="preserve"> As of 4/28/00</v>
      </c>
    </row>
    <row r="36" spans="1:29">
      <c r="A36" s="180"/>
      <c r="E36" s="180"/>
      <c r="G36" s="183"/>
      <c r="H36" s="182"/>
      <c r="I36" s="180"/>
      <c r="J36" s="182"/>
      <c r="K36" s="184"/>
    </row>
    <row r="37" spans="1:29">
      <c r="A37" s="185" t="s">
        <v>196</v>
      </c>
      <c r="E37" s="187"/>
      <c r="F37" s="186"/>
      <c r="G37" s="188">
        <f ca="1">Wilton!BL195/1000</f>
        <v>314.52427</v>
      </c>
      <c r="H37" s="182"/>
      <c r="I37" s="187"/>
      <c r="J37" s="182"/>
      <c r="K37" s="189">
        <f ca="1">+I37+G37</f>
        <v>314.52427</v>
      </c>
    </row>
    <row r="38" spans="1:29">
      <c r="A38" s="191"/>
      <c r="E38" s="192"/>
      <c r="F38" s="186"/>
      <c r="G38" s="193"/>
      <c r="H38" s="182"/>
      <c r="I38" s="192"/>
      <c r="J38" s="182"/>
      <c r="K38" s="194"/>
    </row>
    <row r="39" spans="1:29">
      <c r="A39" s="185" t="s">
        <v>293</v>
      </c>
      <c r="E39" s="187">
        <v>1513</v>
      </c>
      <c r="F39" s="186"/>
      <c r="G39" s="188">
        <f ca="1">'Calvert City'!BN205/1000</f>
        <v>1401.0854433333327</v>
      </c>
      <c r="H39" s="182"/>
      <c r="I39" s="187">
        <f ca="1">E39-G39</f>
        <v>111.91455666666729</v>
      </c>
      <c r="J39" s="182"/>
      <c r="K39" s="189">
        <f ca="1">+I39+G39</f>
        <v>1513</v>
      </c>
    </row>
    <row r="40" spans="1:29">
      <c r="A40" s="191"/>
      <c r="E40" s="192"/>
      <c r="F40" s="186"/>
      <c r="G40" s="193"/>
      <c r="H40" s="182"/>
      <c r="I40" s="192"/>
      <c r="J40" s="182"/>
      <c r="K40" s="194"/>
    </row>
    <row r="41" spans="1:29">
      <c r="A41" s="185" t="s">
        <v>199</v>
      </c>
      <c r="E41" s="187"/>
      <c r="F41" s="186"/>
      <c r="G41" s="188">
        <f ca="1">Wheatland!BL194/1000</f>
        <v>15.1</v>
      </c>
      <c r="H41" s="182"/>
      <c r="I41" s="187"/>
      <c r="J41" s="182"/>
      <c r="K41" s="189">
        <f ca="1">+I41+G41</f>
        <v>15.1</v>
      </c>
      <c r="AC41" t="s">
        <v>154</v>
      </c>
    </row>
    <row r="42" spans="1:29" ht="8.25" customHeight="1">
      <c r="A42" s="191"/>
      <c r="B42" s="182"/>
      <c r="D42" s="182"/>
      <c r="E42" s="196"/>
      <c r="F42" s="182"/>
      <c r="G42" s="197"/>
      <c r="H42" s="182"/>
      <c r="I42" s="196"/>
      <c r="J42" s="182"/>
      <c r="K42" s="198"/>
      <c r="L42" s="182"/>
    </row>
    <row r="43" spans="1:29" ht="13.5" thickBot="1">
      <c r="A43" s="206" t="s">
        <v>49</v>
      </c>
      <c r="B43" s="200"/>
      <c r="D43" s="182"/>
      <c r="E43" s="207">
        <f>SUM(E37:E41)</f>
        <v>1513</v>
      </c>
      <c r="F43" s="202"/>
      <c r="G43" s="208">
        <f ca="1">SUM(G37:G41)</f>
        <v>1730.7097133333327</v>
      </c>
      <c r="H43" s="209"/>
      <c r="I43" s="210">
        <f ca="1">SUM(I37:I41)</f>
        <v>111.91455666666729</v>
      </c>
      <c r="J43" s="211"/>
      <c r="K43" s="212">
        <f ca="1">SUM(K37:K41)</f>
        <v>1842.6242699999998</v>
      </c>
      <c r="L43" s="182"/>
    </row>
    <row r="44" spans="1:29" ht="13.5" thickBot="1"/>
    <row r="45" spans="1:29" ht="13.5" thickBot="1">
      <c r="A45" s="482" t="s">
        <v>205</v>
      </c>
      <c r="B45" s="483"/>
      <c r="C45" s="483"/>
      <c r="D45" s="483"/>
      <c r="E45" s="483"/>
      <c r="F45" s="483"/>
      <c r="G45" s="483"/>
      <c r="H45" s="483"/>
      <c r="I45" s="483"/>
      <c r="J45" s="483"/>
      <c r="K45" s="483"/>
      <c r="L45" s="219"/>
      <c r="M45" s="219"/>
      <c r="N45" s="219"/>
      <c r="O45" s="219"/>
      <c r="P45" s="163"/>
      <c r="Q45" s="164"/>
    </row>
    <row r="46" spans="1:29">
      <c r="A46" s="95"/>
      <c r="B46"/>
      <c r="C46" s="33"/>
      <c r="D46" s="33"/>
      <c r="E46" s="33"/>
      <c r="F46" s="33"/>
      <c r="G46" s="33"/>
      <c r="H46" s="33"/>
      <c r="I46" s="33"/>
      <c r="J46" s="33"/>
      <c r="K46" s="33"/>
      <c r="L46" s="33"/>
      <c r="M46"/>
      <c r="N46"/>
      <c r="O46"/>
    </row>
    <row r="47" spans="1:29">
      <c r="A47" s="152" t="s">
        <v>204</v>
      </c>
      <c r="B47"/>
      <c r="C47" s="154" t="s">
        <v>206</v>
      </c>
      <c r="D47" s="33"/>
      <c r="E47" s="153" t="s">
        <v>268</v>
      </c>
      <c r="F47" s="33"/>
      <c r="G47" s="33"/>
      <c r="H47" s="33"/>
      <c r="I47" s="33"/>
      <c r="J47" s="33"/>
      <c r="K47" s="33"/>
      <c r="L47" s="33"/>
      <c r="M47"/>
      <c r="N47"/>
      <c r="O47"/>
    </row>
    <row r="48" spans="1:29">
      <c r="A48" s="95"/>
      <c r="B48"/>
      <c r="C48" s="33"/>
      <c r="D48" s="33"/>
      <c r="E48" s="33"/>
      <c r="F48" s="33"/>
      <c r="G48" s="33"/>
      <c r="H48" s="33"/>
      <c r="I48" s="33"/>
      <c r="J48" s="33"/>
      <c r="K48" s="33"/>
      <c r="L48" s="33"/>
      <c r="M48"/>
      <c r="N48"/>
      <c r="O48"/>
    </row>
    <row r="49" spans="1:15">
      <c r="A49" s="152" t="s">
        <v>204</v>
      </c>
      <c r="B49"/>
      <c r="C49" s="147">
        <v>36363</v>
      </c>
      <c r="D49" s="33"/>
      <c r="E49" s="33" t="s">
        <v>285</v>
      </c>
      <c r="F49" s="33"/>
      <c r="G49"/>
      <c r="H49" s="33"/>
      <c r="I49" s="33"/>
      <c r="J49" s="33"/>
      <c r="K49" s="33"/>
      <c r="L49"/>
      <c r="M49"/>
      <c r="N49"/>
      <c r="O49"/>
    </row>
    <row r="50" spans="1:15" ht="13.5" thickBot="1">
      <c r="A50"/>
      <c r="B50"/>
      <c r="C50"/>
      <c r="D50"/>
      <c r="E50"/>
      <c r="F50"/>
      <c r="G50"/>
      <c r="H50"/>
      <c r="I50"/>
      <c r="J50"/>
      <c r="K50"/>
      <c r="L50"/>
      <c r="M50"/>
      <c r="N50"/>
      <c r="O50"/>
    </row>
    <row r="51" spans="1:15" s="231" customFormat="1" hidden="1">
      <c r="O51" s="230"/>
    </row>
    <row r="52" spans="1:15" hidden="1"/>
    <row r="53" spans="1:15" ht="13.5" hidden="1" thickBot="1"/>
    <row r="54" spans="1:15" ht="13.5" thickBot="1">
      <c r="A54" s="482" t="s">
        <v>142</v>
      </c>
      <c r="B54" s="483"/>
      <c r="C54" s="483"/>
      <c r="D54" s="483"/>
      <c r="E54" s="483"/>
      <c r="F54" s="483"/>
      <c r="G54" s="483"/>
      <c r="H54" s="483"/>
      <c r="I54" s="483"/>
      <c r="J54" s="483"/>
      <c r="K54" s="483"/>
      <c r="L54" s="163"/>
      <c r="M54" s="163"/>
      <c r="N54" s="163"/>
      <c r="O54" s="164"/>
    </row>
    <row r="56" spans="1:15">
      <c r="J56" s="217"/>
    </row>
    <row r="57" spans="1:15">
      <c r="A57" s="225" t="s">
        <v>254</v>
      </c>
      <c r="C57" s="226">
        <f ca="1">Wilton!BT160/1000</f>
        <v>-207.06</v>
      </c>
      <c r="E57" s="217" t="s">
        <v>279</v>
      </c>
      <c r="F57" s="217"/>
      <c r="G57" s="217"/>
      <c r="H57" s="217"/>
      <c r="I57" s="217"/>
      <c r="J57" s="217"/>
    </row>
    <row r="58" spans="1:15">
      <c r="A58" s="182"/>
      <c r="C58" s="226">
        <f ca="1">Wilton!BT88/1000-C73</f>
        <v>-10133.993999999999</v>
      </c>
      <c r="E58" s="175" t="s">
        <v>415</v>
      </c>
    </row>
    <row r="59" spans="1:15">
      <c r="A59" s="182"/>
      <c r="C59" s="226">
        <f ca="1">Wilton!BT12/1000</f>
        <v>-2024.0004399999975</v>
      </c>
      <c r="E59" s="175" t="s">
        <v>322</v>
      </c>
    </row>
    <row r="60" spans="1:15">
      <c r="A60" s="182"/>
      <c r="C60" s="226">
        <f ca="1">Wilton!BT15/1000</f>
        <v>-464.69799999999998</v>
      </c>
      <c r="E60" s="175" t="s">
        <v>325</v>
      </c>
    </row>
    <row r="61" spans="1:15">
      <c r="A61" s="182"/>
      <c r="C61" s="226">
        <f ca="1">Wilton!BT142/1000</f>
        <v>-7400</v>
      </c>
      <c r="E61" s="175" t="s">
        <v>323</v>
      </c>
    </row>
    <row r="62" spans="1:15">
      <c r="A62" s="182"/>
      <c r="C62" s="226">
        <f ca="1">(Wilton!BT131+Wilton!BT98+Wilton!BT107)/1000</f>
        <v>-198.09028000000026</v>
      </c>
      <c r="E62" s="175" t="s">
        <v>443</v>
      </c>
    </row>
    <row r="63" spans="1:15">
      <c r="A63" s="182"/>
      <c r="C63" s="226">
        <f ca="1">Wilton!BT140/1000</f>
        <v>-200</v>
      </c>
      <c r="E63" s="175" t="s">
        <v>513</v>
      </c>
    </row>
    <row r="64" spans="1:15">
      <c r="A64" s="182"/>
      <c r="C64" s="226">
        <f ca="1">Wilton!BT170/1000</f>
        <v>157.67806076242215</v>
      </c>
      <c r="E64" s="175" t="s">
        <v>512</v>
      </c>
    </row>
    <row r="65" spans="1:12">
      <c r="A65" s="182"/>
      <c r="C65" s="226">
        <f ca="1">(Wilton!BT161-Wilton!BT160-Wilton!BT159)/1000</f>
        <v>-514.44168000000002</v>
      </c>
      <c r="E65" s="175" t="s">
        <v>527</v>
      </c>
    </row>
    <row r="66" spans="1:12">
      <c r="A66" s="182"/>
      <c r="C66" s="226">
        <f ca="1">-Wilton!BR159/1000</f>
        <v>-191.01289000000003</v>
      </c>
      <c r="E66" s="175" t="s">
        <v>440</v>
      </c>
    </row>
    <row r="67" spans="1:12">
      <c r="A67" s="182"/>
      <c r="C67" s="226">
        <f ca="1">Wilton!BT168/1000</f>
        <v>-301.67212999999998</v>
      </c>
      <c r="E67" s="175" t="s">
        <v>449</v>
      </c>
    </row>
    <row r="68" spans="1:12">
      <c r="A68" s="182"/>
      <c r="C68" s="313">
        <v>4408.0720000000001</v>
      </c>
      <c r="E68" s="182" t="s">
        <v>324</v>
      </c>
      <c r="F68" s="182"/>
      <c r="G68" s="182"/>
      <c r="H68" s="182"/>
      <c r="I68" s="182"/>
    </row>
    <row r="69" spans="1:12">
      <c r="A69" s="182"/>
      <c r="C69" s="313">
        <f ca="1">Wilton!BT150/1000</f>
        <v>-121.24850000000001</v>
      </c>
      <c r="E69" s="182" t="s">
        <v>437</v>
      </c>
      <c r="F69" s="182"/>
      <c r="G69" s="182"/>
      <c r="H69" s="182"/>
      <c r="I69" s="182"/>
    </row>
    <row r="70" spans="1:12">
      <c r="A70" s="182"/>
      <c r="C70" s="245">
        <f ca="1">Wilton!BT120/1000</f>
        <v>-387.39181000000008</v>
      </c>
      <c r="D70" s="246"/>
      <c r="E70" s="246" t="s">
        <v>442</v>
      </c>
      <c r="F70" s="246"/>
      <c r="G70" s="246"/>
      <c r="H70" s="246"/>
      <c r="I70" s="246"/>
      <c r="J70" s="246"/>
      <c r="K70" s="246"/>
    </row>
    <row r="71" spans="1:12">
      <c r="A71" s="182"/>
      <c r="C71" s="479">
        <f ca="1">SUM(C57:C70)</f>
        <v>-17577.85966923758</v>
      </c>
      <c r="D71" s="480"/>
      <c r="E71" s="481" t="s">
        <v>417</v>
      </c>
      <c r="F71" s="480"/>
      <c r="G71" s="480"/>
      <c r="H71" s="480"/>
      <c r="I71" s="480"/>
      <c r="J71" s="480"/>
      <c r="K71" s="480"/>
      <c r="L71" s="182"/>
    </row>
    <row r="72" spans="1:12">
      <c r="A72" s="182"/>
      <c r="C72" s="452"/>
      <c r="D72" s="182"/>
      <c r="E72" s="424"/>
      <c r="F72" s="182"/>
      <c r="G72" s="182"/>
      <c r="H72" s="182"/>
      <c r="I72" s="182"/>
      <c r="J72" s="182"/>
      <c r="K72" s="182"/>
      <c r="L72" s="182"/>
    </row>
    <row r="73" spans="1:12">
      <c r="A73" s="182"/>
      <c r="C73" s="226">
        <v>-14000</v>
      </c>
      <c r="E73" s="175" t="s">
        <v>564</v>
      </c>
      <c r="L73" s="182"/>
    </row>
    <row r="74" spans="1:12" ht="13.5" thickBot="1">
      <c r="A74" s="182"/>
      <c r="C74" s="319">
        <f ca="1">SUM(C71:C73)</f>
        <v>-31577.85966923758</v>
      </c>
      <c r="D74" s="314"/>
      <c r="E74" s="315" t="s">
        <v>417</v>
      </c>
      <c r="F74" s="314"/>
      <c r="G74" s="316"/>
      <c r="H74" s="317"/>
      <c r="I74" s="318"/>
      <c r="J74" s="314"/>
      <c r="K74" s="314"/>
      <c r="L74" s="182"/>
    </row>
    <row r="75" spans="1:12" ht="13.5" thickTop="1">
      <c r="A75" s="182"/>
      <c r="C75" s="453"/>
    </row>
    <row r="76" spans="1:12">
      <c r="A76" s="182"/>
      <c r="C76" s="226"/>
    </row>
    <row r="77" spans="1:12">
      <c r="A77" s="225" t="s">
        <v>294</v>
      </c>
      <c r="C77" s="226">
        <f ca="1">Gleason!BV202/1000</f>
        <v>-32.203279999999999</v>
      </c>
      <c r="E77" s="217" t="s">
        <v>279</v>
      </c>
      <c r="F77" s="217"/>
      <c r="G77" s="217"/>
      <c r="H77" s="217"/>
      <c r="I77" s="217"/>
    </row>
    <row r="78" spans="1:12">
      <c r="A78" s="225"/>
      <c r="C78" s="313">
        <f ca="1">Gleason!BV97/1000</f>
        <v>-4967.5065599999989</v>
      </c>
      <c r="D78" s="182"/>
      <c r="E78" s="175" t="s">
        <v>415</v>
      </c>
      <c r="F78" s="215"/>
      <c r="G78" s="215"/>
      <c r="H78" s="215"/>
      <c r="I78" s="215"/>
      <c r="J78" s="182"/>
      <c r="K78" s="182"/>
    </row>
    <row r="79" spans="1:12">
      <c r="A79" s="225"/>
      <c r="C79" s="313">
        <f ca="1">Gleason!BV16/1000</f>
        <v>-1981.0440000000001</v>
      </c>
      <c r="E79" s="175" t="s">
        <v>322</v>
      </c>
      <c r="F79" s="215"/>
      <c r="G79" s="215"/>
      <c r="H79" s="215"/>
      <c r="I79" s="215"/>
      <c r="J79" s="182"/>
      <c r="K79" s="182"/>
    </row>
    <row r="80" spans="1:12">
      <c r="A80" s="225"/>
      <c r="C80" s="313">
        <f ca="1">Gleason!BV35/1000</f>
        <v>-521.15</v>
      </c>
      <c r="E80" s="175" t="s">
        <v>482</v>
      </c>
      <c r="F80" s="215"/>
      <c r="G80" s="215"/>
      <c r="H80" s="215"/>
      <c r="I80" s="215"/>
      <c r="J80" s="182"/>
      <c r="K80" s="182"/>
    </row>
    <row r="81" spans="1:15">
      <c r="A81" s="225"/>
      <c r="C81" s="313">
        <f ca="1">Gleason!BV182/1000</f>
        <v>-1713.8008400000001</v>
      </c>
      <c r="E81" s="175" t="s">
        <v>445</v>
      </c>
      <c r="F81" s="215"/>
      <c r="G81" s="215"/>
      <c r="H81" s="215"/>
      <c r="I81" s="215"/>
      <c r="J81" s="182"/>
      <c r="K81" s="182"/>
    </row>
    <row r="82" spans="1:15">
      <c r="A82" s="225"/>
      <c r="C82" s="313">
        <f ca="1">Gleason!BV201/1000</f>
        <v>-191.01290000000003</v>
      </c>
      <c r="E82" s="175" t="s">
        <v>440</v>
      </c>
      <c r="F82" s="215"/>
      <c r="G82" s="215"/>
      <c r="H82" s="215"/>
      <c r="I82" s="215"/>
      <c r="J82" s="182"/>
      <c r="K82" s="182"/>
    </row>
    <row r="83" spans="1:15">
      <c r="A83" s="225"/>
      <c r="C83" s="313">
        <f ca="1">Gleason!BV211/1000</f>
        <v>278.75127720051631</v>
      </c>
      <c r="E83" s="175" t="s">
        <v>512</v>
      </c>
      <c r="F83" s="215"/>
      <c r="G83" s="215"/>
      <c r="H83" s="215"/>
      <c r="I83" s="215"/>
      <c r="J83" s="182"/>
      <c r="K83" s="182"/>
    </row>
    <row r="84" spans="1:15">
      <c r="A84" s="225"/>
      <c r="C84" s="313">
        <f ca="1">Gleason!BV209/1000</f>
        <v>-252.20846000000003</v>
      </c>
      <c r="E84" s="175" t="s">
        <v>450</v>
      </c>
      <c r="F84" s="215"/>
      <c r="G84" s="215"/>
      <c r="H84" s="215"/>
      <c r="I84" s="215"/>
      <c r="J84" s="182"/>
      <c r="K84" s="182"/>
    </row>
    <row r="85" spans="1:15">
      <c r="A85" s="225"/>
      <c r="C85" s="313">
        <f ca="1">Gleason!BV149/1000</f>
        <v>-39.51</v>
      </c>
      <c r="E85" s="175" t="s">
        <v>483</v>
      </c>
      <c r="F85" s="215"/>
      <c r="G85" s="215"/>
      <c r="H85" s="215"/>
      <c r="I85" s="215"/>
      <c r="J85" s="182"/>
      <c r="K85" s="182"/>
    </row>
    <row r="86" spans="1:15">
      <c r="A86" s="225"/>
      <c r="C86" s="313">
        <f ca="1">Gleason!BV159/1000</f>
        <v>-191.82932000000005</v>
      </c>
      <c r="E86" s="175" t="s">
        <v>484</v>
      </c>
      <c r="F86" s="215"/>
      <c r="G86" s="215"/>
      <c r="H86" s="215"/>
      <c r="I86" s="215"/>
      <c r="J86" s="182"/>
      <c r="K86" s="182"/>
    </row>
    <row r="87" spans="1:15">
      <c r="A87" s="225"/>
      <c r="C87" s="313">
        <f ca="1">Gleason!BV200/1000</f>
        <v>-273.88869999999997</v>
      </c>
      <c r="E87" s="175" t="s">
        <v>527</v>
      </c>
      <c r="F87" s="215"/>
      <c r="G87" s="215"/>
      <c r="H87" s="215"/>
      <c r="I87" s="215"/>
      <c r="J87" s="182"/>
      <c r="K87" s="182"/>
    </row>
    <row r="88" spans="1:15">
      <c r="A88" s="225"/>
      <c r="C88" s="313">
        <f ca="1">Gleason!BV215/1000</f>
        <v>5423.4979999999996</v>
      </c>
      <c r="D88" s="182"/>
      <c r="E88" s="182" t="s">
        <v>324</v>
      </c>
      <c r="F88" s="215"/>
      <c r="G88" s="215"/>
      <c r="H88" s="215"/>
      <c r="I88" s="215"/>
      <c r="J88" s="182"/>
      <c r="K88" s="182"/>
    </row>
    <row r="89" spans="1:15" s="30" customFormat="1">
      <c r="A89" s="225"/>
      <c r="B89" s="182"/>
      <c r="C89" s="245">
        <f ca="1">Gleason!BV105/1000+1</f>
        <v>251</v>
      </c>
      <c r="D89" s="246"/>
      <c r="E89" s="366" t="s">
        <v>446</v>
      </c>
      <c r="F89" s="312"/>
      <c r="G89" s="312"/>
      <c r="H89" s="312"/>
      <c r="I89" s="312"/>
      <c r="J89" s="246"/>
      <c r="K89" s="246"/>
      <c r="L89" s="182"/>
      <c r="M89" s="182"/>
      <c r="N89" s="182"/>
      <c r="O89" s="182"/>
    </row>
    <row r="90" spans="1:15">
      <c r="A90" s="225"/>
      <c r="C90" s="452">
        <f ca="1">SUM(C77:C89)</f>
        <v>-4210.9047827994837</v>
      </c>
      <c r="D90" s="182"/>
      <c r="E90" s="320" t="s">
        <v>414</v>
      </c>
      <c r="F90" s="215"/>
      <c r="G90" s="215"/>
      <c r="H90" s="215"/>
      <c r="I90" s="215"/>
      <c r="J90" s="182"/>
      <c r="K90" s="182"/>
    </row>
    <row r="91" spans="1:15">
      <c r="A91" s="182"/>
      <c r="C91" s="226"/>
      <c r="E91" s="217"/>
      <c r="F91" s="217"/>
      <c r="G91" s="217"/>
      <c r="H91" s="217"/>
      <c r="I91" s="217"/>
    </row>
    <row r="92" spans="1:15">
      <c r="A92" s="182"/>
      <c r="C92" s="226">
        <f ca="1">Gleason!BT93/1000</f>
        <v>-3387.761</v>
      </c>
      <c r="E92" s="175" t="s">
        <v>528</v>
      </c>
    </row>
    <row r="93" spans="1:15" ht="13.5" thickBot="1">
      <c r="A93" s="182"/>
      <c r="C93" s="319">
        <f ca="1">SUM(C90:C92)</f>
        <v>-7598.6657827994841</v>
      </c>
      <c r="D93" s="314"/>
      <c r="E93" s="315" t="s">
        <v>417</v>
      </c>
      <c r="F93" s="314"/>
      <c r="G93" s="316"/>
      <c r="H93" s="317"/>
      <c r="I93" s="318"/>
      <c r="J93" s="314"/>
      <c r="K93" s="314"/>
    </row>
    <row r="94" spans="1:15" ht="13.5" thickTop="1">
      <c r="A94" s="182"/>
      <c r="C94" s="226"/>
      <c r="E94" s="217"/>
      <c r="F94" s="217"/>
      <c r="G94" s="217"/>
      <c r="H94" s="217"/>
      <c r="I94" s="217"/>
    </row>
    <row r="95" spans="1:15">
      <c r="A95" s="225" t="s">
        <v>194</v>
      </c>
      <c r="C95" s="226">
        <f ca="1">Wheatland!BT159/1000</f>
        <v>-168.35607999999999</v>
      </c>
      <c r="E95" s="217" t="s">
        <v>279</v>
      </c>
    </row>
    <row r="96" spans="1:15">
      <c r="C96" s="226">
        <f ca="1">Wheatland!BT91/1000</f>
        <v>-2735.05</v>
      </c>
      <c r="E96" s="175" t="s">
        <v>416</v>
      </c>
    </row>
    <row r="97" spans="1:15">
      <c r="A97" s="229"/>
      <c r="B97" s="230"/>
      <c r="C97" s="226">
        <f ca="1">Wheatland!BT12/1000</f>
        <v>-297.80099999999999</v>
      </c>
      <c r="D97" s="230"/>
      <c r="E97" s="175" t="s">
        <v>322</v>
      </c>
      <c r="F97" s="230"/>
      <c r="G97" s="230"/>
      <c r="H97" s="230"/>
      <c r="I97" s="230"/>
      <c r="J97" s="230"/>
      <c r="K97" s="230"/>
      <c r="L97" s="230"/>
      <c r="M97" s="230"/>
      <c r="N97" s="230"/>
    </row>
    <row r="98" spans="1:15">
      <c r="C98" s="226">
        <f ca="1">Wheatland!BT32/1000</f>
        <v>-293.98</v>
      </c>
      <c r="E98" s="175" t="s">
        <v>325</v>
      </c>
    </row>
    <row r="99" spans="1:15">
      <c r="C99" s="226">
        <f ca="1">Wheatland!BT130/1000</f>
        <v>-1137.10257</v>
      </c>
      <c r="E99" s="175" t="s">
        <v>403</v>
      </c>
    </row>
    <row r="100" spans="1:15">
      <c r="C100" s="226">
        <f ca="1">Wheatland!BT157/1000</f>
        <v>-70.750029999999967</v>
      </c>
      <c r="E100" s="175" t="s">
        <v>527</v>
      </c>
    </row>
    <row r="101" spans="1:15">
      <c r="C101" s="226">
        <f ca="1">Wheatland!BT158/1000</f>
        <v>-195.04080999999999</v>
      </c>
      <c r="E101" s="175" t="s">
        <v>451</v>
      </c>
    </row>
    <row r="102" spans="1:15">
      <c r="C102" s="226">
        <f ca="1">Wheatland!BT167/1000</f>
        <v>-301.67212999999998</v>
      </c>
      <c r="E102" s="175" t="s">
        <v>450</v>
      </c>
    </row>
    <row r="103" spans="1:15">
      <c r="C103" s="226">
        <f ca="1">Wheatland!BT169/1000</f>
        <v>346.92914350331949</v>
      </c>
      <c r="E103" s="175" t="s">
        <v>488</v>
      </c>
    </row>
    <row r="104" spans="1:15">
      <c r="A104" s="229"/>
      <c r="B104" s="230"/>
      <c r="C104" s="245">
        <v>3324.1521000000002</v>
      </c>
      <c r="D104" s="425"/>
      <c r="E104" s="246" t="s">
        <v>324</v>
      </c>
      <c r="F104" s="425"/>
      <c r="G104" s="425"/>
      <c r="H104" s="425"/>
      <c r="I104" s="425"/>
      <c r="J104" s="424"/>
      <c r="K104" s="424"/>
      <c r="L104" s="230"/>
      <c r="M104" s="230"/>
    </row>
    <row r="105" spans="1:15" ht="14.25" customHeight="1">
      <c r="C105" s="454">
        <f ca="1">SUM(C95:C104)</f>
        <v>-1528.6713764966817</v>
      </c>
      <c r="D105" s="182"/>
      <c r="E105" s="424" t="s">
        <v>417</v>
      </c>
      <c r="F105" s="182"/>
      <c r="G105" s="182"/>
      <c r="H105" s="182"/>
      <c r="I105" s="182"/>
      <c r="J105" s="182"/>
      <c r="K105" s="182"/>
    </row>
    <row r="107" spans="1:15">
      <c r="C107" s="226">
        <f ca="1">Wheatland!BR87/1000</f>
        <v>-3953.393</v>
      </c>
      <c r="E107" s="175" t="s">
        <v>528</v>
      </c>
    </row>
    <row r="108" spans="1:15" ht="13.5" thickBot="1">
      <c r="A108"/>
      <c r="B108"/>
      <c r="C108" s="319">
        <f ca="1">C105+C107</f>
        <v>-5482.0643764966817</v>
      </c>
      <c r="D108" s="314"/>
      <c r="E108" s="315" t="s">
        <v>417</v>
      </c>
      <c r="F108" s="314"/>
      <c r="G108" s="316"/>
      <c r="H108" s="317"/>
      <c r="I108" s="318"/>
      <c r="J108" s="314"/>
      <c r="K108" s="314"/>
      <c r="L108"/>
      <c r="M108"/>
      <c r="N108"/>
      <c r="O108"/>
    </row>
    <row r="109" spans="1:15" ht="13.5" thickTop="1">
      <c r="A109"/>
      <c r="B109"/>
      <c r="C109"/>
      <c r="D109"/>
      <c r="E109"/>
      <c r="F109"/>
      <c r="G109"/>
      <c r="H109"/>
      <c r="I109"/>
      <c r="J109"/>
      <c r="K109"/>
      <c r="L109"/>
      <c r="M109"/>
      <c r="N109"/>
      <c r="O109"/>
    </row>
    <row r="110" spans="1:15">
      <c r="B110" s="26"/>
      <c r="C110" s="177"/>
    </row>
    <row r="111" spans="1:15">
      <c r="A111" s="218" t="str">
        <f ca="1">CELL("FILENAME")</f>
        <v>O:\Fin_Ops\Engysvc\PowerPlants\2000 Plants\Weekly Report\[2000 Weekly Report - 050300.xls]Wilton</v>
      </c>
      <c r="B111" s="177"/>
      <c r="C111" s="177"/>
    </row>
  </sheetData>
  <mergeCells count="2">
    <mergeCell ref="A54:K54"/>
    <mergeCell ref="A45:K45"/>
  </mergeCells>
  <printOptions horizontalCentered="1"/>
  <pageMargins left="0.25" right="0.25" top="0.5" bottom="0.34" header="0.5" footer="0.5"/>
  <pageSetup scale="46" orientation="landscape"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R251"/>
  <sheetViews>
    <sheetView zoomScale="80" zoomScaleNormal="66" workbookViewId="0">
      <pane xSplit="19" ySplit="8" topLeftCell="BP77" activePane="bottomRight" state="frozen"/>
      <selection activeCell="K27" sqref="K27"/>
      <selection pane="topRight" activeCell="K27" sqref="K27"/>
      <selection pane="bottomLeft" activeCell="K27" sqref="K27"/>
      <selection pane="bottomRight" activeCell="BP87" sqref="BP87"/>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1406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9.140625" style="6" hidden="1" customWidth="1"/>
    <col min="35" max="35" width="1.42578125" style="6" hidden="1" customWidth="1"/>
    <col min="36" max="36" width="19.42578125" style="6" hidden="1" customWidth="1"/>
    <col min="37" max="37" width="1" hidden="1" customWidth="1"/>
    <col min="38" max="38" width="19.42578125" style="6" hidden="1" customWidth="1"/>
    <col min="39" max="39" width="0.85546875" hidden="1" customWidth="1"/>
    <col min="40" max="40" width="17.85546875" style="6" hidden="1" customWidth="1"/>
    <col min="41" max="41" width="0.85546875" style="6" hidden="1" customWidth="1"/>
    <col min="42" max="42" width="17.85546875" style="6" hidden="1" customWidth="1"/>
    <col min="43" max="43" width="0.5703125" style="6" hidden="1" customWidth="1"/>
    <col min="44" max="44" width="17.28515625" style="6" hidden="1" customWidth="1"/>
    <col min="45" max="45" width="2" style="6" hidden="1" customWidth="1"/>
    <col min="46" max="46" width="0.14062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28515625"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2.5703125" style="6" bestFit="1" customWidth="1"/>
    <col min="69" max="69" width="1.7109375" style="6" customWidth="1"/>
    <col min="70" max="70" width="20.85546875" style="6" customWidth="1"/>
    <col min="71" max="71" width="1.7109375" style="6" customWidth="1"/>
    <col min="72" max="72" width="22.28515625" style="6" customWidth="1"/>
    <col min="73" max="73" width="0.85546875" style="4" customWidth="1"/>
    <col min="74" max="74" width="75.85546875" style="4" customWidth="1"/>
    <col min="75" max="16384" width="9.140625" style="4"/>
  </cols>
  <sheetData>
    <row r="1" spans="1:74" s="18" customFormat="1" ht="15.75">
      <c r="A1" s="66" t="str">
        <f ca="1">+Summary!A1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c r="AJ1" s="68"/>
      <c r="AK1"/>
      <c r="AL1" s="68"/>
      <c r="AM1"/>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 ca="1">+Summary!A2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c r="AJ2" s="68"/>
      <c r="AK2"/>
      <c r="AL2" s="68"/>
      <c r="AM2"/>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- 050300.xls]Wilton</v>
      </c>
    </row>
    <row r="3" spans="1:74" s="18" customFormat="1" ht="15.75">
      <c r="A3" s="99" t="s">
        <v>254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c r="AJ3" s="68"/>
      <c r="AK3"/>
      <c r="AL3" s="68"/>
      <c r="AM3"/>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36651.54237210648</v>
      </c>
      <c r="BR3" s="23"/>
      <c r="BT3" s="78" t="str">
        <f ca="1">Summary!A5</f>
        <v>Revision # 56</v>
      </c>
      <c r="BV3" s="18" t="str">
        <f ca="1">Summary!A5</f>
        <v>Revision # 56</v>
      </c>
    </row>
    <row r="4" spans="1:74" s="18" customFormat="1" ht="15.75">
      <c r="A4" s="94"/>
      <c r="B4" s="19">
        <f ca="1">Summary!C11</f>
        <v>608</v>
      </c>
      <c r="C4"/>
      <c r="G4" s="67"/>
      <c r="J4" s="67"/>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c r="AJ4" s="82" t="s">
        <v>122</v>
      </c>
      <c r="AK4"/>
      <c r="AL4" s="82" t="s">
        <v>122</v>
      </c>
      <c r="AM4"/>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c r="AJ5" s="82" t="s">
        <v>123</v>
      </c>
      <c r="AK5"/>
      <c r="AL5" s="82" t="s">
        <v>123</v>
      </c>
      <c r="AM5"/>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t="s">
        <v>320</v>
      </c>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c r="AJ6" s="83">
        <v>36403</v>
      </c>
      <c r="AK6"/>
      <c r="AL6" s="83">
        <v>36433</v>
      </c>
      <c r="AM6"/>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 ca="1">+Summary!#REF!</f>
        <v>#REF!</v>
      </c>
      <c r="O7" s="129"/>
      <c r="P7" s="69"/>
      <c r="R7" s="82" t="str">
        <f ca="1">+Summary!E9</f>
        <v>as of 7/22/99</v>
      </c>
      <c r="T7" s="82" t="str">
        <f ca="1">+Summary!$O$4</f>
        <v xml:space="preserve"> As of 4/28/00</v>
      </c>
      <c r="U7" s="96"/>
      <c r="V7" s="82" t="str">
        <f ca="1">+Summary!$O$4</f>
        <v xml:space="preserve"> As of 4/28/00</v>
      </c>
      <c r="W7" s="69"/>
      <c r="X7" s="82" t="str">
        <f ca="1">+Summary!$O$4</f>
        <v xml:space="preserve"> As of 4/28/00</v>
      </c>
      <c r="Y7" s="69"/>
      <c r="Z7" s="82" t="str">
        <f ca="1">+Summary!$O$4</f>
        <v xml:space="preserve"> As of 4/28/00</v>
      </c>
      <c r="AA7" s="69"/>
      <c r="AB7" s="82" t="str">
        <f ca="1">+Summary!$O$4</f>
        <v xml:space="preserve"> As of 4/28/00</v>
      </c>
      <c r="AC7" s="69"/>
      <c r="AD7" s="82" t="str">
        <f ca="1">+Summary!$O$4</f>
        <v xml:space="preserve"> As of 4/28/00</v>
      </c>
      <c r="AE7" s="69"/>
      <c r="AF7" s="82" t="str">
        <f ca="1">+Summary!$O$4</f>
        <v xml:space="preserve"> As of 4/28/00</v>
      </c>
      <c r="AG7" s="69"/>
      <c r="AH7" s="82" t="str">
        <f ca="1">+Summary!$O$4</f>
        <v xml:space="preserve"> As of 4/28/00</v>
      </c>
      <c r="AI7"/>
      <c r="AJ7" s="82" t="str">
        <f ca="1">+Summary!$O$4</f>
        <v xml:space="preserve"> As of 4/28/00</v>
      </c>
      <c r="AK7"/>
      <c r="AL7" s="82" t="str">
        <f ca="1">+Summary!$O$4</f>
        <v xml:space="preserve"> As of 4/28/00</v>
      </c>
      <c r="AM7"/>
      <c r="AN7" s="82" t="str">
        <f ca="1">+Summary!$O$4</f>
        <v xml:space="preserve"> As of 4/28/00</v>
      </c>
      <c r="AO7" s="69"/>
      <c r="AP7" s="82" t="str">
        <f ca="1">+Summary!$O$4</f>
        <v xml:space="preserve"> As of 4/28/00</v>
      </c>
      <c r="AQ7" s="69"/>
      <c r="AR7" s="82" t="str">
        <f ca="1">+Summary!$O$4</f>
        <v xml:space="preserve"> As of 4/28/00</v>
      </c>
      <c r="AS7" s="69"/>
      <c r="AT7" s="82" t="str">
        <f ca="1">+Summary!$O$4</f>
        <v xml:space="preserve"> As of 4/28/00</v>
      </c>
      <c r="AU7" s="82"/>
      <c r="AV7" s="82" t="str">
        <f ca="1">+Summary!$O$4</f>
        <v xml:space="preserve"> As of 4/28/00</v>
      </c>
      <c r="AW7" s="82"/>
      <c r="AX7" s="82" t="str">
        <f ca="1">+Summary!$O$4</f>
        <v xml:space="preserve"> As of 4/28/00</v>
      </c>
      <c r="AY7" s="82"/>
      <c r="AZ7" s="82" t="str">
        <f ca="1">+Summary!$O$4</f>
        <v xml:space="preserve"> As of 4/28/00</v>
      </c>
      <c r="BA7" s="82"/>
      <c r="BB7" s="82" t="str">
        <f ca="1">+Summary!$O$4</f>
        <v xml:space="preserve"> As of 4/28/00</v>
      </c>
      <c r="BC7" s="82"/>
      <c r="BD7" s="82" t="str">
        <f ca="1">+Summary!$O$4</f>
        <v xml:space="preserve"> As of 4/28/00</v>
      </c>
      <c r="BE7" s="82"/>
      <c r="BF7" s="82" t="str">
        <f ca="1">+Summary!$O$4</f>
        <v xml:space="preserve"> As of 4/28/00</v>
      </c>
      <c r="BG7" s="82"/>
      <c r="BH7" s="82" t="str">
        <f ca="1">+Summary!$O$4</f>
        <v xml:space="preserve"> As of 4/28/00</v>
      </c>
      <c r="BI7" s="82"/>
      <c r="BJ7" s="82" t="str">
        <f ca="1">+Summary!$O$4</f>
        <v xml:space="preserve"> As of 4/28/00</v>
      </c>
      <c r="BL7" s="71" t="str">
        <f ca="1">+Summary!$O$4</f>
        <v xml:space="preserve"> As of 4/28/00</v>
      </c>
      <c r="BN7" s="64" t="str">
        <f ca="1">+Summary!$O$4</f>
        <v xml:space="preserve"> As of 4/28/00</v>
      </c>
      <c r="BP7" s="71"/>
      <c r="BR7" s="71"/>
      <c r="BT7" s="71"/>
    </row>
    <row r="8" spans="1:74">
      <c r="A8" s="92" t="s">
        <v>5</v>
      </c>
      <c r="B8" s="17"/>
      <c r="C8" s="55"/>
      <c r="E8" s="4"/>
      <c r="G8" s="4"/>
      <c r="I8" s="4"/>
      <c r="L8" s="140"/>
      <c r="M8" s="6"/>
      <c r="O8" s="6"/>
      <c r="Q8" s="6"/>
      <c r="S8" s="6"/>
      <c r="T8" s="22"/>
      <c r="U8" s="6"/>
      <c r="V8" s="22"/>
      <c r="X8" s="22"/>
      <c r="Z8" s="22"/>
      <c r="AB8" s="22"/>
      <c r="AD8" s="22"/>
      <c r="AF8" s="22"/>
      <c r="AH8" s="22"/>
      <c r="AI8"/>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263</v>
      </c>
      <c r="C9"/>
      <c r="D9"/>
      <c r="E9"/>
      <c r="F9"/>
      <c r="G9"/>
      <c r="H9"/>
      <c r="I9"/>
      <c r="J9" s="49" t="s">
        <v>0</v>
      </c>
      <c r="K9"/>
      <c r="L9" s="134" t="s">
        <v>202</v>
      </c>
      <c r="M9" s="6"/>
      <c r="N9" s="6">
        <v>0</v>
      </c>
      <c r="O9" s="6"/>
      <c r="P9" s="6">
        <v>0</v>
      </c>
      <c r="Q9" s="6"/>
      <c r="R9" s="6">
        <v>140040940</v>
      </c>
      <c r="S9" s="6"/>
      <c r="T9" s="6">
        <v>6800000</v>
      </c>
      <c r="U9" s="6"/>
      <c r="V9" s="6"/>
      <c r="X9" s="6">
        <v>32884800</v>
      </c>
      <c r="Z9" s="6"/>
      <c r="AB9" s="6"/>
      <c r="AD9" s="6">
        <v>18310527</v>
      </c>
      <c r="AF9" s="6">
        <v>6800000</v>
      </c>
      <c r="AH9" s="6">
        <v>5225143.4400000004</v>
      </c>
      <c r="AI9"/>
      <c r="AJ9" s="6">
        <v>6152847</v>
      </c>
      <c r="AL9" s="6">
        <v>6924847</v>
      </c>
      <c r="AN9" s="6">
        <v>6924847</v>
      </c>
      <c r="AP9" s="6">
        <v>6924847</v>
      </c>
      <c r="AR9" s="6">
        <v>24688143.629999999</v>
      </c>
      <c r="AT9" s="6">
        <v>0</v>
      </c>
      <c r="AV9" s="6">
        <v>13325691.369999999</v>
      </c>
      <c r="AX9" s="6">
        <v>7103247</v>
      </c>
      <c r="AZ9" s="6">
        <v>0</v>
      </c>
      <c r="BB9" s="6">
        <v>0</v>
      </c>
      <c r="BD9" s="6">
        <v>0</v>
      </c>
      <c r="BF9" s="6">
        <v>0</v>
      </c>
      <c r="BH9" s="6">
        <v>0</v>
      </c>
      <c r="BJ9" s="6">
        <v>0</v>
      </c>
      <c r="BK9" s="6"/>
      <c r="BL9" s="6">
        <f>SUM(T9:BK9)</f>
        <v>142064940.44</v>
      </c>
      <c r="BM9" s="6"/>
      <c r="BN9" s="6">
        <f>142064940-R9-192000</f>
        <v>1832000</v>
      </c>
      <c r="BO9" s="6"/>
      <c r="BP9" s="6">
        <f>IF(+R9-BL9+BN9&gt;0,R9-BL9+BN9,0)</f>
        <v>0</v>
      </c>
      <c r="BR9" s="6">
        <f>+BL9+BP9</f>
        <v>142064940.44</v>
      </c>
      <c r="BT9" s="6">
        <f>+R9-BR9</f>
        <v>-2024000.4399999976</v>
      </c>
      <c r="BU9" s="6"/>
    </row>
    <row r="10" spans="1:74">
      <c r="A10" s="93"/>
      <c r="B10" s="17" t="s">
        <v>121</v>
      </c>
      <c r="C10"/>
      <c r="D10"/>
      <c r="E10"/>
      <c r="F10"/>
      <c r="G10"/>
      <c r="H10"/>
      <c r="I10"/>
      <c r="J10" s="49" t="s">
        <v>0</v>
      </c>
      <c r="K10"/>
      <c r="L10" s="134" t="s">
        <v>202</v>
      </c>
      <c r="M10" s="6"/>
      <c r="N10" s="6">
        <v>93330000</v>
      </c>
      <c r="O10" s="6"/>
      <c r="P10" s="6">
        <v>0</v>
      </c>
      <c r="Q10" s="6"/>
      <c r="R10" s="6">
        <v>192000</v>
      </c>
      <c r="S10" s="6"/>
      <c r="T10" s="6"/>
      <c r="U10" s="6"/>
      <c r="V10" s="6"/>
      <c r="X10" s="6"/>
      <c r="Z10" s="6"/>
      <c r="AB10" s="6"/>
      <c r="AD10" s="6">
        <v>0</v>
      </c>
      <c r="AF10" s="6">
        <v>0</v>
      </c>
      <c r="AH10" s="6">
        <v>0</v>
      </c>
      <c r="AI10"/>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192000</v>
      </c>
      <c r="BR10" s="6">
        <f>+BL10+BP10</f>
        <v>192000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I11"/>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6">
        <f>IF(+R11-BL11+BN11&gt;0,R11-BL11+BN11,0)</f>
        <v>0</v>
      </c>
      <c r="BR11" s="12"/>
      <c r="BU11" s="6"/>
    </row>
    <row r="12" spans="1:74">
      <c r="A12" s="93"/>
      <c r="B12" s="17" t="s">
        <v>169</v>
      </c>
      <c r="C12"/>
      <c r="D12"/>
      <c r="E12"/>
      <c r="F12"/>
      <c r="G12"/>
      <c r="H12"/>
      <c r="I12"/>
      <c r="J12" s="49"/>
      <c r="K12"/>
      <c r="L12" s="134"/>
      <c r="M12" s="6"/>
      <c r="N12" s="101">
        <f>SUM(N9:N11)</f>
        <v>93330000</v>
      </c>
      <c r="O12" s="6"/>
      <c r="P12" s="101">
        <f>SUM(P9:P11)</f>
        <v>0</v>
      </c>
      <c r="Q12" s="6"/>
      <c r="R12" s="101">
        <f>SUM(R9:R11)</f>
        <v>140232940</v>
      </c>
      <c r="S12" s="6"/>
      <c r="T12" s="101">
        <f>SUM(T9:T11)</f>
        <v>6800000</v>
      </c>
      <c r="U12" s="6"/>
      <c r="V12" s="101">
        <f>SUM(V9:V11)</f>
        <v>0</v>
      </c>
      <c r="X12" s="101">
        <f>SUM(X9:X11)</f>
        <v>32884800</v>
      </c>
      <c r="Z12" s="101">
        <f>SUM(Z9:Z11)</f>
        <v>0</v>
      </c>
      <c r="AB12" s="101">
        <f>SUM(AB9:AB11)</f>
        <v>0</v>
      </c>
      <c r="AD12" s="101">
        <f>SUM(AD9:AD11)</f>
        <v>18310527</v>
      </c>
      <c r="AF12" s="101">
        <f>SUM(AF9:AF11)</f>
        <v>6800000</v>
      </c>
      <c r="AH12" s="101">
        <f>SUM(AH9:AH11)</f>
        <v>5225143.4400000004</v>
      </c>
      <c r="AI12"/>
      <c r="AJ12" s="101">
        <f>SUM(AJ9:AJ11)</f>
        <v>6152847</v>
      </c>
      <c r="AL12" s="101">
        <f>SUM(AL9:AL11)</f>
        <v>6924847</v>
      </c>
      <c r="AN12" s="101">
        <f>SUM(AN9:AN11)</f>
        <v>6924847</v>
      </c>
      <c r="AP12" s="101">
        <f>SUM(AP9:AP11)</f>
        <v>6924847</v>
      </c>
      <c r="AR12" s="101">
        <f>SUM(AR9:AR11)</f>
        <v>24688143.629999999</v>
      </c>
      <c r="AT12" s="101">
        <f>SUM(AT9:AT11)</f>
        <v>0</v>
      </c>
      <c r="AU12" s="12"/>
      <c r="AV12" s="101">
        <f>SUM(AV9:AV11)</f>
        <v>13325691.369999999</v>
      </c>
      <c r="AW12" s="12"/>
      <c r="AX12" s="101">
        <f>SUM(AX9:AX11)</f>
        <v>7103247</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142064940.44</v>
      </c>
      <c r="BM12" s="6"/>
      <c r="BN12" s="101">
        <f>SUM(BN9:BN11)</f>
        <v>1832000</v>
      </c>
      <c r="BO12" s="6"/>
      <c r="BP12" s="101">
        <f>SUM(BP9:BP11)</f>
        <v>192000</v>
      </c>
      <c r="BR12" s="101">
        <f>SUM(BR9:BR11)</f>
        <v>142256940.44</v>
      </c>
      <c r="BT12" s="101">
        <f>SUM(BT9:BT11)</f>
        <v>-2024000.4399999976</v>
      </c>
      <c r="BU12" s="6"/>
    </row>
    <row r="13" spans="1:74">
      <c r="A13" s="93"/>
      <c r="B13" s="17"/>
      <c r="C13"/>
      <c r="D13"/>
      <c r="E13"/>
      <c r="F13"/>
      <c r="G13"/>
      <c r="H13"/>
      <c r="I13"/>
      <c r="J13" s="49"/>
      <c r="K13"/>
      <c r="L13" s="134"/>
      <c r="M13" s="6"/>
      <c r="O13" s="6"/>
      <c r="Q13" s="6"/>
      <c r="S13" s="6"/>
      <c r="T13" s="6"/>
      <c r="U13" s="6"/>
      <c r="V13" s="6"/>
      <c r="X13" s="6"/>
      <c r="Z13" s="6"/>
      <c r="AB13" s="6"/>
      <c r="AD13" s="6"/>
      <c r="AI13"/>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I14"/>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0" si="0">+BL14+BP14</f>
        <v>0</v>
      </c>
      <c r="BT14" s="6">
        <f>+R14-BR14</f>
        <v>0</v>
      </c>
      <c r="BU14" s="6"/>
    </row>
    <row r="15" spans="1:74">
      <c r="A15" s="57"/>
      <c r="B15" s="17" t="s">
        <v>221</v>
      </c>
      <c r="C15"/>
      <c r="D15"/>
      <c r="E15"/>
      <c r="F15"/>
      <c r="G15"/>
      <c r="H15"/>
      <c r="I15"/>
      <c r="J15" s="49" t="s">
        <v>0</v>
      </c>
      <c r="K15"/>
      <c r="L15" s="134" t="s">
        <v>202</v>
      </c>
      <c r="M15" s="6"/>
      <c r="N15" s="6">
        <v>0</v>
      </c>
      <c r="O15" s="6"/>
      <c r="P15" s="6">
        <v>0</v>
      </c>
      <c r="Q15" s="6"/>
      <c r="R15" s="6">
        <v>5878600</v>
      </c>
      <c r="S15" s="6"/>
      <c r="T15" s="6">
        <v>0</v>
      </c>
      <c r="U15" s="6"/>
      <c r="V15" s="6">
        <v>1250000</v>
      </c>
      <c r="X15" s="6">
        <v>0</v>
      </c>
      <c r="Z15" s="6">
        <v>0</v>
      </c>
      <c r="AB15" s="6">
        <v>0</v>
      </c>
      <c r="AD15" s="6">
        <v>0</v>
      </c>
      <c r="AF15" s="6">
        <v>0</v>
      </c>
      <c r="AH15" s="6">
        <f>-740943.25+666672.85</f>
        <v>-74270.400000000023</v>
      </c>
      <c r="AI15"/>
      <c r="AJ15" s="6">
        <v>7480</v>
      </c>
      <c r="AL15" s="6">
        <v>0</v>
      </c>
      <c r="AN15" s="6">
        <v>1774814.4</v>
      </c>
      <c r="AP15" s="6">
        <v>0</v>
      </c>
      <c r="AR15" s="6">
        <v>1774814.4</v>
      </c>
      <c r="AT15" s="6">
        <v>591604.80000000005</v>
      </c>
      <c r="AX15" s="6">
        <v>0</v>
      </c>
      <c r="AZ15" s="6">
        <v>427250</v>
      </c>
      <c r="BB15" s="6">
        <v>0</v>
      </c>
      <c r="BD15" s="6">
        <v>0</v>
      </c>
      <c r="BF15" s="6">
        <v>0</v>
      </c>
      <c r="BH15" s="6">
        <v>0</v>
      </c>
      <c r="BJ15" s="6">
        <v>0</v>
      </c>
      <c r="BK15" s="6"/>
      <c r="BL15" s="6">
        <f>SUM(T15:BK15)</f>
        <v>5751693.2000000002</v>
      </c>
      <c r="BM15" s="6"/>
      <c r="BN15" s="6">
        <f>5916048-5878600+220650+206600</f>
        <v>464698</v>
      </c>
      <c r="BO15" s="6"/>
      <c r="BP15" s="6">
        <f t="shared" ref="BP15:BP30" si="1">IF(+R15-BL15+BN15&gt;0,R15-BL15+BN15,0)</f>
        <v>591604.79999999981</v>
      </c>
      <c r="BR15" s="6">
        <f t="shared" si="0"/>
        <v>6343298</v>
      </c>
      <c r="BT15" s="6">
        <f>+R15-BR15</f>
        <v>-464698</v>
      </c>
      <c r="BU15" s="6"/>
    </row>
    <row r="16" spans="1:74">
      <c r="A16" s="57"/>
      <c r="B16" s="17" t="s">
        <v>224</v>
      </c>
      <c r="C16"/>
      <c r="D16"/>
      <c r="E16"/>
      <c r="F16"/>
      <c r="G16"/>
      <c r="H16"/>
      <c r="I16"/>
      <c r="J16" s="49" t="s">
        <v>0</v>
      </c>
      <c r="K16"/>
      <c r="L16" s="134" t="s">
        <v>202</v>
      </c>
      <c r="M16" s="6"/>
      <c r="O16" s="6"/>
      <c r="Q16" s="6"/>
      <c r="S16" s="6"/>
      <c r="T16" s="6"/>
      <c r="U16" s="6"/>
      <c r="V16" s="6"/>
      <c r="X16" s="6"/>
      <c r="Z16" s="6"/>
      <c r="AB16" s="6"/>
      <c r="AD16" s="6"/>
      <c r="AI16"/>
      <c r="BJ16" s="6"/>
      <c r="BK16" s="6"/>
      <c r="BM16" s="6"/>
      <c r="BN16" s="6"/>
      <c r="BO16" s="6"/>
      <c r="BP16" s="6">
        <f t="shared" si="1"/>
        <v>0</v>
      </c>
      <c r="BR16" s="6">
        <f t="shared" si="0"/>
        <v>0</v>
      </c>
      <c r="BT16" s="6">
        <f t="shared" ref="BT16:BT29" si="2">+R16-BR16</f>
        <v>0</v>
      </c>
      <c r="BU16" s="6"/>
    </row>
    <row r="17" spans="1:73">
      <c r="A17" s="57"/>
      <c r="B17" s="17" t="s">
        <v>225</v>
      </c>
      <c r="C17"/>
      <c r="D17"/>
      <c r="E17"/>
      <c r="F17"/>
      <c r="G17"/>
      <c r="H17"/>
      <c r="I17"/>
      <c r="J17" s="49" t="s">
        <v>0</v>
      </c>
      <c r="K17"/>
      <c r="L17" s="134" t="s">
        <v>202</v>
      </c>
      <c r="M17" s="6"/>
      <c r="O17" s="6"/>
      <c r="Q17" s="6"/>
      <c r="S17" s="6"/>
      <c r="T17" s="6"/>
      <c r="U17" s="6"/>
      <c r="V17" s="6"/>
      <c r="X17" s="6"/>
      <c r="Z17" s="6"/>
      <c r="AB17" s="6"/>
      <c r="AD17" s="6"/>
      <c r="AI17"/>
      <c r="BJ17" s="6"/>
      <c r="BK17" s="6"/>
      <c r="BM17" s="6"/>
      <c r="BN17" s="6"/>
      <c r="BO17" s="6"/>
      <c r="BP17" s="6">
        <f t="shared" si="1"/>
        <v>0</v>
      </c>
      <c r="BR17" s="6">
        <f t="shared" si="0"/>
        <v>0</v>
      </c>
      <c r="BT17" s="6">
        <f t="shared" si="2"/>
        <v>0</v>
      </c>
      <c r="BU17" s="6"/>
    </row>
    <row r="18" spans="1:73">
      <c r="A18" s="57"/>
      <c r="B18" s="17" t="s">
        <v>222</v>
      </c>
      <c r="C18"/>
      <c r="D18"/>
      <c r="E18"/>
      <c r="F18"/>
      <c r="G18"/>
      <c r="H18"/>
      <c r="I18"/>
      <c r="J18" s="49" t="s">
        <v>0</v>
      </c>
      <c r="K18"/>
      <c r="L18" s="134" t="s">
        <v>202</v>
      </c>
      <c r="M18" s="6"/>
      <c r="O18" s="6"/>
      <c r="Q18" s="6"/>
      <c r="S18" s="6"/>
      <c r="T18" s="6"/>
      <c r="U18" s="6"/>
      <c r="V18" s="6"/>
      <c r="X18" s="6"/>
      <c r="Z18" s="6"/>
      <c r="AB18" s="6"/>
      <c r="AD18" s="6"/>
      <c r="AI18"/>
      <c r="BJ18" s="6"/>
      <c r="BK18" s="6"/>
      <c r="BM18" s="6"/>
      <c r="BN18" s="6"/>
      <c r="BO18" s="6"/>
      <c r="BP18" s="6">
        <f t="shared" si="1"/>
        <v>0</v>
      </c>
      <c r="BR18" s="6">
        <f t="shared" si="0"/>
        <v>0</v>
      </c>
      <c r="BT18" s="6">
        <f t="shared" si="2"/>
        <v>0</v>
      </c>
      <c r="BU18" s="6"/>
    </row>
    <row r="19" spans="1:73">
      <c r="A19" s="57"/>
      <c r="B19" s="17" t="s">
        <v>223</v>
      </c>
      <c r="C19"/>
      <c r="D19"/>
      <c r="E19"/>
      <c r="F19"/>
      <c r="G19"/>
      <c r="H19"/>
      <c r="I19"/>
      <c r="J19" s="49" t="s">
        <v>0</v>
      </c>
      <c r="K19"/>
      <c r="L19" s="134" t="s">
        <v>202</v>
      </c>
      <c r="M19" s="6"/>
      <c r="O19" s="6"/>
      <c r="Q19" s="6"/>
      <c r="R19" s="6">
        <v>0</v>
      </c>
      <c r="S19" s="6"/>
      <c r="T19" s="6"/>
      <c r="U19" s="6"/>
      <c r="V19" s="6"/>
      <c r="X19" s="6"/>
      <c r="Z19" s="6"/>
      <c r="AB19" s="6"/>
      <c r="AD19" s="6"/>
      <c r="AI19"/>
      <c r="BJ19" s="6"/>
      <c r="BK19" s="6"/>
      <c r="BM19" s="6"/>
      <c r="BN19" s="6"/>
      <c r="BO19" s="6"/>
      <c r="BP19" s="6">
        <f t="shared" si="1"/>
        <v>0</v>
      </c>
      <c r="BR19" s="6">
        <f t="shared" si="0"/>
        <v>0</v>
      </c>
      <c r="BT19" s="6">
        <f t="shared" si="2"/>
        <v>0</v>
      </c>
      <c r="BU19" s="6"/>
    </row>
    <row r="20" spans="1:73" hidden="1">
      <c r="A20" s="57"/>
      <c r="B20" s="17"/>
      <c r="C20"/>
      <c r="D20"/>
      <c r="E20"/>
      <c r="F20"/>
      <c r="G20"/>
      <c r="H20"/>
      <c r="I20"/>
      <c r="J20" s="49" t="s">
        <v>0</v>
      </c>
      <c r="K20"/>
      <c r="L20" s="134"/>
      <c r="M20" s="6"/>
      <c r="O20" s="6"/>
      <c r="Q20" s="6"/>
      <c r="S20" s="6"/>
      <c r="T20" s="6"/>
      <c r="U20" s="6"/>
      <c r="V20" s="6"/>
      <c r="X20" s="6"/>
      <c r="Z20" s="6"/>
      <c r="AB20" s="6"/>
      <c r="AD20" s="6"/>
      <c r="AI20"/>
      <c r="BJ20" s="6"/>
      <c r="BK20" s="6"/>
      <c r="BM20" s="6"/>
      <c r="BN20" s="6"/>
      <c r="BO20" s="6"/>
      <c r="BP20" s="6">
        <f t="shared" si="1"/>
        <v>0</v>
      </c>
      <c r="BR20" s="6">
        <f t="shared" si="0"/>
        <v>0</v>
      </c>
      <c r="BT20" s="6">
        <f t="shared" si="2"/>
        <v>0</v>
      </c>
      <c r="BU20" s="6"/>
    </row>
    <row r="21" spans="1:73" hidden="1">
      <c r="A21" s="57"/>
      <c r="B21" s="17" t="s">
        <v>7</v>
      </c>
      <c r="C21"/>
      <c r="D21"/>
      <c r="E21"/>
      <c r="F21"/>
      <c r="G21"/>
      <c r="H21"/>
      <c r="I21"/>
      <c r="J21" s="49" t="s">
        <v>0</v>
      </c>
      <c r="K21"/>
      <c r="L21" s="134" t="s">
        <v>202</v>
      </c>
      <c r="M21" s="6"/>
      <c r="N21" s="6">
        <v>0</v>
      </c>
      <c r="O21" s="6"/>
      <c r="P21" s="6">
        <v>0</v>
      </c>
      <c r="Q21" s="6"/>
      <c r="R21" s="6">
        <f t="shared" ref="R21:R28" si="3">+N21+P21</f>
        <v>0</v>
      </c>
      <c r="S21" s="6"/>
      <c r="T21" s="6">
        <v>0</v>
      </c>
      <c r="U21" s="6"/>
      <c r="V21" s="6">
        <v>0</v>
      </c>
      <c r="X21" s="6">
        <v>0</v>
      </c>
      <c r="Z21" s="6">
        <v>0</v>
      </c>
      <c r="AB21" s="6">
        <v>0</v>
      </c>
      <c r="AD21" s="6">
        <v>0</v>
      </c>
      <c r="AF21" s="6">
        <v>0</v>
      </c>
      <c r="AH21" s="6">
        <v>0</v>
      </c>
      <c r="AI21"/>
      <c r="AJ21" s="6">
        <v>0</v>
      </c>
      <c r="AL21" s="6">
        <v>0</v>
      </c>
      <c r="AN21" s="6">
        <v>0</v>
      </c>
      <c r="AP21" s="6">
        <v>0</v>
      </c>
      <c r="AR21" s="6">
        <v>0</v>
      </c>
      <c r="AT21" s="6">
        <v>0</v>
      </c>
      <c r="AV21" s="6">
        <v>0</v>
      </c>
      <c r="AX21" s="6">
        <v>0</v>
      </c>
      <c r="AZ21" s="6">
        <v>0</v>
      </c>
      <c r="BB21" s="6">
        <v>0</v>
      </c>
      <c r="BD21" s="6">
        <v>0</v>
      </c>
      <c r="BF21" s="6">
        <v>0</v>
      </c>
      <c r="BH21" s="6">
        <v>0</v>
      </c>
      <c r="BJ21" s="6">
        <v>0</v>
      </c>
      <c r="BK21" s="6"/>
      <c r="BL21" s="6">
        <f t="shared" ref="BL21:BL29" si="4">SUM(T21:BK21)</f>
        <v>0</v>
      </c>
      <c r="BM21" s="6"/>
      <c r="BN21" s="6">
        <v>0</v>
      </c>
      <c r="BO21" s="6"/>
      <c r="BP21" s="6">
        <f t="shared" si="1"/>
        <v>0</v>
      </c>
      <c r="BR21" s="6">
        <f t="shared" si="0"/>
        <v>0</v>
      </c>
      <c r="BT21" s="6">
        <f t="shared" si="2"/>
        <v>0</v>
      </c>
      <c r="BU21" s="6"/>
    </row>
    <row r="22" spans="1:73" hidden="1">
      <c r="A22" s="57"/>
      <c r="B22" s="17" t="s">
        <v>8</v>
      </c>
      <c r="C22"/>
      <c r="D22"/>
      <c r="E22"/>
      <c r="F22"/>
      <c r="G22"/>
      <c r="H22"/>
      <c r="I22"/>
      <c r="J22" s="49" t="s">
        <v>0</v>
      </c>
      <c r="K22"/>
      <c r="L22" s="134" t="s">
        <v>202</v>
      </c>
      <c r="M22" s="6"/>
      <c r="N22" s="6">
        <v>0</v>
      </c>
      <c r="O22" s="6"/>
      <c r="P22" s="6">
        <v>0</v>
      </c>
      <c r="Q22" s="6"/>
      <c r="R22" s="6">
        <f t="shared" si="3"/>
        <v>0</v>
      </c>
      <c r="S22" s="6"/>
      <c r="T22" s="6">
        <v>0</v>
      </c>
      <c r="U22" s="6"/>
      <c r="V22" s="6">
        <v>0</v>
      </c>
      <c r="X22" s="6">
        <v>0</v>
      </c>
      <c r="Z22" s="6">
        <v>0</v>
      </c>
      <c r="AB22" s="6">
        <v>0</v>
      </c>
      <c r="AD22" s="6">
        <v>0</v>
      </c>
      <c r="AF22" s="6">
        <v>0</v>
      </c>
      <c r="AH22" s="6">
        <v>0</v>
      </c>
      <c r="AI22"/>
      <c r="AJ22" s="6">
        <v>0</v>
      </c>
      <c r="AL22" s="6">
        <v>0</v>
      </c>
      <c r="AN22" s="6">
        <v>0</v>
      </c>
      <c r="AP22" s="6">
        <v>0</v>
      </c>
      <c r="AR22" s="6">
        <v>0</v>
      </c>
      <c r="AT22" s="6">
        <v>0</v>
      </c>
      <c r="AV22" s="6">
        <v>0</v>
      </c>
      <c r="AX22" s="6">
        <v>0</v>
      </c>
      <c r="AZ22" s="6">
        <v>0</v>
      </c>
      <c r="BB22" s="6">
        <v>0</v>
      </c>
      <c r="BD22" s="6">
        <v>0</v>
      </c>
      <c r="BF22" s="6">
        <v>0</v>
      </c>
      <c r="BH22" s="6">
        <v>0</v>
      </c>
      <c r="BJ22" s="6">
        <v>0</v>
      </c>
      <c r="BK22" s="6"/>
      <c r="BL22" s="6">
        <f t="shared" si="4"/>
        <v>0</v>
      </c>
      <c r="BM22" s="6"/>
      <c r="BN22" s="6">
        <v>0</v>
      </c>
      <c r="BO22" s="6"/>
      <c r="BP22" s="6">
        <f t="shared" si="1"/>
        <v>0</v>
      </c>
      <c r="BR22" s="6">
        <f t="shared" si="0"/>
        <v>0</v>
      </c>
      <c r="BT22" s="6">
        <f t="shared" si="2"/>
        <v>0</v>
      </c>
      <c r="BU22" s="6"/>
    </row>
    <row r="23" spans="1:73" hidden="1">
      <c r="A23" s="57"/>
      <c r="B23" s="17" t="s">
        <v>9</v>
      </c>
      <c r="C23"/>
      <c r="D23"/>
      <c r="E23"/>
      <c r="F23"/>
      <c r="G23"/>
      <c r="H23"/>
      <c r="I23"/>
      <c r="J23" s="49" t="s">
        <v>0</v>
      </c>
      <c r="K23"/>
      <c r="L23" s="134" t="s">
        <v>202</v>
      </c>
      <c r="M23" s="6"/>
      <c r="N23" s="6">
        <v>0</v>
      </c>
      <c r="O23" s="6"/>
      <c r="P23" s="6">
        <v>0</v>
      </c>
      <c r="Q23" s="6"/>
      <c r="R23" s="6">
        <f t="shared" si="3"/>
        <v>0</v>
      </c>
      <c r="S23" s="6"/>
      <c r="T23" s="6">
        <v>0</v>
      </c>
      <c r="U23" s="6"/>
      <c r="V23" s="6">
        <v>0</v>
      </c>
      <c r="X23" s="6">
        <v>0</v>
      </c>
      <c r="Z23" s="6">
        <v>0</v>
      </c>
      <c r="AB23" s="6">
        <v>0</v>
      </c>
      <c r="AD23" s="6">
        <v>0</v>
      </c>
      <c r="AF23" s="6">
        <v>0</v>
      </c>
      <c r="AH23" s="6">
        <v>0</v>
      </c>
      <c r="AI23"/>
      <c r="AJ23" s="6">
        <v>0</v>
      </c>
      <c r="AL23" s="6">
        <v>0</v>
      </c>
      <c r="AN23" s="6">
        <v>0</v>
      </c>
      <c r="AP23" s="6">
        <v>0</v>
      </c>
      <c r="AR23" s="6">
        <v>0</v>
      </c>
      <c r="AT23" s="6">
        <v>0</v>
      </c>
      <c r="AV23" s="6">
        <v>0</v>
      </c>
      <c r="AX23" s="6">
        <v>0</v>
      </c>
      <c r="AZ23" s="6">
        <v>0</v>
      </c>
      <c r="BB23" s="6">
        <v>0</v>
      </c>
      <c r="BD23" s="6">
        <v>0</v>
      </c>
      <c r="BF23" s="6">
        <v>0</v>
      </c>
      <c r="BH23" s="6">
        <v>0</v>
      </c>
      <c r="BJ23" s="6">
        <v>0</v>
      </c>
      <c r="BK23" s="6"/>
      <c r="BL23" s="6">
        <f t="shared" si="4"/>
        <v>0</v>
      </c>
      <c r="BM23" s="6"/>
      <c r="BN23" s="6">
        <v>0</v>
      </c>
      <c r="BO23" s="6"/>
      <c r="BP23" s="6">
        <f t="shared" si="1"/>
        <v>0</v>
      </c>
      <c r="BR23" s="6">
        <f t="shared" si="0"/>
        <v>0</v>
      </c>
      <c r="BT23" s="6">
        <f t="shared" si="2"/>
        <v>0</v>
      </c>
      <c r="BU23" s="6"/>
    </row>
    <row r="24" spans="1:73" hidden="1">
      <c r="A24" s="57"/>
      <c r="B24" s="17" t="s">
        <v>10</v>
      </c>
      <c r="C24"/>
      <c r="D24"/>
      <c r="E24"/>
      <c r="F24"/>
      <c r="G24"/>
      <c r="H24"/>
      <c r="I24"/>
      <c r="J24" s="49" t="s">
        <v>0</v>
      </c>
      <c r="K24"/>
      <c r="L24" s="134" t="s">
        <v>202</v>
      </c>
      <c r="M24" s="6"/>
      <c r="N24" s="6">
        <v>0</v>
      </c>
      <c r="O24" s="6"/>
      <c r="P24" s="6">
        <v>0</v>
      </c>
      <c r="Q24" s="6"/>
      <c r="R24" s="6">
        <f t="shared" si="3"/>
        <v>0</v>
      </c>
      <c r="S24" s="6"/>
      <c r="T24" s="6">
        <v>0</v>
      </c>
      <c r="U24" s="6"/>
      <c r="V24" s="6">
        <v>0</v>
      </c>
      <c r="X24" s="6">
        <v>0</v>
      </c>
      <c r="Z24" s="6">
        <v>0</v>
      </c>
      <c r="AB24" s="6">
        <v>0</v>
      </c>
      <c r="AD24" s="6">
        <v>0</v>
      </c>
      <c r="AF24" s="6">
        <v>0</v>
      </c>
      <c r="AH24" s="6">
        <v>0</v>
      </c>
      <c r="AI24"/>
      <c r="AJ24" s="6">
        <v>0</v>
      </c>
      <c r="AL24" s="6">
        <v>0</v>
      </c>
      <c r="AN24" s="6">
        <v>0</v>
      </c>
      <c r="AP24" s="6">
        <v>0</v>
      </c>
      <c r="AR24" s="6">
        <v>0</v>
      </c>
      <c r="AT24" s="6">
        <v>0</v>
      </c>
      <c r="AV24" s="6">
        <v>0</v>
      </c>
      <c r="AX24" s="6">
        <v>0</v>
      </c>
      <c r="AZ24" s="6">
        <v>0</v>
      </c>
      <c r="BB24" s="6">
        <v>0</v>
      </c>
      <c r="BD24" s="6">
        <v>0</v>
      </c>
      <c r="BF24" s="6">
        <v>0</v>
      </c>
      <c r="BH24" s="6">
        <v>0</v>
      </c>
      <c r="BJ24" s="6">
        <v>0</v>
      </c>
      <c r="BK24" s="6"/>
      <c r="BL24" s="6">
        <f t="shared" si="4"/>
        <v>0</v>
      </c>
      <c r="BM24" s="6"/>
      <c r="BN24" s="6">
        <v>0</v>
      </c>
      <c r="BO24" s="6"/>
      <c r="BP24" s="6">
        <f t="shared" si="1"/>
        <v>0</v>
      </c>
      <c r="BR24" s="6">
        <f t="shared" si="0"/>
        <v>0</v>
      </c>
      <c r="BT24" s="6">
        <f t="shared" si="2"/>
        <v>0</v>
      </c>
      <c r="BU24" s="6"/>
    </row>
    <row r="25" spans="1:73" hidden="1">
      <c r="A25" s="57"/>
      <c r="B25" s="17" t="s">
        <v>11</v>
      </c>
      <c r="C25"/>
      <c r="D25"/>
      <c r="E25"/>
      <c r="F25"/>
      <c r="G25"/>
      <c r="H25"/>
      <c r="I25"/>
      <c r="J25" s="49" t="s">
        <v>0</v>
      </c>
      <c r="K25"/>
      <c r="L25" s="134" t="s">
        <v>202</v>
      </c>
      <c r="M25" s="6"/>
      <c r="N25" s="6">
        <v>0</v>
      </c>
      <c r="O25" s="6"/>
      <c r="P25" s="6">
        <v>0</v>
      </c>
      <c r="Q25" s="6"/>
      <c r="R25" s="6">
        <f t="shared" si="3"/>
        <v>0</v>
      </c>
      <c r="S25" s="6"/>
      <c r="T25" s="6">
        <v>0</v>
      </c>
      <c r="U25" s="6"/>
      <c r="V25" s="6">
        <v>0</v>
      </c>
      <c r="X25" s="6">
        <v>0</v>
      </c>
      <c r="Z25" s="6">
        <v>0</v>
      </c>
      <c r="AB25" s="6">
        <v>0</v>
      </c>
      <c r="AD25" s="6">
        <v>0</v>
      </c>
      <c r="AF25" s="6">
        <v>0</v>
      </c>
      <c r="AH25" s="6">
        <v>0</v>
      </c>
      <c r="AI25"/>
      <c r="AJ25" s="6">
        <v>0</v>
      </c>
      <c r="AL25" s="6">
        <v>0</v>
      </c>
      <c r="AN25" s="6">
        <v>0</v>
      </c>
      <c r="AP25" s="6">
        <v>0</v>
      </c>
      <c r="AR25" s="6">
        <v>0</v>
      </c>
      <c r="AT25" s="6">
        <v>0</v>
      </c>
      <c r="AV25" s="6">
        <v>0</v>
      </c>
      <c r="AX25" s="6">
        <v>0</v>
      </c>
      <c r="AZ25" s="6">
        <v>0</v>
      </c>
      <c r="BB25" s="6">
        <v>0</v>
      </c>
      <c r="BD25" s="6">
        <v>0</v>
      </c>
      <c r="BF25" s="6">
        <v>0</v>
      </c>
      <c r="BH25" s="6">
        <v>0</v>
      </c>
      <c r="BJ25" s="6">
        <v>0</v>
      </c>
      <c r="BK25" s="6"/>
      <c r="BL25" s="6">
        <f t="shared" si="4"/>
        <v>0</v>
      </c>
      <c r="BM25" s="6"/>
      <c r="BN25" s="6">
        <v>0</v>
      </c>
      <c r="BO25" s="6"/>
      <c r="BP25" s="6">
        <f t="shared" si="1"/>
        <v>0</v>
      </c>
      <c r="BR25" s="6">
        <f t="shared" si="0"/>
        <v>0</v>
      </c>
      <c r="BT25" s="6">
        <f t="shared" si="2"/>
        <v>0</v>
      </c>
      <c r="BU25" s="6"/>
    </row>
    <row r="26" spans="1:73" hidden="1">
      <c r="A26" s="59"/>
      <c r="B26" s="17" t="s">
        <v>12</v>
      </c>
      <c r="C26"/>
      <c r="D26"/>
      <c r="E26"/>
      <c r="F26"/>
      <c r="G26"/>
      <c r="H26"/>
      <c r="I26"/>
      <c r="J26" s="49" t="s">
        <v>0</v>
      </c>
      <c r="K26"/>
      <c r="L26" s="134" t="s">
        <v>202</v>
      </c>
      <c r="M26" s="6"/>
      <c r="N26" s="6">
        <v>0</v>
      </c>
      <c r="O26" s="6"/>
      <c r="P26" s="6">
        <v>0</v>
      </c>
      <c r="Q26" s="6"/>
      <c r="R26" s="6">
        <f t="shared" si="3"/>
        <v>0</v>
      </c>
      <c r="S26" s="6"/>
      <c r="T26" s="6">
        <v>0</v>
      </c>
      <c r="U26" s="6"/>
      <c r="V26" s="6">
        <v>0</v>
      </c>
      <c r="X26" s="6">
        <v>0</v>
      </c>
      <c r="Z26" s="6">
        <v>0</v>
      </c>
      <c r="AB26" s="6">
        <v>0</v>
      </c>
      <c r="AD26" s="6">
        <v>0</v>
      </c>
      <c r="AF26" s="6">
        <v>0</v>
      </c>
      <c r="AH26" s="6">
        <v>0</v>
      </c>
      <c r="AI26"/>
      <c r="AJ26" s="6">
        <v>0</v>
      </c>
      <c r="AL26" s="6">
        <v>0</v>
      </c>
      <c r="AN26" s="6">
        <v>0</v>
      </c>
      <c r="AP26" s="6">
        <v>0</v>
      </c>
      <c r="AR26" s="6">
        <v>0</v>
      </c>
      <c r="AT26" s="6">
        <v>0</v>
      </c>
      <c r="AV26" s="6">
        <v>0</v>
      </c>
      <c r="AX26" s="6">
        <v>0</v>
      </c>
      <c r="AZ26" s="6">
        <v>0</v>
      </c>
      <c r="BB26" s="6">
        <v>0</v>
      </c>
      <c r="BD26" s="6">
        <v>0</v>
      </c>
      <c r="BF26" s="6">
        <v>0</v>
      </c>
      <c r="BH26" s="6">
        <v>0</v>
      </c>
      <c r="BJ26" s="6">
        <v>0</v>
      </c>
      <c r="BK26" s="6"/>
      <c r="BL26" s="6">
        <f t="shared" si="4"/>
        <v>0</v>
      </c>
      <c r="BM26" s="6"/>
      <c r="BN26" s="6">
        <v>0</v>
      </c>
      <c r="BO26" s="6"/>
      <c r="BP26" s="6">
        <f t="shared" si="1"/>
        <v>0</v>
      </c>
      <c r="BR26" s="6">
        <f t="shared" si="0"/>
        <v>0</v>
      </c>
      <c r="BT26" s="6">
        <f t="shared" si="2"/>
        <v>0</v>
      </c>
      <c r="BU26" s="6"/>
    </row>
    <row r="27" spans="1:73" hidden="1">
      <c r="A27" s="59"/>
      <c r="B27" s="17" t="s">
        <v>13</v>
      </c>
      <c r="C27"/>
      <c r="D27"/>
      <c r="E27"/>
      <c r="F27"/>
      <c r="G27"/>
      <c r="H27"/>
      <c r="I27"/>
      <c r="J27" s="49" t="s">
        <v>0</v>
      </c>
      <c r="K27"/>
      <c r="L27" s="134" t="s">
        <v>202</v>
      </c>
      <c r="M27" s="6"/>
      <c r="N27" s="6">
        <v>0</v>
      </c>
      <c r="O27" s="6"/>
      <c r="P27" s="6">
        <v>0</v>
      </c>
      <c r="Q27" s="6"/>
      <c r="R27" s="6">
        <f t="shared" si="3"/>
        <v>0</v>
      </c>
      <c r="S27" s="6"/>
      <c r="T27" s="6">
        <v>0</v>
      </c>
      <c r="U27" s="6"/>
      <c r="V27" s="6">
        <v>0</v>
      </c>
      <c r="X27" s="6">
        <v>0</v>
      </c>
      <c r="Z27" s="6">
        <v>0</v>
      </c>
      <c r="AB27" s="6">
        <v>0</v>
      </c>
      <c r="AD27" s="6">
        <v>0</v>
      </c>
      <c r="AF27" s="6">
        <v>0</v>
      </c>
      <c r="AH27" s="6">
        <v>0</v>
      </c>
      <c r="AI27"/>
      <c r="AJ27" s="6">
        <v>0</v>
      </c>
      <c r="AL27" s="6">
        <v>0</v>
      </c>
      <c r="AN27" s="6">
        <v>0</v>
      </c>
      <c r="AP27" s="6">
        <v>0</v>
      </c>
      <c r="AR27" s="6">
        <v>0</v>
      </c>
      <c r="AT27" s="6">
        <v>0</v>
      </c>
      <c r="AV27" s="6">
        <v>0</v>
      </c>
      <c r="AX27" s="6">
        <v>0</v>
      </c>
      <c r="AZ27" s="6">
        <v>0</v>
      </c>
      <c r="BB27" s="6">
        <v>0</v>
      </c>
      <c r="BD27" s="6">
        <v>0</v>
      </c>
      <c r="BF27" s="6">
        <v>0</v>
      </c>
      <c r="BH27" s="6">
        <v>0</v>
      </c>
      <c r="BJ27" s="6">
        <v>0</v>
      </c>
      <c r="BK27" s="6"/>
      <c r="BL27" s="6">
        <f t="shared" si="4"/>
        <v>0</v>
      </c>
      <c r="BM27" s="6"/>
      <c r="BN27" s="6">
        <v>0</v>
      </c>
      <c r="BO27" s="6"/>
      <c r="BP27" s="6">
        <f t="shared" si="1"/>
        <v>0</v>
      </c>
      <c r="BR27" s="6">
        <f t="shared" si="0"/>
        <v>0</v>
      </c>
      <c r="BT27" s="6">
        <f t="shared" si="2"/>
        <v>0</v>
      </c>
      <c r="BU27" s="6"/>
    </row>
    <row r="28" spans="1:73" s="11" customFormat="1" hidden="1">
      <c r="A28" s="100"/>
      <c r="B28" s="17" t="s">
        <v>14</v>
      </c>
      <c r="C28" s="30"/>
      <c r="D28" s="30"/>
      <c r="E28" s="30"/>
      <c r="F28" s="30"/>
      <c r="G28" s="30"/>
      <c r="H28" s="30"/>
      <c r="I28" s="30"/>
      <c r="J28" s="49" t="s">
        <v>0</v>
      </c>
      <c r="K28" s="30"/>
      <c r="L28" s="134" t="s">
        <v>202</v>
      </c>
      <c r="M28" s="12"/>
      <c r="N28" s="12">
        <v>0</v>
      </c>
      <c r="O28" s="12"/>
      <c r="P28" s="12">
        <v>0</v>
      </c>
      <c r="Q28" s="12"/>
      <c r="R28" s="6">
        <f t="shared" si="3"/>
        <v>0</v>
      </c>
      <c r="S28" s="12"/>
      <c r="T28" s="12">
        <v>0</v>
      </c>
      <c r="U28" s="12"/>
      <c r="V28" s="12">
        <v>0</v>
      </c>
      <c r="W28" s="12"/>
      <c r="X28" s="12">
        <v>0</v>
      </c>
      <c r="Y28" s="12"/>
      <c r="Z28" s="12">
        <v>0</v>
      </c>
      <c r="AA28" s="12"/>
      <c r="AB28" s="12">
        <v>0</v>
      </c>
      <c r="AC28" s="12"/>
      <c r="AD28" s="12">
        <v>0</v>
      </c>
      <c r="AE28" s="12"/>
      <c r="AF28" s="12">
        <v>0</v>
      </c>
      <c r="AG28" s="12"/>
      <c r="AH28" s="12">
        <v>0</v>
      </c>
      <c r="AI28"/>
      <c r="AJ28" s="12">
        <v>0</v>
      </c>
      <c r="AK28"/>
      <c r="AL28" s="12">
        <v>0</v>
      </c>
      <c r="AM28"/>
      <c r="AN28" s="12">
        <v>0</v>
      </c>
      <c r="AO28" s="12"/>
      <c r="AP28" s="12">
        <v>0</v>
      </c>
      <c r="AQ28" s="12"/>
      <c r="AR28" s="12">
        <v>0</v>
      </c>
      <c r="AS28" s="12"/>
      <c r="AT28" s="12">
        <v>0</v>
      </c>
      <c r="AU28" s="12"/>
      <c r="AV28" s="12">
        <v>0</v>
      </c>
      <c r="AW28" s="12"/>
      <c r="AX28" s="12">
        <v>0</v>
      </c>
      <c r="AY28" s="12"/>
      <c r="AZ28" s="12">
        <v>0</v>
      </c>
      <c r="BA28" s="12"/>
      <c r="BB28" s="12">
        <v>0</v>
      </c>
      <c r="BC28" s="12"/>
      <c r="BD28" s="12">
        <v>0</v>
      </c>
      <c r="BE28" s="12"/>
      <c r="BF28" s="12">
        <v>0</v>
      </c>
      <c r="BG28" s="12"/>
      <c r="BH28" s="12">
        <v>0</v>
      </c>
      <c r="BI28" s="12"/>
      <c r="BJ28" s="12">
        <v>0</v>
      </c>
      <c r="BK28" s="12"/>
      <c r="BL28" s="12">
        <f t="shared" si="4"/>
        <v>0</v>
      </c>
      <c r="BM28" s="12"/>
      <c r="BN28" s="12">
        <v>0</v>
      </c>
      <c r="BO28" s="12"/>
      <c r="BP28" s="6">
        <f t="shared" si="1"/>
        <v>0</v>
      </c>
      <c r="BQ28" s="12"/>
      <c r="BR28" s="6">
        <f t="shared" si="0"/>
        <v>0</v>
      </c>
      <c r="BS28" s="12"/>
      <c r="BT28" s="6">
        <f t="shared" si="2"/>
        <v>0</v>
      </c>
      <c r="BU28" s="12"/>
    </row>
    <row r="29" spans="1:73">
      <c r="A29" s="57"/>
      <c r="B29" s="17" t="s">
        <v>121</v>
      </c>
      <c r="C29"/>
      <c r="D29"/>
      <c r="E29"/>
      <c r="F29"/>
      <c r="G29"/>
      <c r="H29"/>
      <c r="I29"/>
      <c r="J29" s="49" t="s">
        <v>0</v>
      </c>
      <c r="K29"/>
      <c r="L29" s="134" t="s">
        <v>202</v>
      </c>
      <c r="M29" s="6"/>
      <c r="N29" s="12">
        <v>0</v>
      </c>
      <c r="O29" s="6"/>
      <c r="P29" s="12">
        <v>0</v>
      </c>
      <c r="Q29" s="6"/>
      <c r="R29" s="6">
        <v>0</v>
      </c>
      <c r="S29" s="6"/>
      <c r="T29" s="12">
        <v>0</v>
      </c>
      <c r="U29" s="12"/>
      <c r="V29" s="12">
        <v>0</v>
      </c>
      <c r="W29" s="12"/>
      <c r="X29" s="12">
        <v>0</v>
      </c>
      <c r="Y29" s="12"/>
      <c r="Z29" s="12">
        <v>0</v>
      </c>
      <c r="AA29" s="12"/>
      <c r="AB29" s="12">
        <v>0</v>
      </c>
      <c r="AC29" s="12"/>
      <c r="AD29" s="12"/>
      <c r="AE29" s="12"/>
      <c r="AF29" s="12">
        <v>0</v>
      </c>
      <c r="AG29" s="12"/>
      <c r="AH29" s="12">
        <v>0</v>
      </c>
      <c r="AI29"/>
      <c r="AJ29" s="12">
        <v>0</v>
      </c>
      <c r="AL29" s="12">
        <v>0</v>
      </c>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6"/>
      <c r="BL29" s="12">
        <f t="shared" si="4"/>
        <v>0</v>
      </c>
      <c r="BM29" s="6"/>
      <c r="BN29" s="12">
        <v>0</v>
      </c>
      <c r="BO29" s="6"/>
      <c r="BP29" s="6">
        <f t="shared" si="1"/>
        <v>0</v>
      </c>
      <c r="BR29" s="6">
        <f t="shared" si="0"/>
        <v>0</v>
      </c>
      <c r="BT29" s="6">
        <f t="shared" si="2"/>
        <v>0</v>
      </c>
      <c r="BU29" s="12"/>
    </row>
    <row r="30" spans="1:73">
      <c r="A30" s="57"/>
      <c r="B30" s="17"/>
      <c r="C30"/>
      <c r="D30"/>
      <c r="E30"/>
      <c r="F30"/>
      <c r="G30"/>
      <c r="H30"/>
      <c r="I30"/>
      <c r="J30" s="49"/>
      <c r="K30"/>
      <c r="L30" s="134"/>
      <c r="M30" s="6"/>
      <c r="N30" s="12"/>
      <c r="O30" s="6"/>
      <c r="P30" s="12"/>
      <c r="Q30" s="6"/>
      <c r="R30" s="12"/>
      <c r="S30" s="6"/>
      <c r="T30" s="12"/>
      <c r="U30" s="12"/>
      <c r="V30" s="12"/>
      <c r="W30" s="12"/>
      <c r="X30" s="12"/>
      <c r="Y30" s="12"/>
      <c r="Z30" s="12"/>
      <c r="AA30" s="12"/>
      <c r="AB30" s="12"/>
      <c r="AC30" s="12"/>
      <c r="AD30" s="12"/>
      <c r="AE30" s="12"/>
      <c r="AF30" s="12"/>
      <c r="AG30" s="12"/>
      <c r="AH30" s="12"/>
      <c r="AI30"/>
      <c r="AJ30" s="12"/>
      <c r="AL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6"/>
      <c r="BL30" s="12"/>
      <c r="BM30" s="6"/>
      <c r="BN30" s="12"/>
      <c r="BO30" s="6"/>
      <c r="BP30" s="6">
        <f t="shared" si="1"/>
        <v>0</v>
      </c>
      <c r="BR30" s="6">
        <f t="shared" si="0"/>
        <v>0</v>
      </c>
      <c r="BT30" s="6">
        <f>+R30-BR30</f>
        <v>0</v>
      </c>
      <c r="BU30" s="12"/>
    </row>
    <row r="31" spans="1:73">
      <c r="A31" s="57"/>
      <c r="B31" s="17" t="s">
        <v>226</v>
      </c>
      <c r="C31"/>
      <c r="D31"/>
      <c r="E31"/>
      <c r="F31"/>
      <c r="G31"/>
      <c r="H31"/>
      <c r="I31"/>
      <c r="J31" s="49"/>
      <c r="K31"/>
      <c r="L31" s="134"/>
      <c r="M31" s="6"/>
      <c r="N31" s="101">
        <f>SUM(N14:N30)</f>
        <v>0</v>
      </c>
      <c r="O31" s="6"/>
      <c r="P31" s="101">
        <f>SUM(P14:P30)</f>
        <v>0</v>
      </c>
      <c r="Q31" s="6"/>
      <c r="R31" s="101">
        <f>SUM(R14:R30)</f>
        <v>5878600</v>
      </c>
      <c r="S31" s="6"/>
      <c r="T31" s="101">
        <f>SUM(T14:T30)</f>
        <v>0</v>
      </c>
      <c r="U31" s="12"/>
      <c r="V31" s="101">
        <f>SUM(V14:V30)</f>
        <v>1250000</v>
      </c>
      <c r="W31" s="12"/>
      <c r="X31" s="101">
        <f>SUM(X14:X30)</f>
        <v>0</v>
      </c>
      <c r="Y31" s="12"/>
      <c r="Z31" s="101">
        <f>SUM(Z14:Z30)</f>
        <v>0</v>
      </c>
      <c r="AA31" s="12"/>
      <c r="AB31" s="101">
        <f>SUM(AB14:AB30)</f>
        <v>0</v>
      </c>
      <c r="AC31" s="12"/>
      <c r="AD31" s="101">
        <f>SUM(AD14:AD30)</f>
        <v>0</v>
      </c>
      <c r="AE31" s="12"/>
      <c r="AF31" s="101">
        <f>SUM(AF14:AF30)</f>
        <v>0</v>
      </c>
      <c r="AG31" s="12"/>
      <c r="AH31" s="101">
        <f>SUM(AH14:AH30)</f>
        <v>-74270.400000000023</v>
      </c>
      <c r="AI31"/>
      <c r="AJ31" s="101">
        <f>SUM(AJ14:AJ30)</f>
        <v>7480</v>
      </c>
      <c r="AL31" s="101">
        <f>SUM(AL14:AL30)</f>
        <v>0</v>
      </c>
      <c r="AN31" s="101">
        <f>SUM(AN14:AN30)</f>
        <v>1774814.4</v>
      </c>
      <c r="AO31" s="12"/>
      <c r="AP31" s="101">
        <f>SUM(AP14:AP30)</f>
        <v>0</v>
      </c>
      <c r="AQ31" s="12"/>
      <c r="AR31" s="101">
        <f>SUM(AR14:AR30)</f>
        <v>1774814.4</v>
      </c>
      <c r="AS31" s="12"/>
      <c r="AT31" s="101">
        <f>SUM(AT14:AT30)</f>
        <v>591604.80000000005</v>
      </c>
      <c r="AU31" s="12"/>
      <c r="AV31" s="101">
        <f>SUM(AV14:AV30)</f>
        <v>0</v>
      </c>
      <c r="AW31" s="12"/>
      <c r="AX31" s="101">
        <f>SUM(AX14:AX30)</f>
        <v>0</v>
      </c>
      <c r="AY31" s="12"/>
      <c r="AZ31" s="101">
        <f>SUM(AZ14:AZ30)</f>
        <v>427250</v>
      </c>
      <c r="BA31" s="12"/>
      <c r="BB31" s="101">
        <f>SUM(BB14:BB30)</f>
        <v>0</v>
      </c>
      <c r="BC31" s="12"/>
      <c r="BD31" s="101">
        <f>SUM(BD14:BD30)</f>
        <v>0</v>
      </c>
      <c r="BE31" s="12"/>
      <c r="BF31" s="101">
        <f>SUM(BF14:BF30)</f>
        <v>0</v>
      </c>
      <c r="BG31" s="12"/>
      <c r="BH31" s="101">
        <f>SUM(BH14:BH30)</f>
        <v>0</v>
      </c>
      <c r="BI31" s="12"/>
      <c r="BJ31" s="101">
        <f>SUM(BJ14:BJ30)</f>
        <v>0</v>
      </c>
      <c r="BK31" s="6"/>
      <c r="BL31" s="101">
        <f>SUM(BL14:BL30)</f>
        <v>5751693.2000000002</v>
      </c>
      <c r="BM31" s="6"/>
      <c r="BN31" s="101">
        <f>SUM(BN14:BN30)</f>
        <v>464698</v>
      </c>
      <c r="BO31" s="6"/>
      <c r="BP31" s="101">
        <f>SUM(BP14:BP30)</f>
        <v>591604.79999999981</v>
      </c>
      <c r="BR31" s="101">
        <f>SUM(BR14:BR30)</f>
        <v>6343298</v>
      </c>
      <c r="BT31" s="101">
        <f>SUM(BT14:BT30)</f>
        <v>-464698</v>
      </c>
      <c r="BU31" s="12"/>
    </row>
    <row r="32" spans="1:73">
      <c r="A32" s="57"/>
      <c r="B32" s="17"/>
      <c r="C32"/>
      <c r="D32"/>
      <c r="E32"/>
      <c r="F32"/>
      <c r="G32"/>
      <c r="H32"/>
      <c r="I32"/>
      <c r="J32" s="49"/>
      <c r="K32"/>
      <c r="L32" s="134"/>
      <c r="M32" s="6"/>
      <c r="N32" s="12"/>
      <c r="O32" s="6"/>
      <c r="P32" s="12"/>
      <c r="Q32" s="6"/>
      <c r="R32" s="12"/>
      <c r="S32" s="6"/>
      <c r="T32" s="12"/>
      <c r="U32" s="12"/>
      <c r="V32" s="12"/>
      <c r="W32" s="12"/>
      <c r="X32" s="12"/>
      <c r="Y32" s="12"/>
      <c r="Z32" s="12"/>
      <c r="AA32" s="12"/>
      <c r="AB32" s="12"/>
      <c r="AC32" s="12"/>
      <c r="AD32" s="12"/>
      <c r="AE32" s="12"/>
      <c r="AF32" s="12"/>
      <c r="AG32" s="12"/>
      <c r="AH32" s="12"/>
      <c r="AI32"/>
      <c r="AJ32" s="12"/>
      <c r="AL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6"/>
      <c r="BL32" s="12"/>
      <c r="BM32" s="6"/>
      <c r="BN32" s="12"/>
      <c r="BO32" s="6"/>
      <c r="BP32" s="12"/>
      <c r="BR32" s="12"/>
      <c r="BT32" s="12"/>
      <c r="BU32" s="12"/>
    </row>
    <row r="33" spans="1:73" s="114" customFormat="1">
      <c r="A33" s="112"/>
      <c r="B33" s="113" t="s">
        <v>15</v>
      </c>
      <c r="J33" s="157"/>
      <c r="L33" s="142"/>
      <c r="M33" s="115"/>
      <c r="N33" s="115">
        <f>+N31+N12</f>
        <v>93330000</v>
      </c>
      <c r="O33" s="115"/>
      <c r="P33" s="115">
        <f>+P31+P12</f>
        <v>0</v>
      </c>
      <c r="Q33" s="115"/>
      <c r="R33" s="115">
        <f>+R31+R12</f>
        <v>146111540</v>
      </c>
      <c r="S33" s="115"/>
      <c r="T33" s="115">
        <f>+T31+T12</f>
        <v>6800000</v>
      </c>
      <c r="U33" s="115"/>
      <c r="V33" s="115">
        <f>+V31+V12</f>
        <v>1250000</v>
      </c>
      <c r="W33" s="115"/>
      <c r="X33" s="115">
        <f>+X31+X12</f>
        <v>32884800</v>
      </c>
      <c r="Y33" s="115"/>
      <c r="Z33" s="115">
        <f>+Z31+Z12</f>
        <v>0</v>
      </c>
      <c r="AA33" s="115"/>
      <c r="AB33" s="115">
        <f>+AB31+AB12</f>
        <v>0</v>
      </c>
      <c r="AC33" s="115"/>
      <c r="AD33" s="115">
        <f>+AD31+AD12</f>
        <v>18310527</v>
      </c>
      <c r="AE33" s="115"/>
      <c r="AF33" s="115">
        <f>+AF31+AF12</f>
        <v>6800000</v>
      </c>
      <c r="AG33" s="115"/>
      <c r="AH33" s="115">
        <f>+AH31+AH12</f>
        <v>5150873.04</v>
      </c>
      <c r="AI33"/>
      <c r="AJ33" s="115">
        <f>+AJ31+AJ12</f>
        <v>6160327</v>
      </c>
      <c r="AK33"/>
      <c r="AL33" s="115">
        <f>+AL31+AL12</f>
        <v>6924847</v>
      </c>
      <c r="AM33"/>
      <c r="AN33" s="115">
        <f>+AN31+AN12</f>
        <v>8699661.4000000004</v>
      </c>
      <c r="AO33" s="115"/>
      <c r="AP33" s="115">
        <f>+AP31+AP12</f>
        <v>6924847</v>
      </c>
      <c r="AQ33" s="115"/>
      <c r="AR33" s="115">
        <f>+AR31+AR12</f>
        <v>26462958.029999997</v>
      </c>
      <c r="AS33" s="115"/>
      <c r="AT33" s="115">
        <f>+AT31+AT12</f>
        <v>591604.80000000005</v>
      </c>
      <c r="AU33" s="115"/>
      <c r="AV33" s="115">
        <f>+AV31+AV12</f>
        <v>13325691.369999999</v>
      </c>
      <c r="AW33" s="115"/>
      <c r="AX33" s="115">
        <f>+AX31+AX12</f>
        <v>7103247</v>
      </c>
      <c r="AY33" s="115"/>
      <c r="AZ33" s="115">
        <f>+AZ31+AZ12</f>
        <v>427250</v>
      </c>
      <c r="BA33" s="115"/>
      <c r="BB33" s="115">
        <f>+BB31+BB12</f>
        <v>0</v>
      </c>
      <c r="BC33" s="115"/>
      <c r="BD33" s="115">
        <f>+BD31+BD12</f>
        <v>0</v>
      </c>
      <c r="BE33" s="115"/>
      <c r="BF33" s="115">
        <f>+BF31+BF12</f>
        <v>0</v>
      </c>
      <c r="BG33" s="115"/>
      <c r="BH33" s="115">
        <f>+BH31+BH12</f>
        <v>0</v>
      </c>
      <c r="BI33" s="115"/>
      <c r="BJ33" s="115">
        <f>+BJ31+BJ12</f>
        <v>0</v>
      </c>
      <c r="BK33" s="115"/>
      <c r="BL33" s="115">
        <f>+BL31+BL12</f>
        <v>147816633.63999999</v>
      </c>
      <c r="BM33" s="115"/>
      <c r="BN33" s="115">
        <f>+BN31+BN12</f>
        <v>2296698</v>
      </c>
      <c r="BO33" s="115"/>
      <c r="BP33" s="115">
        <f>+BP31+BP12</f>
        <v>783604.79999999981</v>
      </c>
      <c r="BQ33" s="115"/>
      <c r="BR33" s="115">
        <f>+BR31+BR12</f>
        <v>148600238.44</v>
      </c>
      <c r="BS33" s="115"/>
      <c r="BT33" s="115">
        <f>+BT31+BT12</f>
        <v>-2488698.4399999976</v>
      </c>
      <c r="BU33" s="115"/>
    </row>
    <row r="34" spans="1:73">
      <c r="A34" s="57"/>
      <c r="B34" s="79"/>
      <c r="C34"/>
      <c r="D34"/>
      <c r="E34"/>
      <c r="F34"/>
      <c r="G34"/>
      <c r="H34"/>
      <c r="I34"/>
      <c r="J34" s="49"/>
      <c r="K34"/>
      <c r="L34" s="134"/>
      <c r="M34" s="6"/>
      <c r="O34" s="6"/>
      <c r="Q34" s="6"/>
      <c r="S34" s="6"/>
      <c r="T34" s="6"/>
      <c r="U34" s="6"/>
      <c r="V34" s="6"/>
      <c r="X34" s="6"/>
      <c r="Z34" s="6"/>
      <c r="AB34" s="6"/>
      <c r="AD34" s="6"/>
      <c r="AI34"/>
      <c r="BJ34" s="6"/>
      <c r="BK34" s="6"/>
      <c r="BM34" s="6"/>
      <c r="BN34" s="6"/>
      <c r="BO34" s="6"/>
      <c r="BU34" s="6"/>
    </row>
    <row r="35" spans="1:73">
      <c r="A35" s="57"/>
      <c r="B35" s="17"/>
      <c r="C35"/>
      <c r="D35"/>
      <c r="E35"/>
      <c r="F35"/>
      <c r="G35"/>
      <c r="H35"/>
      <c r="I35"/>
      <c r="J35" s="49"/>
      <c r="K35"/>
      <c r="L35" s="134"/>
      <c r="M35" s="6"/>
      <c r="O35" s="6"/>
      <c r="Q35" s="6"/>
      <c r="S35" s="6"/>
      <c r="T35" s="6"/>
      <c r="U35" s="6"/>
      <c r="V35" s="6"/>
      <c r="X35" s="6"/>
      <c r="Z35" s="6"/>
      <c r="AB35" s="6"/>
      <c r="AD35" s="6"/>
      <c r="AI35"/>
      <c r="BJ35" s="6"/>
      <c r="BK35" s="6"/>
      <c r="BM35" s="6"/>
      <c r="BN35" s="6"/>
      <c r="BO35" s="6"/>
      <c r="BU35" s="6"/>
    </row>
    <row r="36" spans="1:73">
      <c r="A36" s="56" t="s">
        <v>234</v>
      </c>
      <c r="B36" s="17"/>
      <c r="C36"/>
      <c r="D36"/>
      <c r="E36"/>
      <c r="F36"/>
      <c r="G36"/>
      <c r="H36"/>
      <c r="I36"/>
      <c r="J36" s="49"/>
      <c r="K36"/>
      <c r="L36" s="134"/>
      <c r="M36" s="6"/>
      <c r="O36" s="6"/>
      <c r="Q36" s="6"/>
      <c r="S36" s="6"/>
      <c r="T36" s="6"/>
      <c r="U36" s="6"/>
      <c r="V36" s="6"/>
      <c r="X36" s="6"/>
      <c r="Z36" s="6"/>
      <c r="AB36" s="6"/>
      <c r="AD36" s="6"/>
      <c r="AI36"/>
      <c r="BJ36" s="6"/>
      <c r="BK36" s="6"/>
      <c r="BM36" s="6"/>
      <c r="BN36" s="6"/>
      <c r="BO36" s="6"/>
      <c r="BU36" s="6"/>
    </row>
    <row r="37" spans="1:73">
      <c r="A37" s="57"/>
      <c r="B37" s="17"/>
      <c r="C37"/>
      <c r="D37"/>
      <c r="E37"/>
      <c r="F37"/>
      <c r="G37"/>
      <c r="H37"/>
      <c r="I37"/>
      <c r="J37" s="49"/>
      <c r="K37"/>
      <c r="L37" s="134"/>
      <c r="M37" s="6"/>
      <c r="O37" s="6"/>
      <c r="Q37" s="6"/>
      <c r="S37" s="6"/>
      <c r="T37" s="6">
        <v>0</v>
      </c>
      <c r="U37" s="6"/>
      <c r="V37" s="6">
        <v>0</v>
      </c>
      <c r="X37" s="6">
        <v>0</v>
      </c>
      <c r="Z37" s="6">
        <v>0</v>
      </c>
      <c r="AB37" s="6">
        <v>0</v>
      </c>
      <c r="AD37" s="6">
        <v>0</v>
      </c>
      <c r="AF37" s="6">
        <v>0</v>
      </c>
      <c r="AH37" s="6">
        <v>0</v>
      </c>
      <c r="AI37"/>
      <c r="AJ37" s="6">
        <v>0</v>
      </c>
      <c r="AL37" s="6">
        <v>0</v>
      </c>
      <c r="AN37" s="6">
        <v>0</v>
      </c>
      <c r="AP37" s="6">
        <v>0</v>
      </c>
      <c r="AR37" s="6">
        <v>0</v>
      </c>
      <c r="AT37" s="6">
        <v>0</v>
      </c>
      <c r="AV37" s="6">
        <v>0</v>
      </c>
      <c r="AX37" s="6">
        <v>0</v>
      </c>
      <c r="AZ37" s="6">
        <v>0</v>
      </c>
      <c r="BB37" s="6">
        <v>0</v>
      </c>
      <c r="BD37" s="6">
        <v>0</v>
      </c>
      <c r="BF37" s="6">
        <v>0</v>
      </c>
      <c r="BH37" s="6">
        <v>0</v>
      </c>
      <c r="BJ37" s="6">
        <v>0</v>
      </c>
      <c r="BK37" s="6"/>
      <c r="BM37" s="6"/>
      <c r="BN37" s="6"/>
      <c r="BO37" s="6"/>
      <c r="BU37" s="6"/>
    </row>
    <row r="38" spans="1:73">
      <c r="A38" s="57"/>
      <c r="B38" s="232" t="s">
        <v>299</v>
      </c>
      <c r="C38"/>
      <c r="D38"/>
      <c r="E38"/>
      <c r="F38"/>
      <c r="G38"/>
      <c r="H38"/>
      <c r="I38"/>
      <c r="J38" s="49"/>
      <c r="K38"/>
      <c r="L38" s="134"/>
      <c r="M38" s="6"/>
      <c r="O38" s="6"/>
      <c r="Q38" s="6"/>
      <c r="S38" s="6"/>
      <c r="T38" s="6"/>
      <c r="U38" s="6"/>
      <c r="V38" s="6"/>
      <c r="X38" s="6"/>
      <c r="Z38" s="6"/>
      <c r="AB38" s="6"/>
      <c r="AD38" s="6"/>
      <c r="AI38"/>
      <c r="BJ38" s="6"/>
      <c r="BK38" s="6"/>
      <c r="BM38" s="6"/>
      <c r="BN38" s="6"/>
      <c r="BO38" s="6"/>
      <c r="BU38" s="6"/>
    </row>
    <row r="39" spans="1:73">
      <c r="A39" s="57"/>
      <c r="B39" s="233" t="s">
        <v>297</v>
      </c>
      <c r="C39"/>
      <c r="D39"/>
      <c r="E39"/>
      <c r="F39"/>
      <c r="G39"/>
      <c r="H39"/>
      <c r="I39"/>
      <c r="J39" s="49" t="s">
        <v>229</v>
      </c>
      <c r="K39"/>
      <c r="L39" s="134" t="s">
        <v>202</v>
      </c>
      <c r="M39" s="6"/>
      <c r="O39" s="6"/>
      <c r="Q39" s="6"/>
      <c r="R39" s="235">
        <v>1538965</v>
      </c>
      <c r="S39" s="6"/>
      <c r="T39" s="6"/>
      <c r="U39" s="6"/>
      <c r="V39" s="6"/>
      <c r="X39" s="6"/>
      <c r="Z39" s="6"/>
      <c r="AB39" s="6"/>
      <c r="AD39" s="6"/>
      <c r="AI39"/>
      <c r="AP39" s="6">
        <v>11510</v>
      </c>
      <c r="AR39" s="6">
        <f>54708-11510</f>
        <v>43198</v>
      </c>
      <c r="AT39" s="6">
        <f>303957-54708+123679</f>
        <v>372928</v>
      </c>
      <c r="AX39" s="6">
        <f>308820-123679</f>
        <v>185141</v>
      </c>
      <c r="BJ39" s="6"/>
      <c r="BK39" s="6"/>
      <c r="BL39" s="6">
        <f t="shared" ref="BL39:BL45" si="5">SUM(T39:BK39)</f>
        <v>612777</v>
      </c>
      <c r="BM39" s="6"/>
      <c r="BN39" s="6">
        <f>3495680-R39</f>
        <v>1956715</v>
      </c>
      <c r="BO39" s="6"/>
      <c r="BP39" s="6">
        <f t="shared" ref="BP39:BP45" si="6">IF(+R39-BL39+BN39&gt;0,R39-BL39+BN39,0)</f>
        <v>2882903</v>
      </c>
      <c r="BR39" s="6">
        <f t="shared" ref="BR39:BR45" si="7">+BL39+BP39</f>
        <v>3495680</v>
      </c>
      <c r="BT39" s="6">
        <f>+R39-BR39</f>
        <v>-1956715</v>
      </c>
      <c r="BU39" s="6"/>
    </row>
    <row r="40" spans="1:73">
      <c r="A40" s="57"/>
      <c r="B40" s="233" t="s">
        <v>534</v>
      </c>
      <c r="C40"/>
      <c r="D40"/>
      <c r="E40"/>
      <c r="F40"/>
      <c r="G40"/>
      <c r="H40"/>
      <c r="I40"/>
      <c r="J40" s="49" t="s">
        <v>229</v>
      </c>
      <c r="K40"/>
      <c r="L40" s="134" t="s">
        <v>202</v>
      </c>
      <c r="M40" s="6"/>
      <c r="O40" s="6"/>
      <c r="Q40" s="6"/>
      <c r="R40" s="235">
        <v>1717382</v>
      </c>
      <c r="S40" s="6"/>
      <c r="T40" s="6"/>
      <c r="U40" s="6"/>
      <c r="V40" s="6"/>
      <c r="X40" s="6"/>
      <c r="Z40" s="6"/>
      <c r="AB40" s="6"/>
      <c r="AD40" s="6"/>
      <c r="AI40"/>
      <c r="AP40" s="6">
        <f>87721+37545</f>
        <v>125266</v>
      </c>
      <c r="AR40" s="6">
        <f>175242-87721+3444</f>
        <v>90965</v>
      </c>
      <c r="AT40" s="6">
        <f>601600-175242+14099</f>
        <v>440457</v>
      </c>
      <c r="AX40" s="6">
        <f>1413373-656688</f>
        <v>756685</v>
      </c>
      <c r="BJ40" s="6"/>
      <c r="BK40" s="6"/>
      <c r="BL40" s="6">
        <f t="shared" si="5"/>
        <v>1413373</v>
      </c>
      <c r="BM40" s="6"/>
      <c r="BN40" s="6">
        <f>-1717382+4094823</f>
        <v>2377441</v>
      </c>
      <c r="BO40" s="6"/>
      <c r="BP40" s="6">
        <f t="shared" si="6"/>
        <v>2681450</v>
      </c>
      <c r="BR40" s="6">
        <f t="shared" si="7"/>
        <v>4094823</v>
      </c>
      <c r="BT40" s="6">
        <f t="shared" ref="BT40:BT45" si="8">+R40-BR40</f>
        <v>-2377441</v>
      </c>
      <c r="BU40" s="6"/>
    </row>
    <row r="41" spans="1:73">
      <c r="A41" s="57"/>
      <c r="B41" s="233" t="s">
        <v>535</v>
      </c>
      <c r="C41"/>
      <c r="D41"/>
      <c r="E41"/>
      <c r="F41"/>
      <c r="G41"/>
      <c r="H41"/>
      <c r="I41"/>
      <c r="J41" s="49" t="s">
        <v>229</v>
      </c>
      <c r="K41"/>
      <c r="L41" s="134" t="s">
        <v>202</v>
      </c>
      <c r="M41" s="6"/>
      <c r="O41" s="6"/>
      <c r="Q41" s="6"/>
      <c r="R41" s="235">
        <v>14562379</v>
      </c>
      <c r="S41" s="6"/>
      <c r="T41" s="6"/>
      <c r="U41" s="6"/>
      <c r="V41" s="6"/>
      <c r="X41" s="6"/>
      <c r="Z41" s="6"/>
      <c r="AB41" s="6"/>
      <c r="AD41" s="6"/>
      <c r="AI41"/>
      <c r="AP41" s="6">
        <f>261+21574+247412+128235+27859+107400</f>
        <v>532741</v>
      </c>
      <c r="AR41" s="6">
        <f>227731-261+36207+20085+63844+7268+4264</f>
        <v>359138</v>
      </c>
      <c r="AT41" s="6">
        <f>814449-227731+31652+83503+44893+81985+5914</f>
        <v>834665</v>
      </c>
      <c r="AX41" s="6">
        <f>1663132-1726544</f>
        <v>-63412</v>
      </c>
      <c r="BJ41" s="6"/>
      <c r="BK41" s="6"/>
      <c r="BL41" s="6">
        <f t="shared" si="5"/>
        <v>1663132</v>
      </c>
      <c r="BM41" s="6"/>
      <c r="BN41" s="6">
        <f>8931768-R41</f>
        <v>-5630611</v>
      </c>
      <c r="BO41" s="6"/>
      <c r="BP41" s="6">
        <f t="shared" si="6"/>
        <v>7268636</v>
      </c>
      <c r="BR41" s="6">
        <f t="shared" si="7"/>
        <v>8931768</v>
      </c>
      <c r="BT41" s="6">
        <f t="shared" si="8"/>
        <v>5630611</v>
      </c>
      <c r="BU41" s="6"/>
    </row>
    <row r="42" spans="1:73">
      <c r="A42" s="57"/>
      <c r="B42" s="233" t="s">
        <v>22</v>
      </c>
      <c r="C42"/>
      <c r="D42"/>
      <c r="E42"/>
      <c r="F42"/>
      <c r="G42"/>
      <c r="H42"/>
      <c r="I42"/>
      <c r="J42" s="49" t="s">
        <v>229</v>
      </c>
      <c r="K42"/>
      <c r="L42" s="134" t="s">
        <v>202</v>
      </c>
      <c r="M42" s="6"/>
      <c r="N42" s="6">
        <v>0</v>
      </c>
      <c r="O42" s="6"/>
      <c r="P42" s="6">
        <v>0</v>
      </c>
      <c r="Q42" s="6"/>
      <c r="R42" s="235">
        <f>542913-164225</f>
        <v>378688</v>
      </c>
      <c r="S42" s="6"/>
      <c r="T42" s="6">
        <v>0</v>
      </c>
      <c r="U42" s="6"/>
      <c r="V42" s="6">
        <v>0</v>
      </c>
      <c r="X42" s="6">
        <v>0</v>
      </c>
      <c r="Z42" s="6">
        <v>0</v>
      </c>
      <c r="AB42" s="6">
        <v>0</v>
      </c>
      <c r="AD42" s="6">
        <v>0</v>
      </c>
      <c r="AF42" s="6">
        <v>0</v>
      </c>
      <c r="AH42" s="6">
        <v>0</v>
      </c>
      <c r="AI42"/>
      <c r="AJ42" s="6">
        <v>0</v>
      </c>
      <c r="AL42" s="6">
        <v>0</v>
      </c>
      <c r="AP42" s="6">
        <f>192524</f>
        <v>192524</v>
      </c>
      <c r="AR42" s="6">
        <f>268032-192524</f>
        <v>75508</v>
      </c>
      <c r="AT42" s="6">
        <f>344773-268032</f>
        <v>76741</v>
      </c>
      <c r="AV42" s="6">
        <v>0</v>
      </c>
      <c r="AX42" s="6">
        <f>631966-344773</f>
        <v>287193</v>
      </c>
      <c r="AZ42" s="6">
        <v>0</v>
      </c>
      <c r="BB42" s="6">
        <v>0</v>
      </c>
      <c r="BD42" s="6">
        <v>0</v>
      </c>
      <c r="BF42" s="6">
        <v>0</v>
      </c>
      <c r="BH42" s="6">
        <v>0</v>
      </c>
      <c r="BJ42" s="6">
        <v>0</v>
      </c>
      <c r="BK42" s="6"/>
      <c r="BL42" s="6">
        <f t="shared" si="5"/>
        <v>631966</v>
      </c>
      <c r="BM42" s="6"/>
      <c r="BN42" s="6">
        <v>0</v>
      </c>
      <c r="BO42" s="6"/>
      <c r="BP42" s="6">
        <f t="shared" si="6"/>
        <v>0</v>
      </c>
      <c r="BR42" s="6">
        <f t="shared" si="7"/>
        <v>631966</v>
      </c>
      <c r="BT42" s="6">
        <f t="shared" si="8"/>
        <v>-253278</v>
      </c>
      <c r="BU42" s="6"/>
    </row>
    <row r="43" spans="1:73">
      <c r="A43" s="57"/>
      <c r="B43" s="233" t="s">
        <v>485</v>
      </c>
      <c r="C43"/>
      <c r="D43"/>
      <c r="E43"/>
      <c r="F43"/>
      <c r="G43"/>
      <c r="H43"/>
      <c r="I43"/>
      <c r="J43" s="49" t="s">
        <v>229</v>
      </c>
      <c r="K43"/>
      <c r="L43" s="134" t="s">
        <v>202</v>
      </c>
      <c r="M43" s="6"/>
      <c r="N43" s="6">
        <v>0</v>
      </c>
      <c r="O43" s="6"/>
      <c r="P43" s="6">
        <v>0</v>
      </c>
      <c r="Q43" s="6"/>
      <c r="R43" s="235">
        <v>150000</v>
      </c>
      <c r="S43" s="6"/>
      <c r="T43" s="6">
        <v>0</v>
      </c>
      <c r="U43" s="6"/>
      <c r="V43" s="6">
        <v>0</v>
      </c>
      <c r="X43" s="6">
        <v>0</v>
      </c>
      <c r="Z43" s="6">
        <v>0</v>
      </c>
      <c r="AB43" s="6">
        <v>0</v>
      </c>
      <c r="AD43" s="6">
        <v>0</v>
      </c>
      <c r="AF43" s="6">
        <v>0</v>
      </c>
      <c r="AH43" s="6">
        <v>0</v>
      </c>
      <c r="AI43"/>
      <c r="AJ43" s="6">
        <v>0</v>
      </c>
      <c r="AL43" s="6">
        <v>0</v>
      </c>
      <c r="AP43" s="6">
        <v>47</v>
      </c>
      <c r="AR43" s="6">
        <f>67927-47</f>
        <v>67880</v>
      </c>
      <c r="AT43" s="6">
        <f>70698-67927</f>
        <v>2771</v>
      </c>
      <c r="AV43" s="6">
        <v>0</v>
      </c>
      <c r="AX43" s="6">
        <f>34086-70698+1</f>
        <v>-36611</v>
      </c>
      <c r="AZ43" s="6">
        <v>0</v>
      </c>
      <c r="BB43" s="6">
        <v>0</v>
      </c>
      <c r="BD43" s="6">
        <v>0</v>
      </c>
      <c r="BF43" s="6">
        <v>0</v>
      </c>
      <c r="BH43" s="6">
        <v>0</v>
      </c>
      <c r="BJ43" s="6">
        <v>0</v>
      </c>
      <c r="BK43" s="6"/>
      <c r="BL43" s="6">
        <f t="shared" si="5"/>
        <v>34087</v>
      </c>
      <c r="BM43" s="6"/>
      <c r="BN43" s="6">
        <v>0</v>
      </c>
      <c r="BO43" s="6"/>
      <c r="BP43" s="6">
        <f t="shared" si="6"/>
        <v>115913</v>
      </c>
      <c r="BR43" s="6">
        <f t="shared" si="7"/>
        <v>150000</v>
      </c>
      <c r="BT43" s="6">
        <f t="shared" si="8"/>
        <v>0</v>
      </c>
      <c r="BU43" s="6"/>
    </row>
    <row r="44" spans="1:73">
      <c r="A44" s="57"/>
      <c r="B44" s="233" t="s">
        <v>190</v>
      </c>
      <c r="C44"/>
      <c r="D44"/>
      <c r="E44"/>
      <c r="F44"/>
      <c r="G44"/>
      <c r="H44"/>
      <c r="I44"/>
      <c r="J44" s="49" t="s">
        <v>229</v>
      </c>
      <c r="K44"/>
      <c r="L44" s="134" t="s">
        <v>202</v>
      </c>
      <c r="M44" s="6"/>
      <c r="N44" s="6">
        <v>0</v>
      </c>
      <c r="O44" s="6"/>
      <c r="P44" s="6">
        <v>0</v>
      </c>
      <c r="Q44" s="6"/>
      <c r="R44" s="235">
        <v>104121</v>
      </c>
      <c r="S44" s="6"/>
      <c r="T44" s="6">
        <v>0</v>
      </c>
      <c r="U44" s="6"/>
      <c r="V44" s="6">
        <v>0</v>
      </c>
      <c r="X44" s="6">
        <v>0</v>
      </c>
      <c r="Z44" s="6">
        <v>0</v>
      </c>
      <c r="AB44" s="6">
        <v>0</v>
      </c>
      <c r="AD44" s="6">
        <v>0</v>
      </c>
      <c r="AF44" s="6">
        <v>0</v>
      </c>
      <c r="AH44" s="6">
        <v>0</v>
      </c>
      <c r="AI44"/>
      <c r="AJ44" s="6">
        <v>0</v>
      </c>
      <c r="AL44" s="6">
        <v>0</v>
      </c>
      <c r="AN44" s="6">
        <v>0</v>
      </c>
      <c r="AP44" s="6">
        <v>0</v>
      </c>
      <c r="AR44" s="6">
        <v>0</v>
      </c>
      <c r="AT44" s="6">
        <v>0</v>
      </c>
      <c r="AV44" s="6">
        <v>0</v>
      </c>
      <c r="AX44" s="6">
        <v>0</v>
      </c>
      <c r="AZ44" s="6">
        <v>0</v>
      </c>
      <c r="BB44" s="6">
        <v>0</v>
      </c>
      <c r="BD44" s="6">
        <v>0</v>
      </c>
      <c r="BF44" s="6">
        <v>0</v>
      </c>
      <c r="BH44" s="6">
        <v>0</v>
      </c>
      <c r="BJ44" s="6">
        <v>0</v>
      </c>
      <c r="BK44" s="6"/>
      <c r="BL44" s="6">
        <f t="shared" si="5"/>
        <v>0</v>
      </c>
      <c r="BM44" s="6"/>
      <c r="BN44" s="6">
        <f>65660-104121</f>
        <v>-38461</v>
      </c>
      <c r="BO44" s="6"/>
      <c r="BP44" s="6">
        <f t="shared" si="6"/>
        <v>65660</v>
      </c>
      <c r="BR44" s="6">
        <f t="shared" si="7"/>
        <v>65660</v>
      </c>
      <c r="BT44" s="6">
        <f t="shared" si="8"/>
        <v>38461</v>
      </c>
      <c r="BU44" s="6"/>
    </row>
    <row r="45" spans="1:73">
      <c r="A45" s="57"/>
      <c r="B45" s="233" t="s">
        <v>298</v>
      </c>
      <c r="C45"/>
      <c r="D45"/>
      <c r="E45"/>
      <c r="F45"/>
      <c r="G45"/>
      <c r="H45"/>
      <c r="I45"/>
      <c r="J45" s="49"/>
      <c r="K45"/>
      <c r="L45" s="134" t="s">
        <v>202</v>
      </c>
      <c r="M45" s="6"/>
      <c r="N45" s="6">
        <v>0</v>
      </c>
      <c r="O45" s="6"/>
      <c r="P45" s="6">
        <v>0</v>
      </c>
      <c r="Q45" s="6"/>
      <c r="R45" s="235">
        <v>164225</v>
      </c>
      <c r="S45" s="6"/>
      <c r="T45" s="6">
        <v>0</v>
      </c>
      <c r="U45" s="6"/>
      <c r="V45" s="6">
        <v>0</v>
      </c>
      <c r="X45" s="6">
        <v>0</v>
      </c>
      <c r="Z45" s="6">
        <v>0</v>
      </c>
      <c r="AB45" s="6">
        <v>0</v>
      </c>
      <c r="AD45" s="6">
        <v>0</v>
      </c>
      <c r="AF45" s="6">
        <v>0</v>
      </c>
      <c r="AH45" s="6">
        <v>0</v>
      </c>
      <c r="AI45"/>
      <c r="AJ45" s="6">
        <v>0</v>
      </c>
      <c r="AL45" s="6">
        <v>0</v>
      </c>
      <c r="AN45" s="6">
        <v>0</v>
      </c>
      <c r="AR45" s="6">
        <v>0</v>
      </c>
      <c r="AT45" s="6">
        <v>0</v>
      </c>
      <c r="AV45" s="6">
        <v>0</v>
      </c>
      <c r="AX45" s="6">
        <v>0</v>
      </c>
      <c r="AZ45" s="6">
        <v>0</v>
      </c>
      <c r="BB45" s="6">
        <v>0</v>
      </c>
      <c r="BD45" s="6">
        <v>0</v>
      </c>
      <c r="BF45" s="6">
        <v>0</v>
      </c>
      <c r="BH45" s="6">
        <v>0</v>
      </c>
      <c r="BJ45" s="6">
        <v>0</v>
      </c>
      <c r="BK45" s="6"/>
      <c r="BL45" s="6">
        <f t="shared" si="5"/>
        <v>0</v>
      </c>
      <c r="BM45" s="6"/>
      <c r="BN45" s="6">
        <f>94-164225</f>
        <v>-164131</v>
      </c>
      <c r="BO45" s="6"/>
      <c r="BP45" s="6">
        <f t="shared" si="6"/>
        <v>94</v>
      </c>
      <c r="BR45" s="6">
        <f t="shared" si="7"/>
        <v>94</v>
      </c>
      <c r="BT45" s="6">
        <f t="shared" si="8"/>
        <v>164131</v>
      </c>
      <c r="BU45" s="6"/>
    </row>
    <row r="46" spans="1:73" s="21" customFormat="1">
      <c r="A46" s="118"/>
      <c r="B46" s="236" t="s">
        <v>300</v>
      </c>
      <c r="J46" s="8"/>
      <c r="L46" s="143" t="s">
        <v>202</v>
      </c>
      <c r="M46" s="9"/>
      <c r="N46" s="9">
        <v>0</v>
      </c>
      <c r="O46" s="9"/>
      <c r="P46" s="9">
        <v>0</v>
      </c>
      <c r="Q46" s="9"/>
      <c r="R46" s="9">
        <f t="shared" ref="R46:AD46" si="9">SUM(R39:R45)</f>
        <v>18615760</v>
      </c>
      <c r="S46" s="9">
        <f t="shared" si="9"/>
        <v>0</v>
      </c>
      <c r="T46" s="9">
        <f t="shared" si="9"/>
        <v>0</v>
      </c>
      <c r="U46" s="9">
        <f t="shared" si="9"/>
        <v>0</v>
      </c>
      <c r="V46" s="9">
        <f t="shared" si="9"/>
        <v>0</v>
      </c>
      <c r="W46" s="9">
        <f t="shared" si="9"/>
        <v>0</v>
      </c>
      <c r="X46" s="9">
        <f t="shared" si="9"/>
        <v>0</v>
      </c>
      <c r="Y46" s="9">
        <f t="shared" si="9"/>
        <v>0</v>
      </c>
      <c r="Z46" s="9">
        <f t="shared" si="9"/>
        <v>0</v>
      </c>
      <c r="AA46" s="9">
        <f t="shared" si="9"/>
        <v>0</v>
      </c>
      <c r="AB46" s="9">
        <f t="shared" si="9"/>
        <v>0</v>
      </c>
      <c r="AC46" s="9">
        <f t="shared" si="9"/>
        <v>0</v>
      </c>
      <c r="AD46" s="9">
        <f t="shared" si="9"/>
        <v>0</v>
      </c>
      <c r="AE46" s="9"/>
      <c r="AF46" s="9">
        <f>SUM(AF39:AF45)</f>
        <v>0</v>
      </c>
      <c r="AG46" s="9"/>
      <c r="AH46" s="9">
        <f>SUM(AH39:AH45)</f>
        <v>0</v>
      </c>
      <c r="AI46" s="9"/>
      <c r="AJ46" s="9">
        <f t="shared" ref="AJ46:BT46" si="10">SUM(AJ39:AJ45)</f>
        <v>0</v>
      </c>
      <c r="AK46" s="9">
        <f t="shared" si="10"/>
        <v>0</v>
      </c>
      <c r="AL46" s="9">
        <f t="shared" si="10"/>
        <v>0</v>
      </c>
      <c r="AM46" s="9">
        <f t="shared" si="10"/>
        <v>0</v>
      </c>
      <c r="AN46" s="9">
        <f t="shared" si="10"/>
        <v>0</v>
      </c>
      <c r="AO46" s="9">
        <f t="shared" si="10"/>
        <v>0</v>
      </c>
      <c r="AP46" s="9">
        <f t="shared" si="10"/>
        <v>862088</v>
      </c>
      <c r="AQ46" s="9">
        <f t="shared" si="10"/>
        <v>0</v>
      </c>
      <c r="AR46" s="9">
        <f t="shared" si="10"/>
        <v>636689</v>
      </c>
      <c r="AS46" s="9">
        <f t="shared" si="10"/>
        <v>0</v>
      </c>
      <c r="AT46" s="9">
        <f t="shared" si="10"/>
        <v>1727562</v>
      </c>
      <c r="AU46" s="9">
        <f t="shared" si="10"/>
        <v>0</v>
      </c>
      <c r="AV46" s="9">
        <f t="shared" si="10"/>
        <v>0</v>
      </c>
      <c r="AW46" s="9">
        <f t="shared" si="10"/>
        <v>0</v>
      </c>
      <c r="AX46" s="9">
        <f t="shared" si="10"/>
        <v>1128996</v>
      </c>
      <c r="AY46" s="9">
        <f t="shared" si="10"/>
        <v>0</v>
      </c>
      <c r="AZ46" s="9">
        <f t="shared" si="10"/>
        <v>0</v>
      </c>
      <c r="BA46" s="9">
        <f t="shared" si="10"/>
        <v>0</v>
      </c>
      <c r="BB46" s="9">
        <f t="shared" si="10"/>
        <v>0</v>
      </c>
      <c r="BC46" s="9">
        <f t="shared" si="10"/>
        <v>0</v>
      </c>
      <c r="BD46" s="9">
        <f t="shared" si="10"/>
        <v>0</v>
      </c>
      <c r="BE46" s="9">
        <f t="shared" si="10"/>
        <v>0</v>
      </c>
      <c r="BF46" s="9">
        <f t="shared" si="10"/>
        <v>0</v>
      </c>
      <c r="BG46" s="9">
        <f t="shared" si="10"/>
        <v>0</v>
      </c>
      <c r="BH46" s="9">
        <f t="shared" si="10"/>
        <v>0</v>
      </c>
      <c r="BI46" s="9">
        <f t="shared" si="10"/>
        <v>0</v>
      </c>
      <c r="BJ46" s="9">
        <f t="shared" si="10"/>
        <v>0</v>
      </c>
      <c r="BK46" s="9">
        <f t="shared" si="10"/>
        <v>0</v>
      </c>
      <c r="BL46" s="9">
        <f t="shared" si="10"/>
        <v>4355335</v>
      </c>
      <c r="BM46" s="9">
        <f t="shared" si="10"/>
        <v>0</v>
      </c>
      <c r="BN46" s="9">
        <f t="shared" si="10"/>
        <v>-1499047</v>
      </c>
      <c r="BO46" s="9">
        <f t="shared" si="10"/>
        <v>0</v>
      </c>
      <c r="BP46" s="9">
        <f t="shared" si="10"/>
        <v>13014656</v>
      </c>
      <c r="BQ46" s="9">
        <f t="shared" si="10"/>
        <v>0</v>
      </c>
      <c r="BR46" s="9">
        <f t="shared" si="10"/>
        <v>17369991</v>
      </c>
      <c r="BS46" s="9">
        <f t="shared" si="10"/>
        <v>0</v>
      </c>
      <c r="BT46" s="9">
        <f t="shared" si="10"/>
        <v>1245769</v>
      </c>
      <c r="BU46" s="9"/>
    </row>
    <row r="47" spans="1:73">
      <c r="A47" s="57"/>
      <c r="B47" s="234"/>
      <c r="C47"/>
      <c r="D47"/>
      <c r="E47"/>
      <c r="F47"/>
      <c r="G47"/>
      <c r="H47"/>
      <c r="I47"/>
      <c r="J47" s="49"/>
      <c r="K47"/>
      <c r="L47" s="134"/>
      <c r="M47" s="6"/>
      <c r="O47" s="6"/>
      <c r="Q47" s="6"/>
      <c r="S47" s="6"/>
      <c r="T47" s="6"/>
      <c r="U47" s="6"/>
      <c r="V47" s="6"/>
      <c r="X47" s="6"/>
      <c r="Z47" s="6"/>
      <c r="AB47" s="6"/>
      <c r="AD47" s="6"/>
      <c r="AI47"/>
      <c r="BJ47" s="6"/>
      <c r="BK47" s="6"/>
      <c r="BM47" s="6"/>
      <c r="BN47" s="6"/>
      <c r="BO47" s="6"/>
      <c r="BU47" s="6"/>
    </row>
    <row r="48" spans="1:73">
      <c r="B48" s="21" t="s">
        <v>301</v>
      </c>
      <c r="C48"/>
      <c r="D48"/>
      <c r="E48"/>
      <c r="F48"/>
      <c r="G48"/>
      <c r="H48"/>
      <c r="I48"/>
      <c r="J48" s="49"/>
      <c r="K48"/>
      <c r="L48" s="134"/>
      <c r="M48" s="6"/>
      <c r="O48" s="6"/>
      <c r="Q48" s="6"/>
      <c r="S48" s="6"/>
      <c r="T48" s="6"/>
      <c r="U48" s="6"/>
      <c r="V48" s="6"/>
      <c r="X48" s="6"/>
      <c r="Z48" s="6"/>
      <c r="AB48" s="6"/>
      <c r="AD48" s="6"/>
      <c r="AI48"/>
      <c r="BJ48" s="6"/>
      <c r="BK48" s="6"/>
      <c r="BM48" s="6"/>
      <c r="BN48" s="6"/>
      <c r="BO48" s="6"/>
      <c r="BU48" s="6"/>
    </row>
    <row r="49" spans="1:73">
      <c r="A49"/>
      <c r="B49" s="233" t="s">
        <v>536</v>
      </c>
      <c r="C49"/>
      <c r="D49"/>
      <c r="E49"/>
      <c r="F49"/>
      <c r="G49"/>
      <c r="H49"/>
      <c r="I49"/>
      <c r="J49" s="49" t="s">
        <v>229</v>
      </c>
      <c r="K49"/>
      <c r="L49" s="134"/>
      <c r="M49" s="6"/>
      <c r="O49" s="6"/>
      <c r="Q49" s="6"/>
      <c r="R49" s="235">
        <v>410304</v>
      </c>
      <c r="S49" s="6"/>
      <c r="T49" s="6"/>
      <c r="U49" s="6"/>
      <c r="V49" s="6"/>
      <c r="X49" s="6"/>
      <c r="Z49" s="6"/>
      <c r="AB49" s="6"/>
      <c r="AD49" s="6"/>
      <c r="AI49"/>
      <c r="AR49" s="6">
        <v>10115</v>
      </c>
      <c r="AT49" s="6">
        <f>92620-10115</f>
        <v>82505</v>
      </c>
      <c r="AX49" s="6">
        <f>347139-92620</f>
        <v>254519</v>
      </c>
      <c r="BJ49" s="6"/>
      <c r="BK49" s="6"/>
      <c r="BL49" s="6">
        <f>SUM(T49:BK49)</f>
        <v>347139</v>
      </c>
      <c r="BM49" s="6"/>
      <c r="BN49" s="6">
        <f>431520-410304</f>
        <v>21216</v>
      </c>
      <c r="BO49" s="6"/>
      <c r="BP49" s="6">
        <f>IF(+R49-BL49+BN49&gt;0,R49-BL49+BN49,0)</f>
        <v>84381</v>
      </c>
      <c r="BR49" s="6">
        <f>+BL49+BP49</f>
        <v>431520</v>
      </c>
      <c r="BT49" s="6">
        <f>+R49-BR49</f>
        <v>-21216</v>
      </c>
      <c r="BU49" s="6"/>
    </row>
    <row r="50" spans="1:73">
      <c r="A50"/>
      <c r="B50" s="233" t="s">
        <v>537</v>
      </c>
      <c r="C50"/>
      <c r="D50"/>
      <c r="E50"/>
      <c r="F50"/>
      <c r="G50"/>
      <c r="H50"/>
      <c r="I50"/>
      <c r="J50" s="49" t="s">
        <v>229</v>
      </c>
      <c r="K50"/>
      <c r="L50" s="134"/>
      <c r="M50" s="6"/>
      <c r="O50" s="6"/>
      <c r="Q50" s="6"/>
      <c r="R50" s="235">
        <v>4987110</v>
      </c>
      <c r="S50" s="6"/>
      <c r="T50" s="6"/>
      <c r="U50" s="6"/>
      <c r="V50" s="6"/>
      <c r="X50" s="6"/>
      <c r="Z50" s="6"/>
      <c r="AB50" s="6"/>
      <c r="AD50" s="6"/>
      <c r="AI50"/>
      <c r="AR50" s="6">
        <f>32997+239169+447</f>
        <v>272613</v>
      </c>
      <c r="AT50" s="6">
        <f>136407-32997+424960+187089+246544+650+1151</f>
        <v>963804</v>
      </c>
      <c r="AX50" s="6">
        <f>2851195-1236417</f>
        <v>1614778</v>
      </c>
      <c r="BJ50" s="6"/>
      <c r="BK50" s="6"/>
      <c r="BL50" s="6">
        <f>SUM(T50:BK50)</f>
        <v>2851195</v>
      </c>
      <c r="BM50" s="6"/>
      <c r="BN50" s="6">
        <f>5669687-4987110</f>
        <v>682577</v>
      </c>
      <c r="BO50" s="6"/>
      <c r="BP50" s="6">
        <f>IF(+R50-BL50+BN50&gt;0,R50-BL50+BN50,0)</f>
        <v>2818492</v>
      </c>
      <c r="BR50" s="6">
        <f>+BL50+BP50</f>
        <v>5669687</v>
      </c>
      <c r="BT50" s="6">
        <f>+R50-BR50</f>
        <v>-682577</v>
      </c>
      <c r="BU50" s="6"/>
    </row>
    <row r="51" spans="1:73">
      <c r="A51"/>
      <c r="B51" s="233" t="s">
        <v>19</v>
      </c>
      <c r="C51"/>
      <c r="D51"/>
      <c r="E51"/>
      <c r="F51"/>
      <c r="G51"/>
      <c r="H51"/>
      <c r="I51"/>
      <c r="J51" s="49" t="s">
        <v>229</v>
      </c>
      <c r="K51"/>
      <c r="L51" s="134"/>
      <c r="M51" s="6"/>
      <c r="O51" s="6"/>
      <c r="Q51" s="6"/>
      <c r="R51" s="235">
        <v>786663</v>
      </c>
      <c r="S51" s="6"/>
      <c r="T51" s="6"/>
      <c r="U51" s="6"/>
      <c r="V51" s="6"/>
      <c r="X51" s="6"/>
      <c r="Z51" s="6"/>
      <c r="AB51" s="6"/>
      <c r="AD51" s="6"/>
      <c r="AI51"/>
      <c r="AP51" s="6">
        <v>3301</v>
      </c>
      <c r="AT51" s="6">
        <f>40398+33588</f>
        <v>73986</v>
      </c>
      <c r="AX51" s="6">
        <f>524003-77287</f>
        <v>446716</v>
      </c>
      <c r="BJ51" s="6"/>
      <c r="BK51" s="6"/>
      <c r="BL51" s="6">
        <f>SUM(T51:BK51)</f>
        <v>524003</v>
      </c>
      <c r="BM51" s="6"/>
      <c r="BN51" s="6">
        <f>851083-786663</f>
        <v>64420</v>
      </c>
      <c r="BO51" s="6"/>
      <c r="BP51" s="6">
        <f>IF(+R51-BL51+BN51&gt;0,R51-BL51+BN51,0)</f>
        <v>327080</v>
      </c>
      <c r="BR51" s="6">
        <f>+BL51+BP51</f>
        <v>851083</v>
      </c>
      <c r="BT51" s="6">
        <f>+R51-BR51</f>
        <v>-64420</v>
      </c>
      <c r="BU51" s="6"/>
    </row>
    <row r="52" spans="1:73">
      <c r="A52"/>
      <c r="B52" s="233" t="s">
        <v>538</v>
      </c>
      <c r="C52"/>
      <c r="D52"/>
      <c r="E52"/>
      <c r="F52"/>
      <c r="G52"/>
      <c r="H52"/>
      <c r="I52"/>
      <c r="J52" s="49" t="s">
        <v>229</v>
      </c>
      <c r="K52"/>
      <c r="L52" s="134"/>
      <c r="M52" s="6"/>
      <c r="O52" s="6"/>
      <c r="Q52" s="6"/>
      <c r="R52" s="235">
        <v>654500</v>
      </c>
      <c r="S52" s="6"/>
      <c r="T52" s="6"/>
      <c r="U52" s="6"/>
      <c r="V52" s="6"/>
      <c r="X52" s="6"/>
      <c r="Z52" s="6"/>
      <c r="AB52" s="6"/>
      <c r="AD52" s="6"/>
      <c r="AI52"/>
      <c r="AR52" s="6">
        <v>63890</v>
      </c>
      <c r="AT52" s="6">
        <v>331326</v>
      </c>
      <c r="AX52" s="6">
        <f>744472-395216</f>
        <v>349256</v>
      </c>
      <c r="BJ52" s="6"/>
      <c r="BK52" s="6"/>
      <c r="BL52" s="6">
        <f>SUM(T52:BK52)</f>
        <v>744472</v>
      </c>
      <c r="BM52" s="6"/>
      <c r="BN52" s="6">
        <f>720933-654500</f>
        <v>66433</v>
      </c>
      <c r="BO52" s="6"/>
      <c r="BP52" s="6">
        <f>IF(+R52-BL52+BN52&gt;0,R52-BL52+BN52,0)</f>
        <v>0</v>
      </c>
      <c r="BR52" s="6">
        <f>+BL52+BP52</f>
        <v>744472</v>
      </c>
      <c r="BT52" s="6">
        <f>+R52-BR52</f>
        <v>-89972</v>
      </c>
      <c r="BU52" s="6"/>
    </row>
    <row r="53" spans="1:73" s="21" customFormat="1">
      <c r="B53" s="236" t="s">
        <v>302</v>
      </c>
      <c r="J53" s="8"/>
      <c r="L53" s="143" t="s">
        <v>202</v>
      </c>
      <c r="M53" s="9"/>
      <c r="N53" s="9">
        <v>0</v>
      </c>
      <c r="O53" s="9"/>
      <c r="P53" s="9">
        <v>0</v>
      </c>
      <c r="Q53" s="9"/>
      <c r="R53" s="9">
        <f t="shared" ref="R53:AD53" si="11">SUM(R49:R52)</f>
        <v>6838577</v>
      </c>
      <c r="S53" s="9">
        <f t="shared" si="11"/>
        <v>0</v>
      </c>
      <c r="T53" s="9">
        <f t="shared" si="11"/>
        <v>0</v>
      </c>
      <c r="U53" s="9">
        <f t="shared" si="11"/>
        <v>0</v>
      </c>
      <c r="V53" s="9">
        <f t="shared" si="11"/>
        <v>0</v>
      </c>
      <c r="W53" s="9">
        <f t="shared" si="11"/>
        <v>0</v>
      </c>
      <c r="X53" s="9">
        <f t="shared" si="11"/>
        <v>0</v>
      </c>
      <c r="Y53" s="9">
        <f t="shared" si="11"/>
        <v>0</v>
      </c>
      <c r="Z53" s="9">
        <f t="shared" si="11"/>
        <v>0</v>
      </c>
      <c r="AA53" s="9">
        <f t="shared" si="11"/>
        <v>0</v>
      </c>
      <c r="AB53" s="9">
        <f t="shared" si="11"/>
        <v>0</v>
      </c>
      <c r="AC53" s="9">
        <f t="shared" si="11"/>
        <v>0</v>
      </c>
      <c r="AD53" s="9">
        <f t="shared" si="11"/>
        <v>0</v>
      </c>
      <c r="AE53" s="9"/>
      <c r="AF53" s="9">
        <f>SUM(AF49:AF52)</f>
        <v>0</v>
      </c>
      <c r="AG53" s="9"/>
      <c r="AH53" s="9">
        <f>SUM(AH49:AH52)</f>
        <v>0</v>
      </c>
      <c r="AI53" s="9"/>
      <c r="AJ53" s="9">
        <f t="shared" ref="AJ53:BT53" si="12">SUM(AJ49:AJ52)</f>
        <v>0</v>
      </c>
      <c r="AK53" s="9">
        <f t="shared" si="12"/>
        <v>0</v>
      </c>
      <c r="AL53" s="9">
        <f t="shared" si="12"/>
        <v>0</v>
      </c>
      <c r="AM53" s="9">
        <f t="shared" si="12"/>
        <v>0</v>
      </c>
      <c r="AN53" s="9">
        <f t="shared" si="12"/>
        <v>0</v>
      </c>
      <c r="AO53" s="9">
        <f t="shared" si="12"/>
        <v>0</v>
      </c>
      <c r="AP53" s="9">
        <f t="shared" si="12"/>
        <v>3301</v>
      </c>
      <c r="AQ53" s="9">
        <f t="shared" si="12"/>
        <v>0</v>
      </c>
      <c r="AR53" s="9">
        <f t="shared" si="12"/>
        <v>346618</v>
      </c>
      <c r="AS53" s="9">
        <f t="shared" si="12"/>
        <v>0</v>
      </c>
      <c r="AT53" s="9">
        <f t="shared" si="12"/>
        <v>1451621</v>
      </c>
      <c r="AU53" s="9">
        <f t="shared" si="12"/>
        <v>0</v>
      </c>
      <c r="AV53" s="9">
        <f t="shared" si="12"/>
        <v>0</v>
      </c>
      <c r="AW53" s="9">
        <f t="shared" si="12"/>
        <v>0</v>
      </c>
      <c r="AX53" s="9">
        <f t="shared" si="12"/>
        <v>2665269</v>
      </c>
      <c r="AY53" s="9">
        <f t="shared" si="12"/>
        <v>0</v>
      </c>
      <c r="AZ53" s="9">
        <f t="shared" si="12"/>
        <v>0</v>
      </c>
      <c r="BA53" s="9">
        <f t="shared" si="12"/>
        <v>0</v>
      </c>
      <c r="BB53" s="9">
        <f t="shared" si="12"/>
        <v>0</v>
      </c>
      <c r="BC53" s="9">
        <f t="shared" si="12"/>
        <v>0</v>
      </c>
      <c r="BD53" s="9">
        <f t="shared" si="12"/>
        <v>0</v>
      </c>
      <c r="BE53" s="9">
        <f t="shared" si="12"/>
        <v>0</v>
      </c>
      <c r="BF53" s="9">
        <f t="shared" si="12"/>
        <v>0</v>
      </c>
      <c r="BG53" s="9">
        <f t="shared" si="12"/>
        <v>0</v>
      </c>
      <c r="BH53" s="9">
        <f t="shared" si="12"/>
        <v>0</v>
      </c>
      <c r="BI53" s="9">
        <f t="shared" si="12"/>
        <v>0</v>
      </c>
      <c r="BJ53" s="9">
        <f t="shared" si="12"/>
        <v>0</v>
      </c>
      <c r="BK53" s="9">
        <f t="shared" si="12"/>
        <v>0</v>
      </c>
      <c r="BL53" s="9">
        <f t="shared" si="12"/>
        <v>4466809</v>
      </c>
      <c r="BM53" s="9">
        <f t="shared" si="12"/>
        <v>0</v>
      </c>
      <c r="BN53" s="9">
        <f t="shared" si="12"/>
        <v>834646</v>
      </c>
      <c r="BO53" s="9">
        <f t="shared" si="12"/>
        <v>0</v>
      </c>
      <c r="BP53" s="9">
        <f t="shared" si="12"/>
        <v>3229953</v>
      </c>
      <c r="BQ53" s="9">
        <f t="shared" si="12"/>
        <v>0</v>
      </c>
      <c r="BR53" s="9">
        <f t="shared" si="12"/>
        <v>7696762</v>
      </c>
      <c r="BS53" s="9">
        <f t="shared" si="12"/>
        <v>0</v>
      </c>
      <c r="BT53" s="9">
        <f t="shared" si="12"/>
        <v>-858185</v>
      </c>
      <c r="BU53" s="9"/>
    </row>
    <row r="54" spans="1:73" s="21" customFormat="1">
      <c r="B54" s="236"/>
      <c r="J54" s="8"/>
      <c r="L54" s="143"/>
      <c r="M54" s="9"/>
      <c r="N54" s="9"/>
      <c r="O54" s="9"/>
      <c r="P54" s="9"/>
      <c r="Q54" s="9"/>
      <c r="R54" s="9"/>
      <c r="S54" s="9"/>
      <c r="T54" s="9"/>
      <c r="U54" s="9"/>
      <c r="V54" s="9"/>
      <c r="W54" s="9"/>
      <c r="X54" s="9"/>
      <c r="Y54" s="9"/>
      <c r="Z54" s="9"/>
      <c r="AA54" s="9"/>
      <c r="AB54" s="9"/>
      <c r="AC54" s="9"/>
      <c r="AD54" s="9"/>
      <c r="AE54" s="9"/>
      <c r="AF54" s="9"/>
      <c r="AG54" s="9"/>
      <c r="AH54" s="9"/>
      <c r="AJ54" s="9"/>
      <c r="AL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row>
    <row r="55" spans="1:73" s="21" customFormat="1">
      <c r="B55" s="237" t="s">
        <v>314</v>
      </c>
      <c r="J55" s="8"/>
      <c r="L55" s="143"/>
      <c r="M55" s="9"/>
      <c r="N55" s="9"/>
      <c r="O55" s="9"/>
      <c r="P55" s="9"/>
      <c r="Q55" s="9"/>
      <c r="R55" s="9"/>
      <c r="S55" s="9"/>
      <c r="T55" s="9"/>
      <c r="U55" s="9"/>
      <c r="V55" s="9"/>
      <c r="W55" s="9"/>
      <c r="X55" s="9"/>
      <c r="Y55" s="9"/>
      <c r="Z55" s="9"/>
      <c r="AA55" s="9"/>
      <c r="AB55" s="9"/>
      <c r="AC55" s="9"/>
      <c r="AD55" s="9"/>
      <c r="AE55" s="9"/>
      <c r="AF55" s="9"/>
      <c r="AG55" s="9"/>
      <c r="AH55" s="9"/>
      <c r="AJ55" s="9"/>
      <c r="AL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row>
    <row r="56" spans="1:73" s="21" customFormat="1">
      <c r="B56" s="238" t="s">
        <v>303</v>
      </c>
      <c r="J56" s="8"/>
      <c r="L56" s="143"/>
      <c r="M56" s="9"/>
      <c r="N56" s="9"/>
      <c r="O56" s="9"/>
      <c r="P56" s="9"/>
      <c r="Q56" s="9"/>
      <c r="R56" s="235">
        <f>1331509+1001489</f>
        <v>2332998</v>
      </c>
      <c r="S56" s="9"/>
      <c r="T56" s="9"/>
      <c r="U56" s="9"/>
      <c r="V56" s="9"/>
      <c r="W56" s="9"/>
      <c r="X56" s="9"/>
      <c r="Y56" s="9"/>
      <c r="Z56" s="9"/>
      <c r="AA56" s="9"/>
      <c r="AB56" s="9"/>
      <c r="AC56" s="9"/>
      <c r="AD56" s="9"/>
      <c r="AE56" s="9"/>
      <c r="AF56" s="9"/>
      <c r="AG56" s="9"/>
      <c r="AH56" s="9"/>
      <c r="AJ56" s="9"/>
      <c r="AL56" s="9"/>
      <c r="AN56" s="9"/>
      <c r="AO56" s="9"/>
      <c r="AP56" s="9"/>
      <c r="AQ56" s="9"/>
      <c r="AR56" s="6">
        <v>949522</v>
      </c>
      <c r="AS56" s="9"/>
      <c r="AT56" s="6">
        <f>976794-949522</f>
        <v>27272</v>
      </c>
      <c r="AU56" s="9"/>
      <c r="AV56" s="9"/>
      <c r="AW56" s="9"/>
      <c r="AX56" s="6">
        <v>2274</v>
      </c>
      <c r="AY56" s="9"/>
      <c r="AZ56" s="9"/>
      <c r="BA56" s="9"/>
      <c r="BB56" s="9"/>
      <c r="BC56" s="9"/>
      <c r="BD56" s="9"/>
      <c r="BE56" s="9"/>
      <c r="BF56" s="9"/>
      <c r="BG56" s="9"/>
      <c r="BH56" s="9"/>
      <c r="BI56" s="9"/>
      <c r="BJ56" s="9"/>
      <c r="BK56" s="9"/>
      <c r="BL56" s="6">
        <f t="shared" ref="BL56:BL78" si="13">SUM(T56:BK56)</f>
        <v>979068</v>
      </c>
      <c r="BM56" s="9"/>
      <c r="BN56" s="6">
        <f>1029131+1708681-2332998</f>
        <v>404814</v>
      </c>
      <c r="BO56" s="9"/>
      <c r="BP56" s="6">
        <f>IF(+R56-BL56+BN56&gt;0,R56-BL56+BN56,0)</f>
        <v>1758744</v>
      </c>
      <c r="BQ56" s="6"/>
      <c r="BR56" s="6">
        <f>+BL56+BP56</f>
        <v>2737812</v>
      </c>
      <c r="BS56" s="6"/>
      <c r="BT56" s="6">
        <f>+R56-BR56</f>
        <v>-404814</v>
      </c>
      <c r="BU56" s="9"/>
    </row>
    <row r="57" spans="1:73" s="21" customFormat="1">
      <c r="B57" s="238" t="s">
        <v>304</v>
      </c>
      <c r="J57" s="8"/>
      <c r="L57" s="143"/>
      <c r="M57" s="9"/>
      <c r="N57" s="9"/>
      <c r="O57" s="9"/>
      <c r="P57" s="9"/>
      <c r="Q57" s="9"/>
      <c r="R57" s="235">
        <v>497417</v>
      </c>
      <c r="S57" s="9"/>
      <c r="T57" s="9"/>
      <c r="U57" s="9"/>
      <c r="V57" s="9"/>
      <c r="W57" s="9"/>
      <c r="X57" s="9"/>
      <c r="Y57" s="9"/>
      <c r="Z57" s="9"/>
      <c r="AA57" s="9"/>
      <c r="AB57" s="9"/>
      <c r="AC57" s="9"/>
      <c r="AD57" s="9"/>
      <c r="AE57" s="9"/>
      <c r="AF57" s="9"/>
      <c r="AG57" s="9"/>
      <c r="AH57" s="9"/>
      <c r="AJ57" s="9"/>
      <c r="AL57" s="9"/>
      <c r="AN57" s="9"/>
      <c r="AO57" s="9"/>
      <c r="AP57" s="9"/>
      <c r="AQ57" s="9"/>
      <c r="AR57" s="6">
        <v>133215</v>
      </c>
      <c r="AS57" s="9"/>
      <c r="AT57" s="6">
        <f>261726-133215</f>
        <v>128511</v>
      </c>
      <c r="AU57" s="9"/>
      <c r="AV57" s="9"/>
      <c r="AW57" s="9"/>
      <c r="AX57" s="6">
        <f>1322243-261726</f>
        <v>1060517</v>
      </c>
      <c r="AY57" s="9"/>
      <c r="AZ57" s="9"/>
      <c r="BA57" s="9"/>
      <c r="BB57" s="9"/>
      <c r="BC57" s="9"/>
      <c r="BD57" s="9"/>
      <c r="BE57" s="9"/>
      <c r="BF57" s="9"/>
      <c r="BG57" s="9"/>
      <c r="BH57" s="9"/>
      <c r="BI57" s="9"/>
      <c r="BJ57" s="9"/>
      <c r="BK57" s="9"/>
      <c r="BL57" s="6">
        <f>SUM(T57:BK57)</f>
        <v>1322243</v>
      </c>
      <c r="BM57" s="9"/>
      <c r="BN57" s="6">
        <f>561934-497417</f>
        <v>64517</v>
      </c>
      <c r="BO57" s="9"/>
      <c r="BP57" s="6">
        <f>IF(+R57-BL57+BN57&gt;0,R57-BL57+BN57,0)</f>
        <v>0</v>
      </c>
      <c r="BQ57" s="6"/>
      <c r="BR57" s="6">
        <f>+BL57+BP57</f>
        <v>1322243</v>
      </c>
      <c r="BS57" s="6"/>
      <c r="BT57" s="6">
        <f>+R57-BR57</f>
        <v>-824826</v>
      </c>
      <c r="BU57" s="9"/>
    </row>
    <row r="58" spans="1:73" s="21" customFormat="1">
      <c r="B58" s="238" t="s">
        <v>539</v>
      </c>
      <c r="J58" s="8"/>
      <c r="L58" s="143"/>
      <c r="M58" s="9"/>
      <c r="N58" s="9"/>
      <c r="O58" s="9"/>
      <c r="P58" s="9"/>
      <c r="Q58" s="9"/>
      <c r="R58" s="235">
        <v>834305</v>
      </c>
      <c r="S58" s="9"/>
      <c r="T58" s="9"/>
      <c r="U58" s="9"/>
      <c r="V58" s="9"/>
      <c r="W58" s="9"/>
      <c r="X58" s="9"/>
      <c r="Y58" s="9"/>
      <c r="Z58" s="9"/>
      <c r="AA58" s="9"/>
      <c r="AB58" s="9"/>
      <c r="AC58" s="9"/>
      <c r="AD58" s="9"/>
      <c r="AE58" s="9"/>
      <c r="AF58" s="9"/>
      <c r="AG58" s="9"/>
      <c r="AH58" s="9"/>
      <c r="AJ58" s="9"/>
      <c r="AL58" s="9"/>
      <c r="AN58" s="9"/>
      <c r="AO58" s="9"/>
      <c r="AP58" s="9"/>
      <c r="AQ58" s="9"/>
      <c r="AR58" s="6">
        <v>725</v>
      </c>
      <c r="AS58" s="9"/>
      <c r="AT58" s="6">
        <v>936926</v>
      </c>
      <c r="AU58" s="9"/>
      <c r="AV58" s="9"/>
      <c r="AW58" s="9"/>
      <c r="AX58" s="6">
        <f>1423431-937651</f>
        <v>485780</v>
      </c>
      <c r="AY58" s="9"/>
      <c r="AZ58" s="9"/>
      <c r="BA58" s="9"/>
      <c r="BB58" s="9"/>
      <c r="BC58" s="9"/>
      <c r="BD58" s="9"/>
      <c r="BE58" s="9"/>
      <c r="BF58" s="9"/>
      <c r="BG58" s="9"/>
      <c r="BH58" s="9"/>
      <c r="BI58" s="9"/>
      <c r="BJ58" s="9"/>
      <c r="BK58" s="9"/>
      <c r="BL58" s="6">
        <f>SUM(T58:BK58)</f>
        <v>1423431</v>
      </c>
      <c r="BM58" s="9"/>
      <c r="BN58" s="6">
        <f>2160163-834305</f>
        <v>1325858</v>
      </c>
      <c r="BO58" s="9"/>
      <c r="BP58" s="6">
        <f>IF(+R58-BL58+BN58&gt;0,R58-BL58+BN58,0)</f>
        <v>736732</v>
      </c>
      <c r="BQ58" s="6"/>
      <c r="BR58" s="6">
        <f>+BL58+BP58</f>
        <v>2160163</v>
      </c>
      <c r="BS58" s="6"/>
      <c r="BT58" s="6">
        <f>+R58-BR58</f>
        <v>-1325858</v>
      </c>
      <c r="BU58" s="9"/>
    </row>
    <row r="59" spans="1:73" s="21" customFormat="1">
      <c r="B59" s="238" t="s">
        <v>540</v>
      </c>
      <c r="J59" s="8"/>
      <c r="L59" s="143"/>
      <c r="M59" s="9"/>
      <c r="N59" s="9"/>
      <c r="O59" s="9"/>
      <c r="P59" s="9"/>
      <c r="Q59" s="9"/>
      <c r="R59" s="235">
        <v>718539</v>
      </c>
      <c r="S59" s="9"/>
      <c r="T59" s="9"/>
      <c r="U59" s="9"/>
      <c r="V59" s="9"/>
      <c r="W59" s="9"/>
      <c r="X59" s="9"/>
      <c r="Y59" s="9"/>
      <c r="Z59" s="9"/>
      <c r="AA59" s="9"/>
      <c r="AB59" s="9"/>
      <c r="AC59" s="9"/>
      <c r="AD59" s="9"/>
      <c r="AE59" s="9"/>
      <c r="AF59" s="9"/>
      <c r="AG59" s="9"/>
      <c r="AH59" s="9"/>
      <c r="AJ59" s="9"/>
      <c r="AL59" s="9"/>
      <c r="AN59" s="9"/>
      <c r="AO59" s="9"/>
      <c r="AP59" s="9"/>
      <c r="AQ59" s="9"/>
      <c r="AR59" s="6">
        <v>6350</v>
      </c>
      <c r="AS59" s="9"/>
      <c r="AT59" s="6">
        <f>561632-6350</f>
        <v>555282</v>
      </c>
      <c r="AU59" s="9"/>
      <c r="AV59" s="9"/>
      <c r="AW59" s="9"/>
      <c r="AX59" s="6">
        <f>1006302-561632</f>
        <v>444670</v>
      </c>
      <c r="AY59" s="9"/>
      <c r="AZ59" s="9"/>
      <c r="BA59" s="9"/>
      <c r="BB59" s="9"/>
      <c r="BC59" s="9"/>
      <c r="BD59" s="9"/>
      <c r="BE59" s="9"/>
      <c r="BF59" s="9"/>
      <c r="BG59" s="9"/>
      <c r="BH59" s="9"/>
      <c r="BI59" s="9"/>
      <c r="BJ59" s="9"/>
      <c r="BK59" s="9"/>
      <c r="BL59" s="6">
        <f t="shared" si="13"/>
        <v>1006302</v>
      </c>
      <c r="BM59" s="9"/>
      <c r="BN59" s="6">
        <f>1338879-718539</f>
        <v>620340</v>
      </c>
      <c r="BO59" s="9"/>
      <c r="BP59" s="6">
        <f t="shared" ref="BP59:BP77" si="14">IF(+R59-BL59+BN59&gt;0,R59-BL59+BN59,0)</f>
        <v>332577</v>
      </c>
      <c r="BQ59" s="6"/>
      <c r="BR59" s="6">
        <f t="shared" ref="BR59:BR78" si="15">+BL59+BP59</f>
        <v>1338879</v>
      </c>
      <c r="BS59" s="6"/>
      <c r="BT59" s="6">
        <f t="shared" ref="BT59:BT78" si="16">+R59-BR59</f>
        <v>-620340</v>
      </c>
      <c r="BU59" s="9"/>
    </row>
    <row r="60" spans="1:73" s="21" customFormat="1">
      <c r="B60" s="238" t="s">
        <v>305</v>
      </c>
      <c r="J60" s="8"/>
      <c r="L60" s="143"/>
      <c r="M60" s="9"/>
      <c r="N60" s="9"/>
      <c r="O60" s="9"/>
      <c r="P60" s="9"/>
      <c r="Q60" s="9"/>
      <c r="R60" s="235">
        <v>453000</v>
      </c>
      <c r="S60" s="9"/>
      <c r="T60" s="9"/>
      <c r="U60" s="9"/>
      <c r="V60" s="9"/>
      <c r="W60" s="9"/>
      <c r="X60" s="9"/>
      <c r="Y60" s="9"/>
      <c r="Z60" s="9"/>
      <c r="AA60" s="9"/>
      <c r="AB60" s="9"/>
      <c r="AC60" s="9"/>
      <c r="AD60" s="9"/>
      <c r="AE60" s="9"/>
      <c r="AF60" s="9"/>
      <c r="AG60" s="9"/>
      <c r="AH60" s="9"/>
      <c r="AJ60" s="9"/>
      <c r="AL60" s="9"/>
      <c r="AN60" s="9"/>
      <c r="AO60" s="9"/>
      <c r="AP60" s="9"/>
      <c r="AQ60" s="9"/>
      <c r="AR60" s="6">
        <v>103285</v>
      </c>
      <c r="AS60" s="9"/>
      <c r="AT60" s="6">
        <f>168329-103285</f>
        <v>65044</v>
      </c>
      <c r="AU60" s="9"/>
      <c r="AV60" s="9"/>
      <c r="AW60" s="9"/>
      <c r="AX60" s="6">
        <f>234316-168329</f>
        <v>65987</v>
      </c>
      <c r="AY60" s="9"/>
      <c r="AZ60" s="9"/>
      <c r="BA60" s="9"/>
      <c r="BB60" s="9"/>
      <c r="BC60" s="9"/>
      <c r="BD60" s="9"/>
      <c r="BE60" s="9"/>
      <c r="BF60" s="9"/>
      <c r="BG60" s="9"/>
      <c r="BH60" s="9"/>
      <c r="BI60" s="9"/>
      <c r="BJ60" s="9"/>
      <c r="BK60" s="9"/>
      <c r="BL60" s="6">
        <f>SUM(T60:BK60)</f>
        <v>234316</v>
      </c>
      <c r="BM60" s="9"/>
      <c r="BN60" s="6">
        <f>553270-453000</f>
        <v>100270</v>
      </c>
      <c r="BO60" s="9"/>
      <c r="BP60" s="6">
        <f>IF(+R60-BL60+BN60&gt;0,R60-BL60+BN60,0)</f>
        <v>318954</v>
      </c>
      <c r="BQ60" s="6"/>
      <c r="BR60" s="6">
        <f>+BL60+BP60</f>
        <v>553270</v>
      </c>
      <c r="BS60" s="6"/>
      <c r="BT60" s="6">
        <f>+R60-BR60</f>
        <v>-100270</v>
      </c>
      <c r="BU60" s="9"/>
    </row>
    <row r="61" spans="1:73" s="21" customFormat="1">
      <c r="B61" s="238" t="s">
        <v>546</v>
      </c>
      <c r="J61" s="8"/>
      <c r="L61" s="143"/>
      <c r="M61" s="9"/>
      <c r="N61" s="9"/>
      <c r="O61" s="9"/>
      <c r="P61" s="9"/>
      <c r="Q61" s="9"/>
      <c r="R61" s="235">
        <v>2265021</v>
      </c>
      <c r="S61" s="9"/>
      <c r="T61" s="9"/>
      <c r="U61" s="9"/>
      <c r="V61" s="9"/>
      <c r="W61" s="9"/>
      <c r="X61" s="9"/>
      <c r="Y61" s="9"/>
      <c r="Z61" s="9"/>
      <c r="AA61" s="9"/>
      <c r="AB61" s="9"/>
      <c r="AC61" s="9"/>
      <c r="AD61" s="9"/>
      <c r="AE61" s="9"/>
      <c r="AF61" s="9"/>
      <c r="AG61" s="9"/>
      <c r="AH61" s="9"/>
      <c r="AJ61" s="9"/>
      <c r="AL61" s="9"/>
      <c r="AN61" s="9"/>
      <c r="AO61" s="9"/>
      <c r="AP61" s="9"/>
      <c r="AQ61" s="9"/>
      <c r="AR61" s="6">
        <v>644530</v>
      </c>
      <c r="AS61" s="9"/>
      <c r="AT61" s="6">
        <v>1379020</v>
      </c>
      <c r="AU61" s="9"/>
      <c r="AV61" s="9"/>
      <c r="AW61" s="9"/>
      <c r="AX61" s="6">
        <f>3209322-2023550</f>
        <v>1185772</v>
      </c>
      <c r="AY61" s="9"/>
      <c r="AZ61" s="9"/>
      <c r="BA61" s="9"/>
      <c r="BB61" s="9"/>
      <c r="BC61" s="9"/>
      <c r="BD61" s="9"/>
      <c r="BE61" s="9"/>
      <c r="BF61" s="9"/>
      <c r="BG61" s="9"/>
      <c r="BH61" s="9"/>
      <c r="BI61" s="9"/>
      <c r="BJ61" s="9"/>
      <c r="BK61" s="9"/>
      <c r="BL61" s="6">
        <f t="shared" si="13"/>
        <v>3209322</v>
      </c>
      <c r="BM61" s="9"/>
      <c r="BN61" s="6">
        <f>3504693-2265021</f>
        <v>1239672</v>
      </c>
      <c r="BO61" s="9"/>
      <c r="BP61" s="6">
        <f t="shared" si="14"/>
        <v>295371</v>
      </c>
      <c r="BQ61" s="6"/>
      <c r="BR61" s="6">
        <f t="shared" si="15"/>
        <v>3504693</v>
      </c>
      <c r="BS61" s="6"/>
      <c r="BT61" s="6">
        <f t="shared" si="16"/>
        <v>-1239672</v>
      </c>
      <c r="BU61" s="9"/>
    </row>
    <row r="62" spans="1:73" s="21" customFormat="1">
      <c r="B62" s="238" t="s">
        <v>306</v>
      </c>
      <c r="J62" s="8"/>
      <c r="L62" s="143"/>
      <c r="M62" s="9"/>
      <c r="N62" s="9"/>
      <c r="O62" s="9"/>
      <c r="P62" s="9"/>
      <c r="Q62" s="9"/>
      <c r="R62" s="235">
        <v>1150462</v>
      </c>
      <c r="S62" s="9"/>
      <c r="T62" s="9"/>
      <c r="U62" s="9"/>
      <c r="V62" s="9"/>
      <c r="W62" s="9"/>
      <c r="X62" s="9"/>
      <c r="Y62" s="9"/>
      <c r="Z62" s="9"/>
      <c r="AA62" s="9"/>
      <c r="AB62" s="9"/>
      <c r="AC62" s="9"/>
      <c r="AD62" s="9"/>
      <c r="AE62" s="9"/>
      <c r="AF62" s="9"/>
      <c r="AG62" s="9"/>
      <c r="AH62" s="9"/>
      <c r="AJ62" s="9"/>
      <c r="AL62" s="9"/>
      <c r="AN62" s="9"/>
      <c r="AO62" s="9"/>
      <c r="AP62" s="9"/>
      <c r="AQ62" s="9"/>
      <c r="AR62" s="6">
        <v>508620</v>
      </c>
      <c r="AS62" s="9"/>
      <c r="AT62" s="6">
        <f>1062094-508620</f>
        <v>553474</v>
      </c>
      <c r="AU62" s="9"/>
      <c r="AV62" s="9"/>
      <c r="AW62" s="9"/>
      <c r="AX62" s="6">
        <f>1254696-1062094</f>
        <v>192602</v>
      </c>
      <c r="AY62" s="9"/>
      <c r="AZ62" s="9"/>
      <c r="BA62" s="9"/>
      <c r="BB62" s="9"/>
      <c r="BC62" s="9"/>
      <c r="BD62" s="9"/>
      <c r="BE62" s="9"/>
      <c r="BF62" s="9"/>
      <c r="BG62" s="9"/>
      <c r="BH62" s="9"/>
      <c r="BI62" s="9"/>
      <c r="BJ62" s="9"/>
      <c r="BK62" s="9"/>
      <c r="BL62" s="6">
        <f>SUM(T62:BK62)</f>
        <v>1254696</v>
      </c>
      <c r="BM62" s="9"/>
      <c r="BN62" s="6">
        <f>1395395-1150462</f>
        <v>244933</v>
      </c>
      <c r="BO62" s="9"/>
      <c r="BP62" s="6">
        <f>IF(+R62-BL62+BN62&gt;0,R62-BL62+BN62,0)</f>
        <v>140699</v>
      </c>
      <c r="BQ62" s="6"/>
      <c r="BR62" s="6">
        <f>+BL62+BP62</f>
        <v>1395395</v>
      </c>
      <c r="BS62" s="6"/>
      <c r="BT62" s="6">
        <f>+R62-BR62</f>
        <v>-244933</v>
      </c>
      <c r="BU62" s="9"/>
    </row>
    <row r="63" spans="1:73" s="21" customFormat="1">
      <c r="B63" s="238" t="s">
        <v>541</v>
      </c>
      <c r="J63" s="8"/>
      <c r="L63" s="143"/>
      <c r="M63" s="9"/>
      <c r="N63" s="9"/>
      <c r="O63" s="9"/>
      <c r="P63" s="9"/>
      <c r="Q63" s="9"/>
      <c r="R63" s="235">
        <v>189949</v>
      </c>
      <c r="S63" s="9"/>
      <c r="T63" s="9"/>
      <c r="U63" s="9"/>
      <c r="V63" s="9"/>
      <c r="W63" s="9"/>
      <c r="X63" s="9"/>
      <c r="Y63" s="9"/>
      <c r="Z63" s="9"/>
      <c r="AA63" s="9"/>
      <c r="AB63" s="9"/>
      <c r="AC63" s="9"/>
      <c r="AD63" s="9"/>
      <c r="AE63" s="9"/>
      <c r="AF63" s="9"/>
      <c r="AG63" s="9"/>
      <c r="AH63" s="9"/>
      <c r="AJ63" s="9"/>
      <c r="AL63" s="9"/>
      <c r="AN63" s="9"/>
      <c r="AO63" s="9"/>
      <c r="AP63" s="9"/>
      <c r="AQ63" s="9"/>
      <c r="AR63" s="6">
        <v>0</v>
      </c>
      <c r="AS63" s="9"/>
      <c r="AT63" s="6">
        <v>52828</v>
      </c>
      <c r="AU63" s="9"/>
      <c r="AV63" s="9"/>
      <c r="AW63" s="9"/>
      <c r="AX63" s="6">
        <f>288972-52828</f>
        <v>236144</v>
      </c>
      <c r="AY63" s="9"/>
      <c r="AZ63" s="9"/>
      <c r="BA63" s="9"/>
      <c r="BB63" s="9"/>
      <c r="BC63" s="9"/>
      <c r="BD63" s="9"/>
      <c r="BE63" s="9"/>
      <c r="BF63" s="9"/>
      <c r="BG63" s="9"/>
      <c r="BH63" s="9"/>
      <c r="BI63" s="9"/>
      <c r="BJ63" s="9"/>
      <c r="BK63" s="9"/>
      <c r="BL63" s="6">
        <f t="shared" si="13"/>
        <v>288972</v>
      </c>
      <c r="BM63" s="9"/>
      <c r="BN63" s="6">
        <f>1039312-189949</f>
        <v>849363</v>
      </c>
      <c r="BO63" s="9"/>
      <c r="BP63" s="6">
        <f t="shared" si="14"/>
        <v>750340</v>
      </c>
      <c r="BQ63" s="6"/>
      <c r="BR63" s="6">
        <f t="shared" si="15"/>
        <v>1039312</v>
      </c>
      <c r="BS63" s="6"/>
      <c r="BT63" s="6">
        <f t="shared" si="16"/>
        <v>-849363</v>
      </c>
      <c r="BU63" s="9"/>
    </row>
    <row r="64" spans="1:73" s="21" customFormat="1">
      <c r="B64" s="238" t="s">
        <v>545</v>
      </c>
      <c r="J64" s="8"/>
      <c r="L64" s="143"/>
      <c r="M64" s="9"/>
      <c r="N64" s="9"/>
      <c r="O64" s="9"/>
      <c r="P64" s="9"/>
      <c r="Q64" s="9"/>
      <c r="R64" s="235">
        <v>77621</v>
      </c>
      <c r="S64" s="9"/>
      <c r="T64" s="9"/>
      <c r="U64" s="9"/>
      <c r="V64" s="9"/>
      <c r="W64" s="9"/>
      <c r="X64" s="9"/>
      <c r="Y64" s="9"/>
      <c r="Z64" s="9"/>
      <c r="AA64" s="9"/>
      <c r="AB64" s="9"/>
      <c r="AC64" s="9"/>
      <c r="AD64" s="9"/>
      <c r="AE64" s="9"/>
      <c r="AF64" s="9"/>
      <c r="AG64" s="9"/>
      <c r="AH64" s="9"/>
      <c r="AJ64" s="9"/>
      <c r="AL64" s="9"/>
      <c r="AN64" s="9"/>
      <c r="AO64" s="9"/>
      <c r="AP64" s="9"/>
      <c r="AQ64" s="9"/>
      <c r="AR64" s="6">
        <v>4214</v>
      </c>
      <c r="AS64" s="9"/>
      <c r="AT64" s="6">
        <f>11626-4214</f>
        <v>7412</v>
      </c>
      <c r="AU64" s="9"/>
      <c r="AV64" s="9"/>
      <c r="AW64" s="9"/>
      <c r="AX64" s="6">
        <f>15618-11626</f>
        <v>3992</v>
      </c>
      <c r="AY64" s="9"/>
      <c r="AZ64" s="9"/>
      <c r="BA64" s="9"/>
      <c r="BB64" s="9"/>
      <c r="BC64" s="9"/>
      <c r="BD64" s="9"/>
      <c r="BE64" s="9"/>
      <c r="BF64" s="9"/>
      <c r="BG64" s="9"/>
      <c r="BH64" s="9"/>
      <c r="BI64" s="9"/>
      <c r="BJ64" s="9"/>
      <c r="BK64" s="9"/>
      <c r="BL64" s="6">
        <f>SUM(T64:BK64)</f>
        <v>15618</v>
      </c>
      <c r="BM64" s="9"/>
      <c r="BN64" s="6">
        <v>0</v>
      </c>
      <c r="BO64" s="9"/>
      <c r="BP64" s="6">
        <f>IF(+R64-BL64+BN64&gt;0,R64-BL64+BN64,0)</f>
        <v>62003</v>
      </c>
      <c r="BQ64" s="6"/>
      <c r="BR64" s="6">
        <f>+BL64+BP64</f>
        <v>77621</v>
      </c>
      <c r="BS64" s="6"/>
      <c r="BT64" s="6">
        <f>+R64-BR64</f>
        <v>0</v>
      </c>
      <c r="BU64" s="9"/>
    </row>
    <row r="65" spans="2:73" s="21" customFormat="1">
      <c r="B65" s="238" t="s">
        <v>307</v>
      </c>
      <c r="J65" s="8"/>
      <c r="L65" s="143"/>
      <c r="M65" s="9"/>
      <c r="N65" s="9"/>
      <c r="O65" s="9"/>
      <c r="P65" s="9"/>
      <c r="Q65" s="9"/>
      <c r="R65" s="235">
        <v>144437</v>
      </c>
      <c r="S65" s="9"/>
      <c r="T65" s="9"/>
      <c r="U65" s="9"/>
      <c r="V65" s="9"/>
      <c r="W65" s="9"/>
      <c r="X65" s="9"/>
      <c r="Y65" s="9"/>
      <c r="Z65" s="9"/>
      <c r="AA65" s="9"/>
      <c r="AB65" s="9"/>
      <c r="AC65" s="9"/>
      <c r="AD65" s="9"/>
      <c r="AE65" s="9"/>
      <c r="AF65" s="9"/>
      <c r="AG65" s="9"/>
      <c r="AH65" s="9"/>
      <c r="AJ65" s="9"/>
      <c r="AL65" s="9"/>
      <c r="AN65" s="9"/>
      <c r="AO65" s="9"/>
      <c r="AP65" s="9"/>
      <c r="AQ65" s="9"/>
      <c r="AR65" s="6">
        <v>0</v>
      </c>
      <c r="AS65" s="9"/>
      <c r="AT65" s="6">
        <v>0</v>
      </c>
      <c r="AU65" s="9"/>
      <c r="AV65" s="9"/>
      <c r="AW65" s="9"/>
      <c r="AX65" s="6">
        <f>86250-0</f>
        <v>86250</v>
      </c>
      <c r="AY65" s="9"/>
      <c r="AZ65" s="9"/>
      <c r="BA65" s="9"/>
      <c r="BB65" s="9"/>
      <c r="BC65" s="9"/>
      <c r="BD65" s="9"/>
      <c r="BE65" s="9"/>
      <c r="BF65" s="9"/>
      <c r="BG65" s="9"/>
      <c r="BH65" s="9"/>
      <c r="BI65" s="9"/>
      <c r="BJ65" s="9"/>
      <c r="BK65" s="9"/>
      <c r="BL65" s="6">
        <f t="shared" si="13"/>
        <v>86250</v>
      </c>
      <c r="BM65" s="9"/>
      <c r="BN65" s="6">
        <f>600727-144437</f>
        <v>456290</v>
      </c>
      <c r="BO65" s="9"/>
      <c r="BP65" s="6">
        <f t="shared" si="14"/>
        <v>514477</v>
      </c>
      <c r="BQ65" s="6"/>
      <c r="BR65" s="6">
        <f t="shared" si="15"/>
        <v>600727</v>
      </c>
      <c r="BS65" s="6"/>
      <c r="BT65" s="6">
        <f t="shared" si="16"/>
        <v>-456290</v>
      </c>
      <c r="BU65" s="9"/>
    </row>
    <row r="66" spans="2:73" s="21" customFormat="1">
      <c r="B66" s="238" t="s">
        <v>308</v>
      </c>
      <c r="J66" s="8"/>
      <c r="L66" s="143"/>
      <c r="M66" s="9"/>
      <c r="N66" s="9"/>
      <c r="O66" s="9"/>
      <c r="P66" s="9"/>
      <c r="Q66" s="9"/>
      <c r="R66" s="235">
        <v>327314</v>
      </c>
      <c r="S66" s="9"/>
      <c r="T66" s="9"/>
      <c r="U66" s="9"/>
      <c r="V66" s="9"/>
      <c r="W66" s="9"/>
      <c r="X66" s="9"/>
      <c r="Y66" s="9"/>
      <c r="Z66" s="9"/>
      <c r="AA66" s="9"/>
      <c r="AB66" s="9"/>
      <c r="AC66" s="9"/>
      <c r="AD66" s="9"/>
      <c r="AE66" s="9"/>
      <c r="AF66" s="9"/>
      <c r="AG66" s="9"/>
      <c r="AH66" s="9"/>
      <c r="AJ66" s="9"/>
      <c r="AL66" s="9"/>
      <c r="AN66" s="9"/>
      <c r="AO66" s="9"/>
      <c r="AP66" s="9"/>
      <c r="AQ66" s="9"/>
      <c r="AR66" s="6">
        <v>85468</v>
      </c>
      <c r="AS66" s="9"/>
      <c r="AT66" s="6">
        <v>1</v>
      </c>
      <c r="AU66" s="9"/>
      <c r="AV66" s="9"/>
      <c r="AW66" s="9"/>
      <c r="AX66" s="6">
        <f>194633-85469</f>
        <v>109164</v>
      </c>
      <c r="AY66" s="9"/>
      <c r="AZ66" s="9"/>
      <c r="BA66" s="9"/>
      <c r="BB66" s="9"/>
      <c r="BC66" s="9"/>
      <c r="BD66" s="9"/>
      <c r="BE66" s="9"/>
      <c r="BF66" s="9"/>
      <c r="BG66" s="9"/>
      <c r="BH66" s="9"/>
      <c r="BI66" s="9"/>
      <c r="BJ66" s="9"/>
      <c r="BK66" s="9"/>
      <c r="BL66" s="6">
        <f>SUM(T66:BK66)</f>
        <v>194633</v>
      </c>
      <c r="BM66" s="9"/>
      <c r="BN66" s="6">
        <f>334564-327314</f>
        <v>7250</v>
      </c>
      <c r="BO66" s="9"/>
      <c r="BP66" s="6">
        <f>IF(+R66-BL66+BN66&gt;0,R66-BL66+BN66,0)</f>
        <v>139931</v>
      </c>
      <c r="BQ66" s="6"/>
      <c r="BR66" s="6">
        <f>+BL66+BP66</f>
        <v>334564</v>
      </c>
      <c r="BS66" s="6"/>
      <c r="BT66" s="6">
        <f>+R66-BR66</f>
        <v>-7250</v>
      </c>
      <c r="BU66" s="9"/>
    </row>
    <row r="67" spans="2:73" s="21" customFormat="1">
      <c r="B67" s="238" t="s">
        <v>309</v>
      </c>
      <c r="J67" s="8"/>
      <c r="L67" s="143"/>
      <c r="M67" s="9"/>
      <c r="N67" s="9"/>
      <c r="O67" s="9"/>
      <c r="P67" s="9"/>
      <c r="Q67" s="9"/>
      <c r="R67" s="235">
        <v>330460</v>
      </c>
      <c r="S67" s="9"/>
      <c r="T67" s="9"/>
      <c r="U67" s="9"/>
      <c r="V67" s="9"/>
      <c r="W67" s="9"/>
      <c r="X67" s="9"/>
      <c r="Y67" s="9"/>
      <c r="Z67" s="9"/>
      <c r="AA67" s="9"/>
      <c r="AB67" s="9"/>
      <c r="AC67" s="9"/>
      <c r="AD67" s="9"/>
      <c r="AE67" s="9"/>
      <c r="AF67" s="9"/>
      <c r="AG67" s="9"/>
      <c r="AH67" s="9"/>
      <c r="AJ67" s="9"/>
      <c r="AL67" s="9"/>
      <c r="AN67" s="9"/>
      <c r="AO67" s="9"/>
      <c r="AP67" s="9"/>
      <c r="AQ67" s="9"/>
      <c r="AR67" s="6">
        <v>0</v>
      </c>
      <c r="AS67" s="9"/>
      <c r="AT67" s="6"/>
      <c r="AU67" s="9"/>
      <c r="AV67" s="9"/>
      <c r="AW67" s="9"/>
      <c r="AX67" s="6">
        <v>204390</v>
      </c>
      <c r="AY67" s="9"/>
      <c r="AZ67" s="9"/>
      <c r="BA67" s="9"/>
      <c r="BB67" s="9"/>
      <c r="BC67" s="9"/>
      <c r="BD67" s="9"/>
      <c r="BE67" s="9"/>
      <c r="BF67" s="9"/>
      <c r="BG67" s="9"/>
      <c r="BH67" s="9"/>
      <c r="BI67" s="9"/>
      <c r="BJ67" s="9"/>
      <c r="BK67" s="9"/>
      <c r="BL67" s="6">
        <f t="shared" si="13"/>
        <v>204390</v>
      </c>
      <c r="BM67" s="9"/>
      <c r="BN67" s="6">
        <f>4071-330460</f>
        <v>-326389</v>
      </c>
      <c r="BO67" s="9"/>
      <c r="BP67" s="6">
        <f t="shared" si="14"/>
        <v>0</v>
      </c>
      <c r="BQ67" s="6"/>
      <c r="BR67" s="6">
        <f t="shared" si="15"/>
        <v>204390</v>
      </c>
      <c r="BS67" s="6"/>
      <c r="BT67" s="6">
        <f t="shared" si="16"/>
        <v>126070</v>
      </c>
      <c r="BU67" s="9"/>
    </row>
    <row r="68" spans="2:73" s="21" customFormat="1">
      <c r="B68" s="238" t="s">
        <v>542</v>
      </c>
      <c r="J68" s="8"/>
      <c r="L68" s="143"/>
      <c r="M68" s="9"/>
      <c r="N68" s="9"/>
      <c r="O68" s="9"/>
      <c r="P68" s="9"/>
      <c r="Q68" s="9"/>
      <c r="R68" s="235">
        <v>808591</v>
      </c>
      <c r="S68" s="9"/>
      <c r="T68" s="9"/>
      <c r="U68" s="9"/>
      <c r="V68" s="9"/>
      <c r="W68" s="9"/>
      <c r="X68" s="9"/>
      <c r="Y68" s="9"/>
      <c r="Z68" s="9"/>
      <c r="AA68" s="9"/>
      <c r="AB68" s="9"/>
      <c r="AC68" s="9"/>
      <c r="AD68" s="9"/>
      <c r="AE68" s="9"/>
      <c r="AF68" s="9"/>
      <c r="AG68" s="9"/>
      <c r="AH68" s="9"/>
      <c r="AJ68" s="9"/>
      <c r="AL68" s="9"/>
      <c r="AN68" s="9"/>
      <c r="AO68" s="9"/>
      <c r="AP68" s="9"/>
      <c r="AQ68" s="9"/>
      <c r="AR68" s="6">
        <v>0</v>
      </c>
      <c r="AS68" s="9"/>
      <c r="AT68" s="6">
        <v>92600</v>
      </c>
      <c r="AU68" s="9"/>
      <c r="AV68" s="9"/>
      <c r="AW68" s="9"/>
      <c r="AX68" s="6">
        <f>150560-92600</f>
        <v>57960</v>
      </c>
      <c r="AY68" s="9"/>
      <c r="AZ68" s="9"/>
      <c r="BA68" s="9"/>
      <c r="BB68" s="9"/>
      <c r="BC68" s="9"/>
      <c r="BD68" s="9"/>
      <c r="BE68" s="9"/>
      <c r="BF68" s="9"/>
      <c r="BG68" s="9"/>
      <c r="BH68" s="9"/>
      <c r="BI68" s="9"/>
      <c r="BJ68" s="9"/>
      <c r="BK68" s="9"/>
      <c r="BL68" s="6">
        <f t="shared" si="13"/>
        <v>150560</v>
      </c>
      <c r="BM68" s="9"/>
      <c r="BN68" s="6">
        <f>870591-808591</f>
        <v>62000</v>
      </c>
      <c r="BO68" s="9"/>
      <c r="BP68" s="6">
        <f t="shared" si="14"/>
        <v>720031</v>
      </c>
      <c r="BQ68" s="6"/>
      <c r="BR68" s="6">
        <f t="shared" si="15"/>
        <v>870591</v>
      </c>
      <c r="BS68" s="6"/>
      <c r="BT68" s="6">
        <f t="shared" si="16"/>
        <v>-62000</v>
      </c>
      <c r="BU68" s="9"/>
    </row>
    <row r="69" spans="2:73" s="21" customFormat="1">
      <c r="B69" s="238" t="s">
        <v>543</v>
      </c>
      <c r="J69" s="8"/>
      <c r="L69" s="143"/>
      <c r="M69" s="9"/>
      <c r="N69" s="9"/>
      <c r="O69" s="9"/>
      <c r="P69" s="9"/>
      <c r="Q69" s="9"/>
      <c r="R69" s="235">
        <v>858343</v>
      </c>
      <c r="S69" s="9"/>
      <c r="T69" s="9"/>
      <c r="U69" s="9"/>
      <c r="V69" s="9"/>
      <c r="W69" s="9"/>
      <c r="X69" s="9"/>
      <c r="Y69" s="9"/>
      <c r="Z69" s="9"/>
      <c r="AA69" s="9"/>
      <c r="AB69" s="9"/>
      <c r="AC69" s="9"/>
      <c r="AD69" s="9"/>
      <c r="AE69" s="9"/>
      <c r="AF69" s="9"/>
      <c r="AG69" s="9"/>
      <c r="AH69" s="9"/>
      <c r="AJ69" s="9"/>
      <c r="AL69" s="9"/>
      <c r="AN69" s="9"/>
      <c r="AO69" s="9"/>
      <c r="AP69" s="9"/>
      <c r="AQ69" s="9"/>
      <c r="AR69" s="6">
        <v>0</v>
      </c>
      <c r="AS69" s="9"/>
      <c r="AT69" s="6">
        <f>44379+1584</f>
        <v>45963</v>
      </c>
      <c r="AU69" s="9"/>
      <c r="AV69" s="9"/>
      <c r="AW69" s="9"/>
      <c r="AX69" s="6">
        <f>358585-45963</f>
        <v>312622</v>
      </c>
      <c r="AY69" s="9"/>
      <c r="AZ69" s="9"/>
      <c r="BA69" s="9"/>
      <c r="BB69" s="9"/>
      <c r="BC69" s="9"/>
      <c r="BD69" s="9"/>
      <c r="BE69" s="9"/>
      <c r="BF69" s="9"/>
      <c r="BG69" s="9"/>
      <c r="BH69" s="9"/>
      <c r="BI69" s="9"/>
      <c r="BJ69" s="9"/>
      <c r="BK69" s="9"/>
      <c r="BL69" s="6">
        <f t="shared" si="13"/>
        <v>358585</v>
      </c>
      <c r="BM69" s="9"/>
      <c r="BN69" s="6">
        <f>1874965-858343</f>
        <v>1016622</v>
      </c>
      <c r="BO69" s="9"/>
      <c r="BP69" s="6">
        <f t="shared" si="14"/>
        <v>1516380</v>
      </c>
      <c r="BQ69" s="6"/>
      <c r="BR69" s="6">
        <f t="shared" si="15"/>
        <v>1874965</v>
      </c>
      <c r="BS69" s="6"/>
      <c r="BT69" s="6">
        <f t="shared" si="16"/>
        <v>-1016622</v>
      </c>
      <c r="BU69" s="9"/>
    </row>
    <row r="70" spans="2:73" s="21" customFormat="1">
      <c r="B70" s="238" t="s">
        <v>544</v>
      </c>
      <c r="J70" s="8"/>
      <c r="L70" s="143"/>
      <c r="M70" s="9"/>
      <c r="N70" s="9"/>
      <c r="O70" s="9"/>
      <c r="P70" s="9"/>
      <c r="Q70" s="9"/>
      <c r="R70" s="235">
        <v>1745515</v>
      </c>
      <c r="S70" s="9"/>
      <c r="T70" s="9"/>
      <c r="U70" s="9"/>
      <c r="V70" s="9"/>
      <c r="W70" s="9"/>
      <c r="X70" s="9"/>
      <c r="Y70" s="9"/>
      <c r="Z70" s="9"/>
      <c r="AA70" s="9"/>
      <c r="AB70" s="9"/>
      <c r="AC70" s="9"/>
      <c r="AD70" s="9"/>
      <c r="AE70" s="9"/>
      <c r="AF70" s="9"/>
      <c r="AG70" s="9"/>
      <c r="AH70" s="9"/>
      <c r="AJ70" s="9"/>
      <c r="AL70" s="9"/>
      <c r="AN70" s="9"/>
      <c r="AO70" s="9"/>
      <c r="AP70" s="9"/>
      <c r="AQ70" s="9"/>
      <c r="AR70" s="6"/>
      <c r="AS70" s="9"/>
      <c r="AT70" s="6">
        <v>46290</v>
      </c>
      <c r="AU70" s="9"/>
      <c r="AV70" s="9"/>
      <c r="AW70" s="9"/>
      <c r="AX70" s="6">
        <f>1227338-46290</f>
        <v>1181048</v>
      </c>
      <c r="AY70" s="9"/>
      <c r="AZ70" s="9"/>
      <c r="BA70" s="9"/>
      <c r="BB70" s="9"/>
      <c r="BC70" s="9"/>
      <c r="BD70" s="9"/>
      <c r="BE70" s="9"/>
      <c r="BF70" s="9"/>
      <c r="BG70" s="9"/>
      <c r="BH70" s="9"/>
      <c r="BI70" s="9"/>
      <c r="BJ70" s="9"/>
      <c r="BK70" s="9"/>
      <c r="BL70" s="6">
        <f t="shared" si="13"/>
        <v>1227338</v>
      </c>
      <c r="BM70" s="9"/>
      <c r="BN70" s="6">
        <f>6493941-1745515</f>
        <v>4748426</v>
      </c>
      <c r="BO70" s="9"/>
      <c r="BP70" s="6">
        <f t="shared" si="14"/>
        <v>5266603</v>
      </c>
      <c r="BQ70" s="6"/>
      <c r="BR70" s="6">
        <f t="shared" si="15"/>
        <v>6493941</v>
      </c>
      <c r="BS70" s="6"/>
      <c r="BT70" s="6">
        <f t="shared" si="16"/>
        <v>-4748426</v>
      </c>
      <c r="BU70" s="9"/>
    </row>
    <row r="71" spans="2:73" s="21" customFormat="1">
      <c r="B71" s="238" t="s">
        <v>311</v>
      </c>
      <c r="J71" s="8"/>
      <c r="L71" s="143"/>
      <c r="M71" s="9"/>
      <c r="N71" s="9"/>
      <c r="O71" s="9"/>
      <c r="P71" s="9"/>
      <c r="Q71" s="9"/>
      <c r="R71" s="235">
        <v>571564</v>
      </c>
      <c r="S71" s="9"/>
      <c r="T71" s="9"/>
      <c r="U71" s="9"/>
      <c r="V71" s="9"/>
      <c r="W71" s="9"/>
      <c r="X71" s="9"/>
      <c r="Y71" s="9"/>
      <c r="Z71" s="9"/>
      <c r="AA71" s="9"/>
      <c r="AB71" s="9"/>
      <c r="AC71" s="9"/>
      <c r="AD71" s="9"/>
      <c r="AE71" s="9"/>
      <c r="AF71" s="9"/>
      <c r="AG71" s="9"/>
      <c r="AH71" s="9"/>
      <c r="AJ71" s="9"/>
      <c r="AL71" s="9"/>
      <c r="AN71" s="9"/>
      <c r="AO71" s="9"/>
      <c r="AP71" s="9"/>
      <c r="AQ71" s="9"/>
      <c r="AR71" s="6"/>
      <c r="AS71" s="9"/>
      <c r="AT71" s="6">
        <v>526</v>
      </c>
      <c r="AU71" s="9"/>
      <c r="AV71" s="9"/>
      <c r="AW71" s="9"/>
      <c r="AX71" s="6">
        <f>32975-526</f>
        <v>32449</v>
      </c>
      <c r="AY71" s="9"/>
      <c r="AZ71" s="9"/>
      <c r="BA71" s="9"/>
      <c r="BB71" s="9"/>
      <c r="BC71" s="9"/>
      <c r="BD71" s="9"/>
      <c r="BE71" s="9"/>
      <c r="BF71" s="9"/>
      <c r="BG71" s="9"/>
      <c r="BH71" s="9"/>
      <c r="BI71" s="9"/>
      <c r="BJ71" s="9"/>
      <c r="BK71" s="9"/>
      <c r="BL71" s="6">
        <f t="shared" si="13"/>
        <v>32975</v>
      </c>
      <c r="BM71" s="9"/>
      <c r="BN71" s="6">
        <f>447503-571564</f>
        <v>-124061</v>
      </c>
      <c r="BO71" s="9"/>
      <c r="BP71" s="6">
        <f t="shared" si="14"/>
        <v>414528</v>
      </c>
      <c r="BQ71" s="6"/>
      <c r="BR71" s="6">
        <f t="shared" si="15"/>
        <v>447503</v>
      </c>
      <c r="BS71" s="6"/>
      <c r="BT71" s="6">
        <f t="shared" si="16"/>
        <v>124061</v>
      </c>
      <c r="BU71" s="9"/>
    </row>
    <row r="72" spans="2:73" s="21" customFormat="1">
      <c r="B72" s="238" t="s">
        <v>312</v>
      </c>
      <c r="J72" s="8"/>
      <c r="L72" s="143"/>
      <c r="M72" s="9"/>
      <c r="N72" s="9"/>
      <c r="O72" s="9"/>
      <c r="P72" s="9"/>
      <c r="Q72" s="9"/>
      <c r="R72" s="235">
        <f>581625+350016</f>
        <v>931641</v>
      </c>
      <c r="S72" s="9"/>
      <c r="T72" s="9"/>
      <c r="U72" s="9"/>
      <c r="V72" s="9"/>
      <c r="W72" s="9"/>
      <c r="X72" s="9"/>
      <c r="Y72" s="9"/>
      <c r="Z72" s="9"/>
      <c r="AA72" s="9"/>
      <c r="AB72" s="9"/>
      <c r="AC72" s="9"/>
      <c r="AD72" s="9"/>
      <c r="AE72" s="9"/>
      <c r="AF72" s="9"/>
      <c r="AG72" s="9"/>
      <c r="AH72" s="9"/>
      <c r="AJ72" s="9"/>
      <c r="AL72" s="9"/>
      <c r="AN72" s="9"/>
      <c r="AO72" s="9"/>
      <c r="AP72" s="9"/>
      <c r="AQ72" s="9"/>
      <c r="AR72" s="6"/>
      <c r="AS72" s="9"/>
      <c r="AT72" s="6">
        <v>0</v>
      </c>
      <c r="AU72" s="9"/>
      <c r="AV72" s="9"/>
      <c r="AW72" s="9"/>
      <c r="AX72" s="6"/>
      <c r="AY72" s="9"/>
      <c r="AZ72" s="9"/>
      <c r="BA72" s="9"/>
      <c r="BB72" s="9"/>
      <c r="BC72" s="9"/>
      <c r="BD72" s="9"/>
      <c r="BE72" s="9"/>
      <c r="BF72" s="9"/>
      <c r="BG72" s="9"/>
      <c r="BH72" s="9"/>
      <c r="BI72" s="9"/>
      <c r="BJ72" s="9"/>
      <c r="BK72" s="9"/>
      <c r="BL72" s="6">
        <f t="shared" si="13"/>
        <v>0</v>
      </c>
      <c r="BM72" s="9"/>
      <c r="BN72" s="6">
        <f>590892+351016-931641</f>
        <v>10267</v>
      </c>
      <c r="BO72" s="9"/>
      <c r="BP72" s="6">
        <f t="shared" si="14"/>
        <v>941908</v>
      </c>
      <c r="BQ72" s="6"/>
      <c r="BR72" s="6">
        <f t="shared" si="15"/>
        <v>941908</v>
      </c>
      <c r="BS72" s="6"/>
      <c r="BT72" s="6">
        <f t="shared" si="16"/>
        <v>-10267</v>
      </c>
      <c r="BU72" s="9"/>
    </row>
    <row r="73" spans="2:73" s="21" customFormat="1">
      <c r="B73" s="238" t="s">
        <v>548</v>
      </c>
      <c r="J73" s="8"/>
      <c r="L73" s="143"/>
      <c r="M73" s="9"/>
      <c r="N73" s="9"/>
      <c r="O73" s="9"/>
      <c r="P73" s="9"/>
      <c r="Q73" s="9"/>
      <c r="R73" s="235">
        <v>6297865</v>
      </c>
      <c r="S73" s="9"/>
      <c r="T73" s="9"/>
      <c r="U73" s="9"/>
      <c r="V73" s="9"/>
      <c r="W73" s="9"/>
      <c r="X73" s="9"/>
      <c r="Y73" s="9"/>
      <c r="Z73" s="9"/>
      <c r="AA73" s="9"/>
      <c r="AB73" s="9"/>
      <c r="AC73" s="9"/>
      <c r="AD73" s="9"/>
      <c r="AE73" s="9"/>
      <c r="AF73" s="9"/>
      <c r="AG73" s="9"/>
      <c r="AH73" s="9"/>
      <c r="AJ73" s="9"/>
      <c r="AL73" s="9"/>
      <c r="AN73" s="9"/>
      <c r="AO73" s="9"/>
      <c r="AP73" s="9"/>
      <c r="AQ73" s="9"/>
      <c r="AR73" s="6">
        <v>134000</v>
      </c>
      <c r="AS73" s="9"/>
      <c r="AT73" s="6">
        <f>537131+88400</f>
        <v>625531</v>
      </c>
      <c r="AU73" s="9"/>
      <c r="AV73" s="9"/>
      <c r="AW73" s="9"/>
      <c r="AX73" s="6">
        <f>3951728-759531</f>
        <v>3192197</v>
      </c>
      <c r="AY73" s="9"/>
      <c r="AZ73" s="9"/>
      <c r="BA73" s="9"/>
      <c r="BB73" s="9"/>
      <c r="BC73" s="9"/>
      <c r="BD73" s="9"/>
      <c r="BE73" s="9"/>
      <c r="BF73" s="9"/>
      <c r="BG73" s="9"/>
      <c r="BH73" s="9"/>
      <c r="BI73" s="9"/>
      <c r="BJ73" s="9"/>
      <c r="BK73" s="9"/>
      <c r="BL73" s="6">
        <f t="shared" si="13"/>
        <v>3951728</v>
      </c>
      <c r="BM73" s="9"/>
      <c r="BN73" s="6">
        <f>17384211-6297865</f>
        <v>11086346</v>
      </c>
      <c r="BO73" s="9"/>
      <c r="BP73" s="6">
        <f t="shared" si="14"/>
        <v>13432483</v>
      </c>
      <c r="BQ73" s="6"/>
      <c r="BR73" s="6">
        <f t="shared" si="15"/>
        <v>17384211</v>
      </c>
      <c r="BS73" s="6"/>
      <c r="BT73" s="6">
        <f t="shared" si="16"/>
        <v>-11086346</v>
      </c>
      <c r="BU73" s="9"/>
    </row>
    <row r="74" spans="2:73" s="21" customFormat="1">
      <c r="B74" s="238" t="s">
        <v>547</v>
      </c>
      <c r="J74" s="8"/>
      <c r="L74" s="143"/>
      <c r="M74" s="9"/>
      <c r="N74" s="9"/>
      <c r="O74" s="9"/>
      <c r="P74" s="9"/>
      <c r="Q74" s="9"/>
      <c r="R74" s="235">
        <v>868340</v>
      </c>
      <c r="S74" s="9"/>
      <c r="T74" s="9"/>
      <c r="U74" s="9"/>
      <c r="V74" s="9"/>
      <c r="W74" s="9"/>
      <c r="X74" s="9"/>
      <c r="Y74" s="9"/>
      <c r="Z74" s="9"/>
      <c r="AA74" s="9"/>
      <c r="AB74" s="9"/>
      <c r="AC74" s="9"/>
      <c r="AD74" s="9"/>
      <c r="AE74" s="9"/>
      <c r="AF74" s="9"/>
      <c r="AG74" s="9"/>
      <c r="AH74" s="9"/>
      <c r="AJ74" s="9"/>
      <c r="AL74" s="9"/>
      <c r="AN74" s="9"/>
      <c r="AO74" s="9"/>
      <c r="AP74" s="9"/>
      <c r="AQ74" s="9"/>
      <c r="AR74" s="6"/>
      <c r="AS74" s="9"/>
      <c r="AT74" s="6"/>
      <c r="AU74" s="9"/>
      <c r="AV74" s="9"/>
      <c r="AW74" s="9"/>
      <c r="AX74" s="6">
        <v>169550</v>
      </c>
      <c r="AY74" s="9"/>
      <c r="AZ74" s="9"/>
      <c r="BA74" s="9"/>
      <c r="BB74" s="9"/>
      <c r="BC74" s="9"/>
      <c r="BD74" s="9"/>
      <c r="BE74" s="9"/>
      <c r="BF74" s="9"/>
      <c r="BG74" s="9"/>
      <c r="BH74" s="9"/>
      <c r="BI74" s="9"/>
      <c r="BJ74" s="9"/>
      <c r="BK74" s="9"/>
      <c r="BL74" s="6">
        <f t="shared" si="13"/>
        <v>169550</v>
      </c>
      <c r="BM74" s="9"/>
      <c r="BN74" s="6">
        <f>2284466-868340</f>
        <v>1416126</v>
      </c>
      <c r="BO74" s="9"/>
      <c r="BP74" s="6">
        <f t="shared" si="14"/>
        <v>2114916</v>
      </c>
      <c r="BQ74" s="6"/>
      <c r="BR74" s="6">
        <f t="shared" si="15"/>
        <v>2284466</v>
      </c>
      <c r="BS74" s="6"/>
      <c r="BT74" s="6">
        <f t="shared" si="16"/>
        <v>-1416126</v>
      </c>
      <c r="BU74" s="9"/>
    </row>
    <row r="75" spans="2:73" s="21" customFormat="1">
      <c r="B75" s="238" t="s">
        <v>313</v>
      </c>
      <c r="J75" s="8"/>
      <c r="L75" s="143"/>
      <c r="M75" s="9"/>
      <c r="N75" s="9"/>
      <c r="O75" s="9"/>
      <c r="P75" s="9"/>
      <c r="Q75" s="9"/>
      <c r="R75" s="235">
        <v>-1225177</v>
      </c>
      <c r="S75" s="9"/>
      <c r="T75" s="9"/>
      <c r="U75" s="9"/>
      <c r="V75" s="9"/>
      <c r="W75" s="9"/>
      <c r="X75" s="9"/>
      <c r="Y75" s="9"/>
      <c r="Z75" s="9"/>
      <c r="AA75" s="9"/>
      <c r="AB75" s="9"/>
      <c r="AC75" s="9"/>
      <c r="AD75" s="9"/>
      <c r="AE75" s="9"/>
      <c r="AF75" s="9"/>
      <c r="AG75" s="9"/>
      <c r="AH75" s="9"/>
      <c r="AJ75" s="9"/>
      <c r="AL75" s="9"/>
      <c r="AN75" s="9"/>
      <c r="AO75" s="9"/>
      <c r="AP75" s="9"/>
      <c r="AQ75" s="9"/>
      <c r="AR75" s="6"/>
      <c r="AS75" s="9"/>
      <c r="AT75" s="6"/>
      <c r="AU75" s="9"/>
      <c r="AV75" s="9"/>
      <c r="AW75" s="9"/>
      <c r="AX75" s="6"/>
      <c r="AY75" s="9"/>
      <c r="AZ75" s="9"/>
      <c r="BA75" s="9"/>
      <c r="BB75" s="9"/>
      <c r="BC75" s="9"/>
      <c r="BD75" s="9"/>
      <c r="BE75" s="9"/>
      <c r="BF75" s="9"/>
      <c r="BG75" s="9"/>
      <c r="BH75" s="9"/>
      <c r="BI75" s="9"/>
      <c r="BJ75" s="9"/>
      <c r="BK75" s="9"/>
      <c r="BL75" s="6">
        <f t="shared" si="13"/>
        <v>0</v>
      </c>
      <c r="BM75" s="9"/>
      <c r="BN75" s="6">
        <v>1225177</v>
      </c>
      <c r="BO75" s="9"/>
      <c r="BP75" s="6">
        <f t="shared" si="14"/>
        <v>0</v>
      </c>
      <c r="BQ75" s="6"/>
      <c r="BR75" s="6">
        <f t="shared" si="15"/>
        <v>0</v>
      </c>
      <c r="BS75" s="6"/>
      <c r="BT75" s="6">
        <f t="shared" si="16"/>
        <v>-1225177</v>
      </c>
      <c r="BU75" s="9"/>
    </row>
    <row r="76" spans="2:73" s="21" customFormat="1">
      <c r="B76" s="238" t="s">
        <v>499</v>
      </c>
      <c r="J76" s="8"/>
      <c r="L76" s="143"/>
      <c r="M76" s="9"/>
      <c r="N76" s="9"/>
      <c r="O76" s="9"/>
      <c r="P76" s="9"/>
      <c r="Q76" s="9"/>
      <c r="R76" s="235"/>
      <c r="S76" s="9"/>
      <c r="T76" s="9"/>
      <c r="U76" s="9"/>
      <c r="V76" s="9"/>
      <c r="W76" s="9"/>
      <c r="X76" s="9"/>
      <c r="Y76" s="9"/>
      <c r="Z76" s="9"/>
      <c r="AA76" s="9"/>
      <c r="AB76" s="9"/>
      <c r="AC76" s="9"/>
      <c r="AD76" s="9"/>
      <c r="AE76" s="9"/>
      <c r="AF76" s="9"/>
      <c r="AG76" s="9"/>
      <c r="AH76" s="9"/>
      <c r="AJ76" s="9"/>
      <c r="AL76" s="9"/>
      <c r="AN76" s="9"/>
      <c r="AO76" s="9"/>
      <c r="AP76" s="9"/>
      <c r="AQ76" s="9"/>
      <c r="AR76" s="6"/>
      <c r="AS76" s="9"/>
      <c r="AT76" s="6">
        <v>29554</v>
      </c>
      <c r="AU76" s="9"/>
      <c r="AV76" s="9"/>
      <c r="AW76" s="9"/>
      <c r="AX76" s="6">
        <f>57585-29554</f>
        <v>28031</v>
      </c>
      <c r="AY76" s="9"/>
      <c r="AZ76" s="9"/>
      <c r="BA76" s="9"/>
      <c r="BB76" s="9"/>
      <c r="BC76" s="9"/>
      <c r="BD76" s="9"/>
      <c r="BE76" s="9"/>
      <c r="BF76" s="9"/>
      <c r="BG76" s="9"/>
      <c r="BH76" s="9"/>
      <c r="BI76" s="9"/>
      <c r="BJ76" s="9"/>
      <c r="BK76" s="9"/>
      <c r="BL76" s="6">
        <f t="shared" si="13"/>
        <v>57585</v>
      </c>
      <c r="BM76" s="9"/>
      <c r="BN76" s="6">
        <v>99202</v>
      </c>
      <c r="BO76" s="9"/>
      <c r="BP76" s="6">
        <f t="shared" si="14"/>
        <v>41617</v>
      </c>
      <c r="BQ76" s="6"/>
      <c r="BR76" s="6">
        <f t="shared" si="15"/>
        <v>99202</v>
      </c>
      <c r="BS76" s="6"/>
      <c r="BT76" s="6">
        <f t="shared" si="16"/>
        <v>-99202</v>
      </c>
      <c r="BU76" s="9"/>
    </row>
    <row r="77" spans="2:73" s="21" customFormat="1">
      <c r="B77" s="238" t="s">
        <v>500</v>
      </c>
      <c r="J77" s="8"/>
      <c r="L77" s="143"/>
      <c r="M77" s="9"/>
      <c r="N77" s="9"/>
      <c r="O77" s="9"/>
      <c r="P77" s="9"/>
      <c r="Q77" s="9"/>
      <c r="R77" s="9"/>
      <c r="S77" s="9"/>
      <c r="T77" s="9"/>
      <c r="U77" s="9"/>
      <c r="V77" s="9"/>
      <c r="W77" s="9"/>
      <c r="X77" s="9"/>
      <c r="Y77" s="9"/>
      <c r="Z77" s="9"/>
      <c r="AA77" s="9"/>
      <c r="AB77" s="9"/>
      <c r="AC77" s="9"/>
      <c r="AD77" s="9"/>
      <c r="AE77" s="9"/>
      <c r="AF77" s="9"/>
      <c r="AG77" s="9"/>
      <c r="AH77" s="9"/>
      <c r="AJ77" s="9"/>
      <c r="AL77" s="9"/>
      <c r="AN77" s="9"/>
      <c r="AO77" s="9"/>
      <c r="AP77" s="9"/>
      <c r="AQ77" s="9"/>
      <c r="AR77" s="6"/>
      <c r="AS77" s="9"/>
      <c r="AT77" s="6">
        <v>99225</v>
      </c>
      <c r="AU77" s="9"/>
      <c r="AV77" s="9"/>
      <c r="AW77" s="9"/>
      <c r="AX77" s="6">
        <f>116645-99225</f>
        <v>17420</v>
      </c>
      <c r="AY77" s="9"/>
      <c r="AZ77" s="9"/>
      <c r="BA77" s="9"/>
      <c r="BB77" s="9"/>
      <c r="BC77" s="9"/>
      <c r="BD77" s="9"/>
      <c r="BE77" s="9"/>
      <c r="BF77" s="9"/>
      <c r="BG77" s="9"/>
      <c r="BH77" s="9"/>
      <c r="BI77" s="9"/>
      <c r="BJ77" s="9"/>
      <c r="BK77" s="9"/>
      <c r="BL77" s="6">
        <f t="shared" si="13"/>
        <v>116645</v>
      </c>
      <c r="BM77" s="9"/>
      <c r="BN77" s="9">
        <v>0</v>
      </c>
      <c r="BO77" s="9"/>
      <c r="BP77" s="6">
        <f t="shared" si="14"/>
        <v>0</v>
      </c>
      <c r="BQ77" s="6"/>
      <c r="BR77" s="6">
        <f t="shared" si="15"/>
        <v>116645</v>
      </c>
      <c r="BS77" s="6"/>
      <c r="BT77" s="6">
        <f t="shared" si="16"/>
        <v>-116645</v>
      </c>
      <c r="BU77" s="9"/>
    </row>
    <row r="78" spans="2:73" s="21" customFormat="1">
      <c r="B78" s="233" t="s">
        <v>501</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9">
        <v>12201</v>
      </c>
      <c r="AU78" s="9"/>
      <c r="AV78" s="9"/>
      <c r="AW78" s="9"/>
      <c r="AX78" s="6">
        <f>77361-12201</f>
        <v>65160</v>
      </c>
      <c r="AY78" s="9"/>
      <c r="AZ78" s="9"/>
      <c r="BA78" s="9"/>
      <c r="BB78" s="9"/>
      <c r="BC78" s="9"/>
      <c r="BD78" s="9"/>
      <c r="BE78" s="9"/>
      <c r="BF78" s="9"/>
      <c r="BG78" s="9"/>
      <c r="BH78" s="9"/>
      <c r="BI78" s="9"/>
      <c r="BJ78" s="9"/>
      <c r="BK78" s="9"/>
      <c r="BL78" s="6">
        <f t="shared" si="13"/>
        <v>77361</v>
      </c>
      <c r="BM78" s="9"/>
      <c r="BN78" s="6">
        <v>0</v>
      </c>
      <c r="BO78" s="9"/>
      <c r="BP78" s="9"/>
      <c r="BQ78" s="9"/>
      <c r="BR78" s="6">
        <f t="shared" si="15"/>
        <v>77361</v>
      </c>
      <c r="BS78" s="9"/>
      <c r="BT78" s="6">
        <f t="shared" si="16"/>
        <v>-77361</v>
      </c>
      <c r="BU78" s="9"/>
    </row>
    <row r="79" spans="2:73" s="21" customFormat="1">
      <c r="B79" s="236" t="s">
        <v>315</v>
      </c>
      <c r="J79" s="8"/>
      <c r="L79" s="143"/>
      <c r="M79" s="9"/>
      <c r="N79" s="9"/>
      <c r="O79" s="9"/>
      <c r="P79" s="9"/>
      <c r="Q79" s="9"/>
      <c r="R79" s="9">
        <f>SUM(R56:R78)</f>
        <v>20178205</v>
      </c>
      <c r="S79" s="9">
        <f t="shared" ref="S79:BU79" si="17">SUM(S56:S78)</f>
        <v>0</v>
      </c>
      <c r="T79" s="9">
        <f t="shared" si="17"/>
        <v>0</v>
      </c>
      <c r="U79" s="9">
        <f t="shared" si="17"/>
        <v>0</v>
      </c>
      <c r="V79" s="9">
        <f t="shared" si="17"/>
        <v>0</v>
      </c>
      <c r="W79" s="9">
        <f t="shared" si="17"/>
        <v>0</v>
      </c>
      <c r="X79" s="9">
        <f t="shared" si="17"/>
        <v>0</v>
      </c>
      <c r="Y79" s="9">
        <f t="shared" si="17"/>
        <v>0</v>
      </c>
      <c r="Z79" s="9">
        <f t="shared" si="17"/>
        <v>0</v>
      </c>
      <c r="AA79" s="9">
        <f t="shared" si="17"/>
        <v>0</v>
      </c>
      <c r="AB79" s="9">
        <f t="shared" si="17"/>
        <v>0</v>
      </c>
      <c r="AC79" s="9">
        <f t="shared" si="17"/>
        <v>0</v>
      </c>
      <c r="AD79" s="9">
        <f t="shared" si="17"/>
        <v>0</v>
      </c>
      <c r="AE79" s="9"/>
      <c r="AF79" s="9">
        <f t="shared" si="17"/>
        <v>0</v>
      </c>
      <c r="AG79" s="9"/>
      <c r="AH79" s="9">
        <f t="shared" si="17"/>
        <v>0</v>
      </c>
      <c r="AI79" s="9"/>
      <c r="AJ79" s="9">
        <f t="shared" si="17"/>
        <v>0</v>
      </c>
      <c r="AK79" s="9">
        <f t="shared" si="17"/>
        <v>0</v>
      </c>
      <c r="AL79" s="9">
        <f t="shared" si="17"/>
        <v>0</v>
      </c>
      <c r="AM79" s="9">
        <f t="shared" si="17"/>
        <v>0</v>
      </c>
      <c r="AN79" s="9">
        <f t="shared" si="17"/>
        <v>0</v>
      </c>
      <c r="AO79" s="9">
        <f t="shared" si="17"/>
        <v>0</v>
      </c>
      <c r="AP79" s="9">
        <f t="shared" si="17"/>
        <v>0</v>
      </c>
      <c r="AQ79" s="9">
        <f t="shared" si="17"/>
        <v>0</v>
      </c>
      <c r="AR79" s="9">
        <f t="shared" si="17"/>
        <v>2569929</v>
      </c>
      <c r="AS79" s="9">
        <f t="shared" si="17"/>
        <v>0</v>
      </c>
      <c r="AT79" s="9">
        <f t="shared" si="17"/>
        <v>4657660</v>
      </c>
      <c r="AU79" s="9">
        <f t="shared" si="17"/>
        <v>0</v>
      </c>
      <c r="AV79" s="9">
        <f t="shared" si="17"/>
        <v>0</v>
      </c>
      <c r="AW79" s="9">
        <f t="shared" si="17"/>
        <v>0</v>
      </c>
      <c r="AX79" s="9">
        <f t="shared" si="17"/>
        <v>9133979</v>
      </c>
      <c r="AY79" s="9">
        <f t="shared" si="17"/>
        <v>0</v>
      </c>
      <c r="AZ79" s="9">
        <f t="shared" si="17"/>
        <v>0</v>
      </c>
      <c r="BA79" s="9">
        <f t="shared" si="17"/>
        <v>0</v>
      </c>
      <c r="BB79" s="9">
        <f t="shared" si="17"/>
        <v>0</v>
      </c>
      <c r="BC79" s="9">
        <f t="shared" si="17"/>
        <v>0</v>
      </c>
      <c r="BD79" s="9">
        <f t="shared" si="17"/>
        <v>0</v>
      </c>
      <c r="BE79" s="9">
        <f t="shared" si="17"/>
        <v>0</v>
      </c>
      <c r="BF79" s="9">
        <f t="shared" si="17"/>
        <v>0</v>
      </c>
      <c r="BG79" s="9">
        <f t="shared" si="17"/>
        <v>0</v>
      </c>
      <c r="BH79" s="9">
        <f t="shared" si="17"/>
        <v>0</v>
      </c>
      <c r="BI79" s="9">
        <f t="shared" si="17"/>
        <v>0</v>
      </c>
      <c r="BJ79" s="9">
        <f t="shared" si="17"/>
        <v>0</v>
      </c>
      <c r="BK79" s="9">
        <f t="shared" si="17"/>
        <v>0</v>
      </c>
      <c r="BL79" s="9">
        <f t="shared" si="17"/>
        <v>16361568</v>
      </c>
      <c r="BM79" s="9">
        <f t="shared" si="17"/>
        <v>0</v>
      </c>
      <c r="BN79" s="9">
        <f t="shared" si="17"/>
        <v>24527023</v>
      </c>
      <c r="BO79" s="9">
        <f t="shared" si="17"/>
        <v>0</v>
      </c>
      <c r="BP79" s="9">
        <f t="shared" si="17"/>
        <v>29498294</v>
      </c>
      <c r="BQ79" s="9">
        <f t="shared" si="17"/>
        <v>0</v>
      </c>
      <c r="BR79" s="9">
        <f t="shared" si="17"/>
        <v>45859862</v>
      </c>
      <c r="BS79" s="9">
        <f t="shared" si="17"/>
        <v>0</v>
      </c>
      <c r="BT79" s="9">
        <f t="shared" si="17"/>
        <v>-25681657</v>
      </c>
      <c r="BU79" s="9">
        <f t="shared" si="17"/>
        <v>0</v>
      </c>
    </row>
    <row r="80" spans="2:73" s="21" customFormat="1">
      <c r="B80" s="236"/>
      <c r="J80" s="8"/>
      <c r="L80" s="143"/>
      <c r="M80" s="9"/>
      <c r="N80" s="9"/>
      <c r="O80" s="9"/>
      <c r="P80" s="9"/>
      <c r="Q80" s="9"/>
      <c r="R80" s="9"/>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row>
    <row r="81" spans="1:73" s="21" customFormat="1">
      <c r="B81" s="241" t="s">
        <v>317</v>
      </c>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0" t="s">
        <v>67</v>
      </c>
      <c r="J82" s="8"/>
      <c r="L82" s="143"/>
      <c r="M82" s="9"/>
      <c r="N82" s="9"/>
      <c r="O82" s="9"/>
      <c r="P82" s="9"/>
      <c r="Q82" s="9"/>
      <c r="R82" s="235">
        <v>5312100</v>
      </c>
      <c r="S82" s="9"/>
      <c r="T82" s="9"/>
      <c r="U82" s="9"/>
      <c r="V82" s="9"/>
      <c r="W82" s="9"/>
      <c r="X82" s="9"/>
      <c r="Y82" s="9"/>
      <c r="Z82" s="9"/>
      <c r="AA82" s="9"/>
      <c r="AB82" s="9"/>
      <c r="AC82" s="9"/>
      <c r="AD82" s="9"/>
      <c r="AE82" s="9"/>
      <c r="AF82" s="9"/>
      <c r="AG82" s="9"/>
      <c r="AH82" s="9"/>
      <c r="AJ82" s="9"/>
      <c r="AL82" s="9"/>
      <c r="AN82" s="9"/>
      <c r="AO82" s="9"/>
      <c r="AP82" s="9"/>
      <c r="AQ82" s="9"/>
      <c r="AR82" s="6">
        <v>28388</v>
      </c>
      <c r="AS82" s="9"/>
      <c r="AT82" s="6">
        <f>791673-28388</f>
        <v>763285</v>
      </c>
      <c r="AU82" s="9"/>
      <c r="AV82" s="9"/>
      <c r="AW82" s="9"/>
      <c r="AX82" s="6">
        <f>3252538-791673</f>
        <v>2460865</v>
      </c>
      <c r="AY82" s="9"/>
      <c r="AZ82" s="9"/>
      <c r="BA82" s="9"/>
      <c r="BB82" s="9"/>
      <c r="BC82" s="9"/>
      <c r="BD82" s="9"/>
      <c r="BE82" s="9"/>
      <c r="BF82" s="9"/>
      <c r="BG82" s="9"/>
      <c r="BH82" s="9"/>
      <c r="BI82" s="9"/>
      <c r="BJ82" s="9"/>
      <c r="BK82" s="9"/>
      <c r="BL82" s="6">
        <f>SUM(T82:BK82)</f>
        <v>3252538</v>
      </c>
      <c r="BM82" s="9"/>
      <c r="BN82" s="6">
        <f>5336650-5312100</f>
        <v>24550</v>
      </c>
      <c r="BO82" s="9"/>
      <c r="BP82" s="6">
        <f>IF(+R82-BL82+BN82&gt;0,R82-BL82+BN82,0)</f>
        <v>2084112</v>
      </c>
      <c r="BQ82" s="6"/>
      <c r="BR82" s="6">
        <f>+BL82+BP82</f>
        <v>5336650</v>
      </c>
      <c r="BS82" s="6"/>
      <c r="BT82" s="6">
        <f>+R82-BR82</f>
        <v>-24550</v>
      </c>
      <c r="BU82" s="9"/>
    </row>
    <row r="83" spans="1:73" s="21" customFormat="1">
      <c r="B83" s="233"/>
      <c r="J83" s="8"/>
      <c r="L83" s="143"/>
      <c r="M83" s="9"/>
      <c r="N83" s="9"/>
      <c r="O83" s="9"/>
      <c r="P83" s="9"/>
      <c r="Q83" s="9"/>
      <c r="R83" s="9"/>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row>
    <row r="84" spans="1:73" s="21" customFormat="1">
      <c r="B84" s="234" t="s">
        <v>316</v>
      </c>
      <c r="J84" s="8"/>
      <c r="L84" s="143"/>
      <c r="M84" s="9"/>
      <c r="N84" s="9"/>
      <c r="O84" s="9"/>
      <c r="P84" s="9"/>
      <c r="Q84" s="9"/>
      <c r="R84" s="9">
        <f t="shared" ref="R84:AD84" si="18">SUM(R82:R83)</f>
        <v>5312100</v>
      </c>
      <c r="S84" s="9">
        <f t="shared" si="18"/>
        <v>0</v>
      </c>
      <c r="T84" s="9">
        <f t="shared" si="18"/>
        <v>0</v>
      </c>
      <c r="U84" s="9">
        <f t="shared" si="18"/>
        <v>0</v>
      </c>
      <c r="V84" s="9">
        <f t="shared" si="18"/>
        <v>0</v>
      </c>
      <c r="W84" s="9">
        <f t="shared" si="18"/>
        <v>0</v>
      </c>
      <c r="X84" s="9">
        <f t="shared" si="18"/>
        <v>0</v>
      </c>
      <c r="Y84" s="9">
        <f t="shared" si="18"/>
        <v>0</v>
      </c>
      <c r="Z84" s="9">
        <f t="shared" si="18"/>
        <v>0</v>
      </c>
      <c r="AA84" s="9">
        <f t="shared" si="18"/>
        <v>0</v>
      </c>
      <c r="AB84" s="9">
        <f t="shared" si="18"/>
        <v>0</v>
      </c>
      <c r="AC84" s="9">
        <f t="shared" si="18"/>
        <v>0</v>
      </c>
      <c r="AD84" s="9">
        <f t="shared" si="18"/>
        <v>0</v>
      </c>
      <c r="AE84" s="9"/>
      <c r="AF84" s="9">
        <f>SUM(AF82:AF83)</f>
        <v>0</v>
      </c>
      <c r="AG84" s="9"/>
      <c r="AH84" s="9">
        <f>SUM(AH82:AH83)</f>
        <v>0</v>
      </c>
      <c r="AI84" s="9"/>
      <c r="AJ84" s="9">
        <f t="shared" ref="AJ84:BS84" si="19">SUM(AJ82:AJ83)</f>
        <v>0</v>
      </c>
      <c r="AK84" s="9">
        <f t="shared" si="19"/>
        <v>0</v>
      </c>
      <c r="AL84" s="9">
        <f t="shared" si="19"/>
        <v>0</v>
      </c>
      <c r="AM84" s="9">
        <f t="shared" si="19"/>
        <v>0</v>
      </c>
      <c r="AN84" s="9">
        <f t="shared" si="19"/>
        <v>0</v>
      </c>
      <c r="AO84" s="9">
        <f t="shared" si="19"/>
        <v>0</v>
      </c>
      <c r="AP84" s="9">
        <f t="shared" si="19"/>
        <v>0</v>
      </c>
      <c r="AQ84" s="9">
        <f t="shared" si="19"/>
        <v>0</v>
      </c>
      <c r="AR84" s="6">
        <f t="shared" si="19"/>
        <v>28388</v>
      </c>
      <c r="AS84" s="9">
        <f t="shared" si="19"/>
        <v>0</v>
      </c>
      <c r="AT84" s="9">
        <f t="shared" si="19"/>
        <v>763285</v>
      </c>
      <c r="AU84" s="9">
        <f t="shared" si="19"/>
        <v>0</v>
      </c>
      <c r="AV84" s="9">
        <f t="shared" si="19"/>
        <v>0</v>
      </c>
      <c r="AW84" s="9">
        <f t="shared" si="19"/>
        <v>0</v>
      </c>
      <c r="AX84" s="9">
        <f t="shared" si="19"/>
        <v>2460865</v>
      </c>
      <c r="AY84" s="9">
        <f t="shared" si="19"/>
        <v>0</v>
      </c>
      <c r="AZ84" s="9">
        <f t="shared" si="19"/>
        <v>0</v>
      </c>
      <c r="BA84" s="9">
        <f t="shared" si="19"/>
        <v>0</v>
      </c>
      <c r="BB84" s="9">
        <f t="shared" si="19"/>
        <v>0</v>
      </c>
      <c r="BC84" s="9">
        <f t="shared" si="19"/>
        <v>0</v>
      </c>
      <c r="BD84" s="9">
        <f t="shared" si="19"/>
        <v>0</v>
      </c>
      <c r="BE84" s="9">
        <f t="shared" si="19"/>
        <v>0</v>
      </c>
      <c r="BF84" s="9">
        <f t="shared" si="19"/>
        <v>0</v>
      </c>
      <c r="BG84" s="9">
        <f t="shared" si="19"/>
        <v>0</v>
      </c>
      <c r="BH84" s="9">
        <f t="shared" si="19"/>
        <v>0</v>
      </c>
      <c r="BI84" s="9">
        <f t="shared" si="19"/>
        <v>0</v>
      </c>
      <c r="BJ84" s="9">
        <f t="shared" si="19"/>
        <v>0</v>
      </c>
      <c r="BK84" s="9">
        <f t="shared" si="19"/>
        <v>0</v>
      </c>
      <c r="BL84" s="9">
        <f t="shared" si="19"/>
        <v>3252538</v>
      </c>
      <c r="BM84" s="9">
        <f t="shared" si="19"/>
        <v>0</v>
      </c>
      <c r="BN84" s="9">
        <f t="shared" si="19"/>
        <v>24550</v>
      </c>
      <c r="BO84" s="9">
        <f t="shared" si="19"/>
        <v>0</v>
      </c>
      <c r="BP84" s="9">
        <f t="shared" si="19"/>
        <v>2084112</v>
      </c>
      <c r="BQ84" s="9">
        <f t="shared" si="19"/>
        <v>0</v>
      </c>
      <c r="BR84" s="9">
        <f t="shared" si="19"/>
        <v>5336650</v>
      </c>
      <c r="BS84" s="9">
        <f t="shared" si="19"/>
        <v>0</v>
      </c>
      <c r="BT84" s="6">
        <f>+R84-BR84</f>
        <v>-24550</v>
      </c>
      <c r="BU84" s="9"/>
    </row>
    <row r="85" spans="1:73" s="21" customFormat="1">
      <c r="B85" s="241" t="s">
        <v>552</v>
      </c>
      <c r="J85" s="8"/>
      <c r="L85" s="143"/>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6"/>
      <c r="AS85" s="9"/>
      <c r="AT85" s="9"/>
      <c r="AU85" s="9"/>
      <c r="AV85" s="9"/>
      <c r="AW85" s="9"/>
      <c r="AX85" s="9"/>
      <c r="AY85" s="9"/>
      <c r="AZ85" s="9"/>
      <c r="BA85" s="9"/>
      <c r="BB85" s="9"/>
      <c r="BC85" s="9"/>
      <c r="BD85" s="9"/>
      <c r="BE85" s="9"/>
      <c r="BF85" s="9"/>
      <c r="BG85" s="9"/>
      <c r="BH85" s="9"/>
      <c r="BI85" s="9"/>
      <c r="BJ85" s="9"/>
      <c r="BK85" s="9"/>
      <c r="BL85" s="9"/>
      <c r="BM85" s="9"/>
      <c r="BN85" s="9"/>
      <c r="BO85" s="9">
        <f>SUM(BO83:BO84)</f>
        <v>0</v>
      </c>
      <c r="BP85" s="9"/>
      <c r="BQ85" s="9">
        <f>SUM(BQ83:BQ84)</f>
        <v>0</v>
      </c>
      <c r="BR85" s="9">
        <v>-1184629</v>
      </c>
      <c r="BS85" s="9">
        <f>SUM(BS83:BS84)</f>
        <v>0</v>
      </c>
      <c r="BT85" s="6">
        <f>+R85-BR85</f>
        <v>1184629</v>
      </c>
      <c r="BU85" s="9"/>
    </row>
    <row r="86" spans="1:73" s="21" customFormat="1">
      <c r="B86" s="241" t="s">
        <v>327</v>
      </c>
      <c r="J86" s="8"/>
      <c r="L86" s="143"/>
      <c r="M86" s="9"/>
      <c r="N86" s="9"/>
      <c r="O86" s="9"/>
      <c r="P86" s="9"/>
      <c r="Q86" s="9"/>
      <c r="R86" s="9">
        <v>0</v>
      </c>
      <c r="S86" s="9"/>
      <c r="T86" s="9"/>
      <c r="U86" s="9"/>
      <c r="V86" s="9">
        <v>0</v>
      </c>
      <c r="W86" s="9"/>
      <c r="X86" s="9"/>
      <c r="Y86" s="9"/>
      <c r="Z86" s="9"/>
      <c r="AA86" s="9"/>
      <c r="AB86" s="9"/>
      <c r="AC86" s="9"/>
      <c r="AD86" s="9"/>
      <c r="AE86" s="9"/>
      <c r="AF86" s="9"/>
      <c r="AG86" s="9"/>
      <c r="AH86" s="9"/>
      <c r="AI86" s="9"/>
      <c r="AJ86" s="9"/>
      <c r="AK86" s="9"/>
      <c r="AL86" s="9"/>
      <c r="AM86" s="9"/>
      <c r="AN86" s="9"/>
      <c r="AO86" s="9"/>
      <c r="AP86" s="9">
        <f>9438462-865389</f>
        <v>8573073</v>
      </c>
      <c r="AQ86" s="9"/>
      <c r="AR86" s="6">
        <f>10717074-3623155+41531</f>
        <v>7135450</v>
      </c>
      <c r="AS86" s="9"/>
      <c r="AT86" s="9">
        <f>-8600128+744251</f>
        <v>-7855877</v>
      </c>
      <c r="AU86" s="9"/>
      <c r="AV86" s="9">
        <v>12922196</v>
      </c>
      <c r="AW86" s="9"/>
      <c r="AX86" s="9">
        <f>-20774842+5385733+11527832</f>
        <v>-3861277</v>
      </c>
      <c r="AY86" s="9"/>
      <c r="AZ86" s="9">
        <v>19510321</v>
      </c>
      <c r="BA86" s="9"/>
      <c r="BB86" s="9"/>
      <c r="BC86" s="9"/>
      <c r="BD86" s="9"/>
      <c r="BE86" s="9"/>
      <c r="BF86" s="9"/>
      <c r="BG86" s="9"/>
      <c r="BH86" s="9"/>
      <c r="BI86" s="9"/>
      <c r="BJ86" s="9"/>
      <c r="BK86" s="9"/>
      <c r="BL86" s="6">
        <f>SUM(T86:BK86)</f>
        <v>36423886</v>
      </c>
      <c r="BM86" s="9"/>
      <c r="BN86" s="9">
        <v>0</v>
      </c>
      <c r="BO86" s="9">
        <f>SUM(BO84:BO85)</f>
        <v>0</v>
      </c>
      <c r="BP86" s="6">
        <v>-36423886</v>
      </c>
      <c r="BQ86" s="9">
        <f>SUM(BQ84:BQ85)</f>
        <v>0</v>
      </c>
      <c r="BR86" s="6">
        <f>+BL86+BP86</f>
        <v>0</v>
      </c>
      <c r="BS86" s="9">
        <f>SUM(BS84:BS85)</f>
        <v>0</v>
      </c>
      <c r="BT86" s="6">
        <f>+R86-BR86</f>
        <v>0</v>
      </c>
      <c r="BU86" s="9"/>
    </row>
    <row r="87" spans="1:73" s="21" customFormat="1">
      <c r="B87" s="247" t="s">
        <v>326</v>
      </c>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v>-14000000</v>
      </c>
      <c r="BQ87" s="9"/>
      <c r="BR87" s="6">
        <f>+BL87+BP87</f>
        <v>-14000000</v>
      </c>
      <c r="BS87" s="9"/>
      <c r="BT87" s="6">
        <v>0</v>
      </c>
      <c r="BU87" s="9"/>
    </row>
    <row r="88" spans="1:73" s="105" customFormat="1">
      <c r="A88" s="242"/>
      <c r="B88" s="243" t="s">
        <v>243</v>
      </c>
      <c r="J88" s="158"/>
      <c r="L88" s="144"/>
      <c r="M88" s="13"/>
      <c r="N88" s="244">
        <f>SUM(N37:N87)</f>
        <v>0</v>
      </c>
      <c r="O88" s="13"/>
      <c r="P88" s="244">
        <f>SUM(P37:P87)</f>
        <v>0</v>
      </c>
      <c r="Q88" s="13"/>
      <c r="R88" s="244">
        <f t="shared" ref="R88:AD88" si="20">R84+R79+R53+R46+R86</f>
        <v>50944642</v>
      </c>
      <c r="S88" s="244">
        <f t="shared" si="20"/>
        <v>0</v>
      </c>
      <c r="T88" s="244">
        <f t="shared" si="20"/>
        <v>0</v>
      </c>
      <c r="U88" s="244">
        <f t="shared" si="20"/>
        <v>0</v>
      </c>
      <c r="V88" s="244">
        <f t="shared" si="20"/>
        <v>0</v>
      </c>
      <c r="W88" s="244">
        <f t="shared" si="20"/>
        <v>0</v>
      </c>
      <c r="X88" s="244">
        <f t="shared" si="20"/>
        <v>0</v>
      </c>
      <c r="Y88" s="244">
        <f t="shared" si="20"/>
        <v>0</v>
      </c>
      <c r="Z88" s="244">
        <f t="shared" si="20"/>
        <v>0</v>
      </c>
      <c r="AA88" s="244">
        <f t="shared" si="20"/>
        <v>0</v>
      </c>
      <c r="AB88" s="244">
        <f t="shared" si="20"/>
        <v>0</v>
      </c>
      <c r="AC88" s="244">
        <f t="shared" si="20"/>
        <v>0</v>
      </c>
      <c r="AD88" s="244">
        <f t="shared" si="20"/>
        <v>0</v>
      </c>
      <c r="AE88" s="244"/>
      <c r="AF88" s="244">
        <f>AF84+AF79+AF53+AF46+AF86</f>
        <v>0</v>
      </c>
      <c r="AG88" s="244"/>
      <c r="AH88" s="244">
        <f>AH84+AH79+AH53+AH46+AH86</f>
        <v>0</v>
      </c>
      <c r="AI88" s="244"/>
      <c r="AJ88" s="244">
        <f t="shared" ref="AJ88:BU88" si="21">AJ84+AJ79+AJ53+AJ46+AJ86</f>
        <v>0</v>
      </c>
      <c r="AK88" s="244">
        <f t="shared" si="21"/>
        <v>0</v>
      </c>
      <c r="AL88" s="244">
        <f t="shared" si="21"/>
        <v>0</v>
      </c>
      <c r="AM88" s="244">
        <f t="shared" si="21"/>
        <v>0</v>
      </c>
      <c r="AN88" s="244">
        <f t="shared" si="21"/>
        <v>0</v>
      </c>
      <c r="AO88" s="244">
        <f t="shared" si="21"/>
        <v>0</v>
      </c>
      <c r="AP88" s="244">
        <f t="shared" si="21"/>
        <v>9438462</v>
      </c>
      <c r="AQ88" s="244">
        <f t="shared" si="21"/>
        <v>0</v>
      </c>
      <c r="AR88" s="244">
        <f t="shared" si="21"/>
        <v>10717074</v>
      </c>
      <c r="AS88" s="244">
        <f t="shared" si="21"/>
        <v>0</v>
      </c>
      <c r="AT88" s="244">
        <f t="shared" si="21"/>
        <v>744251</v>
      </c>
      <c r="AU88" s="244">
        <f t="shared" si="21"/>
        <v>0</v>
      </c>
      <c r="AV88" s="244">
        <f t="shared" si="21"/>
        <v>12922196</v>
      </c>
      <c r="AW88" s="244">
        <f t="shared" si="21"/>
        <v>0</v>
      </c>
      <c r="AX88" s="244">
        <f t="shared" si="21"/>
        <v>11527832</v>
      </c>
      <c r="AY88" s="244">
        <f t="shared" si="21"/>
        <v>0</v>
      </c>
      <c r="AZ88" s="244">
        <f t="shared" si="21"/>
        <v>19510321</v>
      </c>
      <c r="BA88" s="244">
        <f t="shared" si="21"/>
        <v>0</v>
      </c>
      <c r="BB88" s="244">
        <f t="shared" si="21"/>
        <v>0</v>
      </c>
      <c r="BC88" s="244">
        <f t="shared" si="21"/>
        <v>0</v>
      </c>
      <c r="BD88" s="244">
        <f t="shared" si="21"/>
        <v>0</v>
      </c>
      <c r="BE88" s="244">
        <f t="shared" si="21"/>
        <v>0</v>
      </c>
      <c r="BF88" s="244">
        <f t="shared" si="21"/>
        <v>0</v>
      </c>
      <c r="BG88" s="244">
        <f t="shared" si="21"/>
        <v>0</v>
      </c>
      <c r="BH88" s="244">
        <f t="shared" si="21"/>
        <v>0</v>
      </c>
      <c r="BI88" s="244">
        <f t="shared" si="21"/>
        <v>0</v>
      </c>
      <c r="BJ88" s="244">
        <f t="shared" si="21"/>
        <v>0</v>
      </c>
      <c r="BK88" s="244">
        <f t="shared" si="21"/>
        <v>0</v>
      </c>
      <c r="BL88" s="244">
        <f t="shared" si="21"/>
        <v>64860136</v>
      </c>
      <c r="BM88" s="244">
        <f t="shared" si="21"/>
        <v>0</v>
      </c>
      <c r="BN88" s="244">
        <f t="shared" si="21"/>
        <v>23887172</v>
      </c>
      <c r="BO88" s="244">
        <f t="shared" si="21"/>
        <v>0</v>
      </c>
      <c r="BP88" s="244">
        <f t="shared" si="21"/>
        <v>11403129</v>
      </c>
      <c r="BQ88" s="244">
        <f t="shared" si="21"/>
        <v>0</v>
      </c>
      <c r="BR88" s="244">
        <f>BR84+BR79+BR53+BR46+BR86+BR85+BR87</f>
        <v>61078636</v>
      </c>
      <c r="BS88" s="244">
        <f t="shared" si="21"/>
        <v>0</v>
      </c>
      <c r="BT88" s="244">
        <f>BT84+BT79+BT53+BT46+BT86+BT85</f>
        <v>-24133994</v>
      </c>
      <c r="BU88" s="244">
        <f t="shared" si="21"/>
        <v>0</v>
      </c>
    </row>
    <row r="89" spans="1:73">
      <c r="A89" s="57"/>
      <c r="B89" s="17"/>
      <c r="C89"/>
      <c r="D89"/>
      <c r="E89"/>
      <c r="F89"/>
      <c r="G89"/>
      <c r="H89"/>
      <c r="I89"/>
      <c r="J89" s="49"/>
      <c r="K89"/>
      <c r="L89" s="134"/>
      <c r="M89" s="6"/>
      <c r="O89" s="6"/>
      <c r="Q89" s="6"/>
      <c r="S89" s="6"/>
      <c r="T89" s="6"/>
      <c r="U89" s="6"/>
      <c r="V89" s="6"/>
      <c r="X89" s="6"/>
      <c r="Z89" s="6"/>
      <c r="AB89" s="6"/>
      <c r="AD89" s="6"/>
      <c r="AI89"/>
      <c r="BJ89" s="6"/>
      <c r="BK89" s="6"/>
      <c r="BM89" s="6"/>
      <c r="BN89" s="6"/>
      <c r="BO89" s="6"/>
      <c r="BU89" s="6"/>
    </row>
    <row r="90" spans="1:73">
      <c r="A90" s="56" t="s">
        <v>227</v>
      </c>
      <c r="B90" s="11"/>
      <c r="C90"/>
      <c r="D90"/>
      <c r="E90"/>
      <c r="F90"/>
      <c r="G90"/>
      <c r="H90"/>
      <c r="I90"/>
      <c r="J90" s="49"/>
      <c r="K90"/>
      <c r="L90" s="134"/>
      <c r="M90" s="6"/>
      <c r="O90" s="6"/>
      <c r="Q90" s="6"/>
      <c r="S90" s="6"/>
      <c r="T90" s="6"/>
      <c r="U90" s="6"/>
      <c r="V90" s="6"/>
      <c r="X90" s="6"/>
      <c r="Z90" s="6"/>
      <c r="AB90" s="6"/>
      <c r="AD90" s="6"/>
      <c r="AI90"/>
      <c r="BJ90" s="6"/>
      <c r="BK90" s="6"/>
      <c r="BM90" s="6"/>
      <c r="BN90" s="6"/>
      <c r="BO90" s="6"/>
      <c r="BU90" s="6"/>
    </row>
    <row r="91" spans="1:73">
      <c r="A91" s="61"/>
      <c r="B91" s="17" t="s">
        <v>228</v>
      </c>
      <c r="C91"/>
      <c r="D91"/>
      <c r="E91"/>
      <c r="F91"/>
      <c r="G91"/>
      <c r="H91"/>
      <c r="I91"/>
      <c r="J91" s="49" t="s">
        <v>236</v>
      </c>
      <c r="K91"/>
      <c r="L91" s="134" t="s">
        <v>202</v>
      </c>
      <c r="M91" s="6"/>
      <c r="N91" s="6">
        <v>0</v>
      </c>
      <c r="O91" s="6"/>
      <c r="P91" s="6">
        <v>0</v>
      </c>
      <c r="Q91" s="6"/>
      <c r="R91" s="6">
        <v>935200</v>
      </c>
      <c r="S91" s="6"/>
      <c r="T91" s="6">
        <v>0</v>
      </c>
      <c r="U91" s="22"/>
      <c r="V91" s="6">
        <v>0</v>
      </c>
      <c r="W91" s="22"/>
      <c r="X91" s="6">
        <v>0</v>
      </c>
      <c r="Y91" s="22"/>
      <c r="Z91" s="6">
        <v>0</v>
      </c>
      <c r="AA91" s="22"/>
      <c r="AB91" s="6">
        <v>0</v>
      </c>
      <c r="AC91" s="22"/>
      <c r="AD91" s="6">
        <v>0</v>
      </c>
      <c r="AE91" s="22"/>
      <c r="AF91" s="6">
        <v>0</v>
      </c>
      <c r="AG91" s="22"/>
      <c r="AH91" s="6">
        <f>935200/12</f>
        <v>77933.333333333328</v>
      </c>
      <c r="AI91"/>
      <c r="AJ91" s="6">
        <v>77933.350000000006</v>
      </c>
      <c r="AL91" s="6">
        <v>77933</v>
      </c>
      <c r="AN91" s="6">
        <v>77933.33</v>
      </c>
      <c r="AO91" s="22"/>
      <c r="AP91" s="6">
        <v>82933.33</v>
      </c>
      <c r="AQ91" s="22"/>
      <c r="AR91" s="6">
        <v>77933.34</v>
      </c>
      <c r="AS91" s="22"/>
      <c r="AT91" s="6">
        <v>77933.33</v>
      </c>
      <c r="AV91" s="6">
        <v>77933.33</v>
      </c>
      <c r="AX91" s="6">
        <v>77933.33</v>
      </c>
      <c r="AZ91" s="6">
        <v>77933</v>
      </c>
      <c r="BB91" s="6">
        <v>0</v>
      </c>
      <c r="BD91" s="6">
        <v>0</v>
      </c>
      <c r="BF91" s="6">
        <v>0</v>
      </c>
      <c r="BH91" s="6">
        <v>0</v>
      </c>
      <c r="BJ91" s="6">
        <v>0</v>
      </c>
      <c r="BK91" s="6"/>
      <c r="BL91" s="6">
        <f t="shared" ref="BL91:BL96" si="22">SUM(T91:BK91)</f>
        <v>784332.67333333322</v>
      </c>
      <c r="BM91" s="6"/>
      <c r="BN91" s="6">
        <v>5000</v>
      </c>
      <c r="BO91" s="6"/>
      <c r="BP91" s="6">
        <f t="shared" ref="BP91:BP97" si="23">IF(+R91-BL91+BN91&gt;0,R91-BL91+BN91,0)</f>
        <v>155867.32666666678</v>
      </c>
      <c r="BR91" s="6">
        <f t="shared" ref="BR91:BR96" si="24">+BL91+BP91</f>
        <v>940200</v>
      </c>
      <c r="BT91" s="6">
        <f t="shared" ref="BT91:BT96" si="25">+R91-BR91</f>
        <v>-5000</v>
      </c>
      <c r="BU91" s="6"/>
    </row>
    <row r="92" spans="1:73">
      <c r="A92" s="61"/>
      <c r="B92" s="17" t="s">
        <v>230</v>
      </c>
      <c r="C92"/>
      <c r="D92"/>
      <c r="E92"/>
      <c r="F92"/>
      <c r="G92"/>
      <c r="H92"/>
      <c r="I92"/>
      <c r="J92" s="49" t="s">
        <v>230</v>
      </c>
      <c r="K92"/>
      <c r="L92" s="134" t="s">
        <v>202</v>
      </c>
      <c r="M92" s="6"/>
      <c r="N92" s="6">
        <v>0</v>
      </c>
      <c r="O92" s="6"/>
      <c r="P92" s="6">
        <v>0</v>
      </c>
      <c r="Q92" s="6"/>
      <c r="R92" s="6">
        <v>2824800</v>
      </c>
      <c r="S92" s="6"/>
      <c r="T92" s="6">
        <v>0</v>
      </c>
      <c r="U92" s="22"/>
      <c r="V92" s="6">
        <v>0</v>
      </c>
      <c r="W92" s="22"/>
      <c r="X92" s="6">
        <v>0</v>
      </c>
      <c r="Y92" s="22"/>
      <c r="Z92" s="6">
        <v>0</v>
      </c>
      <c r="AA92" s="22"/>
      <c r="AB92" s="6">
        <v>0</v>
      </c>
      <c r="AC92" s="22"/>
      <c r="AD92" s="6">
        <v>0</v>
      </c>
      <c r="AE92" s="22"/>
      <c r="AF92" s="6">
        <v>0</v>
      </c>
      <c r="AG92" s="22"/>
      <c r="AH92" s="6">
        <f>2824800/12</f>
        <v>235400</v>
      </c>
      <c r="AI92"/>
      <c r="AJ92" s="6">
        <v>235400</v>
      </c>
      <c r="AL92" s="6">
        <v>235399</v>
      </c>
      <c r="AN92" s="6">
        <v>235399</v>
      </c>
      <c r="AO92" s="22"/>
      <c r="AP92" s="6">
        <v>235399</v>
      </c>
      <c r="AQ92" s="22"/>
      <c r="AR92" s="6">
        <v>235398</v>
      </c>
      <c r="AS92" s="22"/>
      <c r="AT92" s="6">
        <v>235399</v>
      </c>
      <c r="AV92" s="6">
        <v>235400</v>
      </c>
      <c r="AX92" s="6">
        <v>235400</v>
      </c>
      <c r="AZ92" s="6">
        <v>235400</v>
      </c>
      <c r="BB92" s="6">
        <v>0</v>
      </c>
      <c r="BD92" s="6">
        <v>0</v>
      </c>
      <c r="BF92" s="6">
        <v>0</v>
      </c>
      <c r="BH92" s="6">
        <v>0</v>
      </c>
      <c r="BJ92" s="6">
        <v>0</v>
      </c>
      <c r="BK92" s="6"/>
      <c r="BL92" s="6">
        <f t="shared" si="22"/>
        <v>2353994</v>
      </c>
      <c r="BM92" s="6"/>
      <c r="BN92" s="6">
        <v>0</v>
      </c>
      <c r="BO92" s="6"/>
      <c r="BP92" s="6">
        <f t="shared" si="23"/>
        <v>470806</v>
      </c>
      <c r="BR92" s="6">
        <f t="shared" si="24"/>
        <v>2824800</v>
      </c>
      <c r="BT92" s="6">
        <f t="shared" si="25"/>
        <v>0</v>
      </c>
      <c r="BU92" s="6"/>
    </row>
    <row r="93" spans="1:73">
      <c r="A93" s="61"/>
      <c r="B93" s="17" t="s">
        <v>231</v>
      </c>
      <c r="C93"/>
      <c r="D93"/>
      <c r="E93"/>
      <c r="F93"/>
      <c r="G93"/>
      <c r="H93"/>
      <c r="I93"/>
      <c r="J93" s="49" t="s">
        <v>236</v>
      </c>
      <c r="K93"/>
      <c r="L93" s="134" t="s">
        <v>202</v>
      </c>
      <c r="M93" s="6"/>
      <c r="N93" s="6">
        <v>0</v>
      </c>
      <c r="O93" s="6"/>
      <c r="P93" s="6">
        <v>0</v>
      </c>
      <c r="Q93" s="6"/>
      <c r="R93" s="6">
        <v>0</v>
      </c>
      <c r="S93" s="6"/>
      <c r="T93" s="6">
        <v>0</v>
      </c>
      <c r="U93" s="22"/>
      <c r="V93" s="6">
        <v>0</v>
      </c>
      <c r="W93" s="22"/>
      <c r="X93" s="6">
        <v>0</v>
      </c>
      <c r="Y93" s="22"/>
      <c r="Z93" s="6">
        <v>0</v>
      </c>
      <c r="AA93" s="22"/>
      <c r="AB93" s="6">
        <v>0</v>
      </c>
      <c r="AC93" s="22"/>
      <c r="AD93" s="6">
        <v>0</v>
      </c>
      <c r="AE93" s="22"/>
      <c r="AF93" s="6">
        <v>0</v>
      </c>
      <c r="AG93" s="22"/>
      <c r="AH93" s="6">
        <v>0</v>
      </c>
      <c r="AI93"/>
      <c r="AJ93" s="6">
        <v>0</v>
      </c>
      <c r="AL93" s="228">
        <v>0</v>
      </c>
      <c r="AN93" s="6">
        <v>0</v>
      </c>
      <c r="AO93" s="22"/>
      <c r="AP93" s="6">
        <v>0</v>
      </c>
      <c r="AQ93" s="22"/>
      <c r="AR93" s="6">
        <v>0</v>
      </c>
      <c r="AS93" s="22"/>
      <c r="AT93" s="6">
        <v>0</v>
      </c>
      <c r="AV93" s="6">
        <v>0</v>
      </c>
      <c r="AX93" s="6">
        <v>0</v>
      </c>
      <c r="AZ93" s="6">
        <v>0</v>
      </c>
      <c r="BB93" s="6">
        <v>0</v>
      </c>
      <c r="BD93" s="6">
        <v>0</v>
      </c>
      <c r="BF93" s="6">
        <v>0</v>
      </c>
      <c r="BH93" s="6">
        <v>0</v>
      </c>
      <c r="BJ93" s="6">
        <v>0</v>
      </c>
      <c r="BK93" s="6"/>
      <c r="BL93" s="6">
        <f t="shared" si="22"/>
        <v>0</v>
      </c>
      <c r="BM93" s="6"/>
      <c r="BN93" s="6">
        <v>0</v>
      </c>
      <c r="BO93" s="6"/>
      <c r="BP93" s="6">
        <f t="shared" si="23"/>
        <v>0</v>
      </c>
      <c r="BR93" s="6">
        <f t="shared" si="24"/>
        <v>0</v>
      </c>
      <c r="BT93" s="6">
        <f t="shared" si="25"/>
        <v>0</v>
      </c>
      <c r="BU93" s="6"/>
    </row>
    <row r="94" spans="1:73">
      <c r="A94" s="61"/>
      <c r="B94" s="17" t="s">
        <v>232</v>
      </c>
      <c r="C94"/>
      <c r="D94"/>
      <c r="E94"/>
      <c r="F94"/>
      <c r="G94"/>
      <c r="H94"/>
      <c r="I94"/>
      <c r="J94" s="49" t="s">
        <v>236</v>
      </c>
      <c r="K94"/>
      <c r="L94" s="134" t="s">
        <v>202</v>
      </c>
      <c r="M94" s="6"/>
      <c r="N94" s="12">
        <v>0</v>
      </c>
      <c r="O94" s="12"/>
      <c r="P94" s="12">
        <v>0</v>
      </c>
      <c r="Q94" s="12"/>
      <c r="R94" s="6">
        <f>+N94+P94</f>
        <v>0</v>
      </c>
      <c r="S94" s="12"/>
      <c r="T94" s="12">
        <v>0</v>
      </c>
      <c r="U94" s="80"/>
      <c r="V94" s="12">
        <v>0</v>
      </c>
      <c r="W94" s="80"/>
      <c r="X94" s="12">
        <v>0</v>
      </c>
      <c r="Y94" s="80"/>
      <c r="Z94" s="12">
        <v>0</v>
      </c>
      <c r="AA94" s="80"/>
      <c r="AB94" s="12">
        <v>0</v>
      </c>
      <c r="AC94" s="80"/>
      <c r="AD94" s="12">
        <v>0</v>
      </c>
      <c r="AE94" s="80"/>
      <c r="AF94" s="12">
        <v>0</v>
      </c>
      <c r="AG94" s="80"/>
      <c r="AH94" s="12">
        <v>0</v>
      </c>
      <c r="AI94"/>
      <c r="AJ94" s="12">
        <v>0</v>
      </c>
      <c r="AL94" s="12">
        <v>0</v>
      </c>
      <c r="AN94" s="12">
        <v>0</v>
      </c>
      <c r="AO94" s="80"/>
      <c r="AP94" s="12">
        <v>0</v>
      </c>
      <c r="AQ94" s="80"/>
      <c r="AR94" s="12">
        <v>0</v>
      </c>
      <c r="AS94" s="80"/>
      <c r="AT94" s="12">
        <v>0</v>
      </c>
      <c r="AU94" s="12"/>
      <c r="AV94" s="12">
        <v>0</v>
      </c>
      <c r="AW94" s="12"/>
      <c r="AX94" s="12">
        <v>0</v>
      </c>
      <c r="AY94" s="12"/>
      <c r="AZ94" s="12">
        <v>0</v>
      </c>
      <c r="BA94" s="12"/>
      <c r="BB94" s="12">
        <v>0</v>
      </c>
      <c r="BC94" s="12"/>
      <c r="BD94" s="12">
        <v>0</v>
      </c>
      <c r="BE94" s="12"/>
      <c r="BF94" s="12">
        <v>0</v>
      </c>
      <c r="BG94" s="12"/>
      <c r="BH94" s="12">
        <v>0</v>
      </c>
      <c r="BI94" s="12"/>
      <c r="BJ94" s="12">
        <v>0</v>
      </c>
      <c r="BK94" s="12"/>
      <c r="BL94" s="12">
        <f t="shared" si="22"/>
        <v>0</v>
      </c>
      <c r="BM94" s="6"/>
      <c r="BN94" s="12">
        <v>0</v>
      </c>
      <c r="BO94" s="6"/>
      <c r="BP94" s="6">
        <f t="shared" si="23"/>
        <v>0</v>
      </c>
      <c r="BQ94" s="12"/>
      <c r="BR94" s="6">
        <f t="shared" si="24"/>
        <v>0</v>
      </c>
      <c r="BS94" s="12"/>
      <c r="BT94" s="6">
        <f t="shared" si="25"/>
        <v>0</v>
      </c>
      <c r="BU94" s="12"/>
    </row>
    <row r="95" spans="1:73" s="11" customFormat="1">
      <c r="A95" s="17"/>
      <c r="B95" s="17" t="s">
        <v>233</v>
      </c>
      <c r="C95" s="30"/>
      <c r="D95" s="30"/>
      <c r="E95" s="30"/>
      <c r="F95" s="30"/>
      <c r="G95" s="30"/>
      <c r="H95" s="30"/>
      <c r="I95" s="30"/>
      <c r="J95" s="156" t="s">
        <v>236</v>
      </c>
      <c r="K95" s="30"/>
      <c r="L95" s="134" t="s">
        <v>202</v>
      </c>
      <c r="M95" s="12"/>
      <c r="N95" s="12">
        <v>0</v>
      </c>
      <c r="O95" s="12"/>
      <c r="P95" s="12">
        <v>0</v>
      </c>
      <c r="Q95" s="12"/>
      <c r="R95" s="6">
        <f>+N95+P95</f>
        <v>0</v>
      </c>
      <c r="S95" s="12"/>
      <c r="T95" s="12">
        <v>0</v>
      </c>
      <c r="U95" s="80"/>
      <c r="V95" s="12">
        <v>0</v>
      </c>
      <c r="W95" s="80"/>
      <c r="X95" s="12">
        <v>0</v>
      </c>
      <c r="Y95" s="80"/>
      <c r="Z95" s="12">
        <v>0</v>
      </c>
      <c r="AA95" s="80"/>
      <c r="AB95" s="12">
        <v>0</v>
      </c>
      <c r="AC95" s="80"/>
      <c r="AD95" s="12">
        <v>0</v>
      </c>
      <c r="AE95" s="80"/>
      <c r="AF95" s="12">
        <v>0</v>
      </c>
      <c r="AG95" s="80"/>
      <c r="AH95" s="12">
        <v>0</v>
      </c>
      <c r="AI95"/>
      <c r="AJ95" s="12">
        <v>0</v>
      </c>
      <c r="AK95"/>
      <c r="AL95" s="12">
        <v>0</v>
      </c>
      <c r="AM95"/>
      <c r="AN95" s="12">
        <v>0</v>
      </c>
      <c r="AO95" s="80"/>
      <c r="AP95" s="12">
        <v>0</v>
      </c>
      <c r="AQ95" s="80"/>
      <c r="AR95" s="12">
        <v>0</v>
      </c>
      <c r="AS95" s="80"/>
      <c r="AT95" s="12">
        <v>0</v>
      </c>
      <c r="AU95" s="12"/>
      <c r="AV95" s="12">
        <v>0</v>
      </c>
      <c r="AW95" s="12"/>
      <c r="AX95" s="12">
        <v>0</v>
      </c>
      <c r="AY95" s="12"/>
      <c r="AZ95" s="12">
        <v>0</v>
      </c>
      <c r="BA95" s="12"/>
      <c r="BB95" s="12">
        <v>0</v>
      </c>
      <c r="BC95" s="12"/>
      <c r="BD95" s="12">
        <v>0</v>
      </c>
      <c r="BE95" s="12"/>
      <c r="BF95" s="12">
        <v>0</v>
      </c>
      <c r="BG95" s="12"/>
      <c r="BH95" s="12">
        <v>0</v>
      </c>
      <c r="BI95" s="12"/>
      <c r="BJ95" s="12">
        <v>0</v>
      </c>
      <c r="BK95" s="12"/>
      <c r="BL95" s="12">
        <f t="shared" si="22"/>
        <v>0</v>
      </c>
      <c r="BM95" s="12"/>
      <c r="BN95" s="12">
        <v>0</v>
      </c>
      <c r="BO95" s="12"/>
      <c r="BP95" s="6">
        <f t="shared" si="23"/>
        <v>0</v>
      </c>
      <c r="BQ95" s="12"/>
      <c r="BR95" s="6">
        <f t="shared" si="24"/>
        <v>0</v>
      </c>
      <c r="BS95" s="12"/>
      <c r="BT95" s="6">
        <f t="shared" si="25"/>
        <v>0</v>
      </c>
      <c r="BU95" s="12"/>
    </row>
    <row r="96" spans="1:73">
      <c r="A96" s="61"/>
      <c r="B96" s="17" t="s">
        <v>121</v>
      </c>
      <c r="C96"/>
      <c r="D96"/>
      <c r="E96"/>
      <c r="F96"/>
      <c r="G96"/>
      <c r="H96"/>
      <c r="I96"/>
      <c r="J96" s="49"/>
      <c r="K96"/>
      <c r="L96" s="134" t="s">
        <v>202</v>
      </c>
      <c r="M96" s="6"/>
      <c r="N96" s="12">
        <v>0</v>
      </c>
      <c r="O96" s="12"/>
      <c r="P96" s="12">
        <v>0</v>
      </c>
      <c r="Q96" s="12"/>
      <c r="R96" s="6">
        <f>+N96+P96</f>
        <v>0</v>
      </c>
      <c r="S96" s="12"/>
      <c r="T96" s="12">
        <v>0</v>
      </c>
      <c r="U96" s="80"/>
      <c r="V96" s="12">
        <v>0</v>
      </c>
      <c r="W96" s="80"/>
      <c r="X96" s="12">
        <v>0</v>
      </c>
      <c r="Y96" s="80"/>
      <c r="Z96" s="12">
        <v>0</v>
      </c>
      <c r="AA96" s="80"/>
      <c r="AB96" s="12">
        <v>0</v>
      </c>
      <c r="AC96" s="80"/>
      <c r="AD96" s="12">
        <v>0</v>
      </c>
      <c r="AE96" s="80"/>
      <c r="AF96" s="12">
        <v>0</v>
      </c>
      <c r="AG96" s="80"/>
      <c r="AH96" s="12">
        <v>0</v>
      </c>
      <c r="AI96"/>
      <c r="AJ96" s="12">
        <v>0</v>
      </c>
      <c r="AL96" s="12">
        <v>0</v>
      </c>
      <c r="AN96" s="12">
        <v>0</v>
      </c>
      <c r="AO96" s="80"/>
      <c r="AP96" s="12">
        <v>0</v>
      </c>
      <c r="AQ96" s="80"/>
      <c r="AR96" s="12">
        <v>0</v>
      </c>
      <c r="AS96" s="80"/>
      <c r="AT96" s="12">
        <v>0</v>
      </c>
      <c r="AU96" s="12"/>
      <c r="AV96" s="12">
        <v>0</v>
      </c>
      <c r="AW96" s="12"/>
      <c r="AX96" s="12">
        <v>0</v>
      </c>
      <c r="AY96" s="12"/>
      <c r="AZ96" s="12">
        <v>0</v>
      </c>
      <c r="BA96" s="12"/>
      <c r="BB96" s="12">
        <v>0</v>
      </c>
      <c r="BC96" s="12"/>
      <c r="BD96" s="12">
        <v>0</v>
      </c>
      <c r="BE96" s="12"/>
      <c r="BF96" s="12">
        <v>0</v>
      </c>
      <c r="BG96" s="12"/>
      <c r="BH96" s="12">
        <v>0</v>
      </c>
      <c r="BI96" s="12"/>
      <c r="BJ96" s="12">
        <v>0</v>
      </c>
      <c r="BK96" s="12"/>
      <c r="BL96" s="12">
        <f t="shared" si="22"/>
        <v>0</v>
      </c>
      <c r="BM96" s="6"/>
      <c r="BN96" s="12">
        <v>0</v>
      </c>
      <c r="BO96" s="6"/>
      <c r="BP96" s="6">
        <f t="shared" si="23"/>
        <v>0</v>
      </c>
      <c r="BQ96" s="12"/>
      <c r="BR96" s="6">
        <f t="shared" si="24"/>
        <v>0</v>
      </c>
      <c r="BS96" s="12"/>
      <c r="BT96" s="6">
        <f t="shared" si="25"/>
        <v>0</v>
      </c>
      <c r="BU96" s="12"/>
    </row>
    <row r="97" spans="1:73">
      <c r="A97" s="61"/>
      <c r="B97" s="17"/>
      <c r="C97"/>
      <c r="D97"/>
      <c r="E97"/>
      <c r="F97"/>
      <c r="G97"/>
      <c r="H97"/>
      <c r="I97"/>
      <c r="J97" s="49"/>
      <c r="K97"/>
      <c r="L97" s="134"/>
      <c r="M97" s="6"/>
      <c r="N97" s="12"/>
      <c r="O97" s="12"/>
      <c r="P97" s="12"/>
      <c r="Q97" s="12"/>
      <c r="R97" s="12"/>
      <c r="S97" s="12"/>
      <c r="T97" s="12"/>
      <c r="U97" s="80"/>
      <c r="V97" s="12"/>
      <c r="W97" s="80"/>
      <c r="X97" s="12"/>
      <c r="Y97" s="80"/>
      <c r="Z97" s="12"/>
      <c r="AA97" s="80"/>
      <c r="AB97" s="12"/>
      <c r="AC97" s="80"/>
      <c r="AD97" s="12"/>
      <c r="AE97" s="80"/>
      <c r="AF97" s="12"/>
      <c r="AG97" s="80"/>
      <c r="AH97" s="12"/>
      <c r="AI97"/>
      <c r="AJ97" s="12"/>
      <c r="AL97" s="12"/>
      <c r="AN97" s="12"/>
      <c r="AO97" s="80"/>
      <c r="AP97" s="12"/>
      <c r="AQ97" s="80"/>
      <c r="AR97" s="12"/>
      <c r="AS97" s="80"/>
      <c r="AT97" s="12"/>
      <c r="AU97" s="12"/>
      <c r="AV97" s="12"/>
      <c r="AW97" s="12"/>
      <c r="AX97" s="12"/>
      <c r="AY97" s="12"/>
      <c r="AZ97" s="12"/>
      <c r="BA97" s="12"/>
      <c r="BB97" s="12"/>
      <c r="BC97" s="12"/>
      <c r="BD97" s="12"/>
      <c r="BE97" s="12"/>
      <c r="BF97" s="12"/>
      <c r="BG97" s="12"/>
      <c r="BH97" s="12"/>
      <c r="BI97" s="12"/>
      <c r="BJ97" s="12"/>
      <c r="BK97" s="12"/>
      <c r="BL97" s="12"/>
      <c r="BM97" s="6"/>
      <c r="BN97" s="12"/>
      <c r="BO97" s="6"/>
      <c r="BP97" s="6">
        <f t="shared" si="23"/>
        <v>0</v>
      </c>
      <c r="BQ97" s="12"/>
      <c r="BR97" s="12"/>
      <c r="BS97" s="12"/>
      <c r="BT97" s="12"/>
      <c r="BU97" s="12"/>
    </row>
    <row r="98" spans="1:73" s="114" customFormat="1">
      <c r="A98" s="112"/>
      <c r="B98" s="113" t="s">
        <v>244</v>
      </c>
      <c r="J98" s="157"/>
      <c r="L98" s="142"/>
      <c r="M98" s="115"/>
      <c r="N98" s="116">
        <f>SUM(N91:N97)</f>
        <v>0</v>
      </c>
      <c r="O98" s="115"/>
      <c r="P98" s="116">
        <f>SUM(P91:P97)</f>
        <v>0</v>
      </c>
      <c r="Q98" s="115"/>
      <c r="R98" s="116">
        <f>SUM(R91:R97)</f>
        <v>3760000</v>
      </c>
      <c r="S98" s="115"/>
      <c r="T98" s="116">
        <f>SUM(T91:T97)</f>
        <v>0</v>
      </c>
      <c r="U98" s="115"/>
      <c r="V98" s="116">
        <f>SUM(V91:V97)</f>
        <v>0</v>
      </c>
      <c r="W98" s="115"/>
      <c r="X98" s="116">
        <f>SUM(X91:X97)</f>
        <v>0</v>
      </c>
      <c r="Y98" s="115"/>
      <c r="Z98" s="116">
        <f>SUM(Z91:Z97)</f>
        <v>0</v>
      </c>
      <c r="AA98" s="115"/>
      <c r="AB98" s="116">
        <f>SUM(AB91:AB97)</f>
        <v>0</v>
      </c>
      <c r="AC98" s="115"/>
      <c r="AD98" s="116">
        <f>SUM(AD91:AD97)</f>
        <v>0</v>
      </c>
      <c r="AE98" s="115"/>
      <c r="AF98" s="116">
        <f>SUM(AF91:AF97)</f>
        <v>0</v>
      </c>
      <c r="AG98" s="115"/>
      <c r="AH98" s="116">
        <f>SUM(AH91:AH97)</f>
        <v>313333.33333333331</v>
      </c>
      <c r="AI98"/>
      <c r="AJ98" s="116">
        <f>SUM(AJ91:AJ97)</f>
        <v>313333.34999999998</v>
      </c>
      <c r="AK98"/>
      <c r="AL98" s="116">
        <f>SUM(AL91:AL97)</f>
        <v>313332</v>
      </c>
      <c r="AM98"/>
      <c r="AN98" s="116">
        <f>SUM(AN91:AN97)</f>
        <v>313332.33</v>
      </c>
      <c r="AO98" s="115"/>
      <c r="AP98" s="116">
        <f>SUM(AP91:AP97)</f>
        <v>318332.33</v>
      </c>
      <c r="AQ98" s="115"/>
      <c r="AR98" s="116">
        <f>SUM(AR91:AR97)</f>
        <v>313331.33999999997</v>
      </c>
      <c r="AS98" s="115"/>
      <c r="AT98" s="116">
        <f>SUM(AT91:AT97)</f>
        <v>313332.33</v>
      </c>
      <c r="AU98" s="117"/>
      <c r="AV98" s="116">
        <f>SUM(AV91:AV97)</f>
        <v>313333.33</v>
      </c>
      <c r="AW98" s="117"/>
      <c r="AX98" s="116">
        <f>SUM(AX91:AX97)</f>
        <v>313333.33</v>
      </c>
      <c r="AY98" s="117"/>
      <c r="AZ98" s="116">
        <f>SUM(AZ91:AZ97)</f>
        <v>313333</v>
      </c>
      <c r="BA98" s="117"/>
      <c r="BB98" s="116">
        <f>SUM(BB91:BB97)</f>
        <v>0</v>
      </c>
      <c r="BC98" s="117"/>
      <c r="BD98" s="116">
        <f>SUM(BD91:BD97)</f>
        <v>0</v>
      </c>
      <c r="BE98" s="117"/>
      <c r="BF98" s="116">
        <f>SUM(BF91:BF97)</f>
        <v>0</v>
      </c>
      <c r="BG98" s="117"/>
      <c r="BH98" s="116">
        <f>SUM(BH91:BH97)</f>
        <v>0</v>
      </c>
      <c r="BI98" s="117"/>
      <c r="BJ98" s="116">
        <f>SUM(BJ91:BJ97)</f>
        <v>0</v>
      </c>
      <c r="BK98" s="115"/>
      <c r="BL98" s="116">
        <f>SUM(BL91:BL97)</f>
        <v>3138326.6733333333</v>
      </c>
      <c r="BM98" s="115"/>
      <c r="BN98" s="116">
        <f>SUM(BN91:BN97)</f>
        <v>5000</v>
      </c>
      <c r="BO98" s="115"/>
      <c r="BP98" s="116">
        <f>SUM(BP91:BP97)</f>
        <v>626673.32666666678</v>
      </c>
      <c r="BQ98" s="115"/>
      <c r="BR98" s="116">
        <f>SUM(BR91:BR97)</f>
        <v>3765000</v>
      </c>
      <c r="BS98" s="115"/>
      <c r="BT98" s="116">
        <f>SUM(BT91:BT97)</f>
        <v>-5000</v>
      </c>
      <c r="BU98" s="117"/>
    </row>
    <row r="99" spans="1:73" customFormat="1"/>
    <row r="100" spans="1:73" s="15" customFormat="1">
      <c r="A100" s="62" t="s">
        <v>242</v>
      </c>
      <c r="B100" s="17"/>
      <c r="C100"/>
      <c r="D100"/>
      <c r="E100"/>
      <c r="F100"/>
      <c r="G100"/>
      <c r="H100"/>
      <c r="I100"/>
      <c r="J100" s="49"/>
      <c r="K100"/>
      <c r="L100" s="134" t="s">
        <v>202</v>
      </c>
      <c r="M100" s="22"/>
      <c r="N100" s="22"/>
      <c r="O100" s="22"/>
      <c r="P100" s="22"/>
      <c r="Q100" s="22"/>
      <c r="R100" s="22"/>
      <c r="S100" s="22"/>
      <c r="T100" s="22"/>
      <c r="U100" s="22"/>
      <c r="V100" s="22"/>
      <c r="W100" s="22"/>
      <c r="X100" s="22"/>
      <c r="Y100" s="22"/>
      <c r="Z100" s="22"/>
      <c r="AA100" s="22"/>
      <c r="AB100" s="22"/>
      <c r="AC100" s="22"/>
      <c r="AD100" s="22"/>
      <c r="AE100" s="22"/>
      <c r="AF100" s="22"/>
      <c r="AG100" s="22"/>
      <c r="AH100" s="22"/>
      <c r="AI100"/>
      <c r="AJ100" s="22"/>
      <c r="AK100"/>
      <c r="AL100" s="22"/>
      <c r="AM100"/>
      <c r="AN100" s="22"/>
      <c r="AO100" s="22"/>
      <c r="AP100" s="22"/>
      <c r="AQ100" s="22"/>
      <c r="AR100" s="22"/>
      <c r="AS100" s="22"/>
      <c r="AT100" s="22"/>
      <c r="AU100" s="22"/>
      <c r="AV100" s="22"/>
      <c r="AW100" s="22"/>
      <c r="AX100" s="22"/>
      <c r="AY100" s="22"/>
      <c r="AZ100" s="22"/>
      <c r="BA100" s="22"/>
      <c r="BB100" s="22"/>
      <c r="BC100" s="22"/>
      <c r="BD100" s="22"/>
      <c r="BE100" s="22"/>
      <c r="BF100" s="22"/>
      <c r="BG100" s="22"/>
      <c r="BH100" s="22"/>
      <c r="BI100" s="22"/>
      <c r="BJ100" s="22"/>
      <c r="BK100" s="22"/>
      <c r="BL100" s="22"/>
      <c r="BM100" s="22"/>
      <c r="BN100" s="22"/>
      <c r="BO100" s="22"/>
      <c r="BP100" s="22"/>
      <c r="BQ100" s="22"/>
      <c r="BR100" s="22"/>
      <c r="BS100" s="22"/>
      <c r="BT100" s="22"/>
      <c r="BU100" s="22"/>
    </row>
    <row r="101" spans="1:73" s="15" customFormat="1">
      <c r="A101" s="62"/>
      <c r="B101" s="17" t="s">
        <v>255</v>
      </c>
      <c r="C101"/>
      <c r="D101"/>
      <c r="E101"/>
      <c r="F101"/>
      <c r="G101"/>
      <c r="H101"/>
      <c r="I101"/>
      <c r="J101" s="49" t="s">
        <v>0</v>
      </c>
      <c r="K101"/>
      <c r="L101" s="134" t="s">
        <v>202</v>
      </c>
      <c r="M101" s="22"/>
      <c r="N101" s="22">
        <v>0</v>
      </c>
      <c r="O101" s="22"/>
      <c r="P101" s="22">
        <v>0</v>
      </c>
      <c r="Q101" s="22"/>
      <c r="R101" s="6">
        <v>9479079</v>
      </c>
      <c r="S101" s="22"/>
      <c r="T101" s="22">
        <v>0</v>
      </c>
      <c r="U101" s="22"/>
      <c r="V101" s="22">
        <v>0</v>
      </c>
      <c r="W101" s="22"/>
      <c r="X101" s="22">
        <v>0</v>
      </c>
      <c r="Y101" s="22"/>
      <c r="Z101" s="22">
        <v>0</v>
      </c>
      <c r="AA101" s="22"/>
      <c r="AB101" s="22">
        <v>0</v>
      </c>
      <c r="AC101" s="22"/>
      <c r="AD101" s="22">
        <v>0</v>
      </c>
      <c r="AE101" s="22"/>
      <c r="AF101" s="22">
        <v>815280</v>
      </c>
      <c r="AG101" s="22"/>
      <c r="AH101" s="22">
        <v>2025875.7</v>
      </c>
      <c r="AI101"/>
      <c r="AJ101" s="22">
        <v>0</v>
      </c>
      <c r="AK101"/>
      <c r="AL101" s="22">
        <v>0</v>
      </c>
      <c r="AM101"/>
      <c r="AN101" s="22">
        <v>1894103.8</v>
      </c>
      <c r="AO101" s="22"/>
      <c r="AP101" s="22">
        <v>0</v>
      </c>
      <c r="AQ101" s="22"/>
      <c r="AR101" s="22">
        <v>0</v>
      </c>
      <c r="AS101" s="22"/>
      <c r="AT101" s="22">
        <v>0</v>
      </c>
      <c r="AU101" s="22"/>
      <c r="AV101" s="22">
        <v>1183814.8799999999</v>
      </c>
      <c r="AW101" s="22"/>
      <c r="AX101" s="22">
        <v>2943550.62</v>
      </c>
      <c r="AY101" s="22"/>
      <c r="AZ101" s="22">
        <v>0</v>
      </c>
      <c r="BA101" s="22"/>
      <c r="BB101" s="22">
        <v>0</v>
      </c>
      <c r="BC101" s="22"/>
      <c r="BD101" s="22">
        <v>0</v>
      </c>
      <c r="BE101" s="22"/>
      <c r="BF101" s="22">
        <v>0</v>
      </c>
      <c r="BG101" s="22"/>
      <c r="BH101" s="22">
        <v>0</v>
      </c>
      <c r="BI101" s="22"/>
      <c r="BJ101" s="22">
        <v>0</v>
      </c>
      <c r="BK101" s="22"/>
      <c r="BL101" s="22">
        <f>SUM(T101:BK101)</f>
        <v>8862625</v>
      </c>
      <c r="BM101" s="22"/>
      <c r="BN101" s="22">
        <v>440</v>
      </c>
      <c r="BO101" s="22"/>
      <c r="BP101" s="6">
        <f t="shared" ref="BP101:BP106" si="26">IF(+R101-BL101+BN101&gt;0,R101-BL101+BN101,0)</f>
        <v>616894</v>
      </c>
      <c r="BQ101" s="22"/>
      <c r="BR101" s="6">
        <f>+BL101+BP101</f>
        <v>9479519</v>
      </c>
      <c r="BS101" s="22"/>
      <c r="BT101" s="6">
        <f>+R101-BR101</f>
        <v>-440</v>
      </c>
      <c r="BU101" s="22"/>
    </row>
    <row r="102" spans="1:73" s="15" customFormat="1">
      <c r="A102" s="62"/>
      <c r="B102" s="17" t="s">
        <v>256</v>
      </c>
      <c r="C102"/>
      <c r="D102"/>
      <c r="E102"/>
      <c r="F102"/>
      <c r="G102"/>
      <c r="H102"/>
      <c r="I102"/>
      <c r="J102" s="49" t="s">
        <v>0</v>
      </c>
      <c r="K102"/>
      <c r="L102" s="134" t="s">
        <v>202</v>
      </c>
      <c r="M102" s="22"/>
      <c r="N102" s="22">
        <v>0</v>
      </c>
      <c r="O102" s="22"/>
      <c r="P102" s="22">
        <v>0</v>
      </c>
      <c r="Q102" s="22"/>
      <c r="R102" s="6">
        <v>0</v>
      </c>
      <c r="S102" s="22"/>
      <c r="T102" s="22">
        <v>0</v>
      </c>
      <c r="U102" s="22"/>
      <c r="V102" s="22">
        <v>0</v>
      </c>
      <c r="W102" s="22"/>
      <c r="X102" s="22">
        <v>0</v>
      </c>
      <c r="Y102" s="22"/>
      <c r="Z102" s="22">
        <v>0</v>
      </c>
      <c r="AA102" s="22"/>
      <c r="AB102" s="22">
        <v>0</v>
      </c>
      <c r="AC102" s="22"/>
      <c r="AD102" s="22">
        <v>0</v>
      </c>
      <c r="AE102" s="22"/>
      <c r="AF102" s="22">
        <v>0</v>
      </c>
      <c r="AG102" s="22"/>
      <c r="AH102" s="22">
        <v>0</v>
      </c>
      <c r="AI102"/>
      <c r="AJ102" s="22">
        <v>0</v>
      </c>
      <c r="AK102"/>
      <c r="AL102" s="22">
        <v>0</v>
      </c>
      <c r="AM10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f>SUM(T102:BK102)</f>
        <v>0</v>
      </c>
      <c r="BM102" s="22"/>
      <c r="BN102" s="22">
        <v>0</v>
      </c>
      <c r="BO102" s="22"/>
      <c r="BP102" s="6">
        <f t="shared" si="26"/>
        <v>0</v>
      </c>
      <c r="BQ102" s="22"/>
      <c r="BR102" s="6">
        <f>+BL102+BP102</f>
        <v>0</v>
      </c>
      <c r="BS102" s="22"/>
      <c r="BT102" s="6">
        <f>+R102-BR102</f>
        <v>0</v>
      </c>
      <c r="BU102" s="22"/>
    </row>
    <row r="103" spans="1:73" s="15" customFormat="1">
      <c r="A103" s="57"/>
      <c r="B103" s="17" t="s">
        <v>257</v>
      </c>
      <c r="C103"/>
      <c r="D103"/>
      <c r="E103"/>
      <c r="F103"/>
      <c r="G103"/>
      <c r="H103"/>
      <c r="I103"/>
      <c r="J103" s="49" t="s">
        <v>0</v>
      </c>
      <c r="K103"/>
      <c r="L103" s="134" t="s">
        <v>202</v>
      </c>
      <c r="M103" s="22"/>
      <c r="N103" s="22">
        <v>0</v>
      </c>
      <c r="O103" s="22"/>
      <c r="P103" s="22">
        <v>0</v>
      </c>
      <c r="Q103" s="22"/>
      <c r="R103" s="6">
        <v>0</v>
      </c>
      <c r="S103" s="22"/>
      <c r="T103" s="22">
        <v>0</v>
      </c>
      <c r="U103" s="22"/>
      <c r="V103" s="22">
        <v>0</v>
      </c>
      <c r="W103" s="22"/>
      <c r="X103" s="22">
        <v>0</v>
      </c>
      <c r="Y103" s="22"/>
      <c r="Z103" s="22">
        <v>0</v>
      </c>
      <c r="AA103" s="22"/>
      <c r="AB103" s="22">
        <v>0</v>
      </c>
      <c r="AC103" s="22"/>
      <c r="AD103" s="22">
        <v>0</v>
      </c>
      <c r="AE103" s="22"/>
      <c r="AF103" s="22">
        <v>0</v>
      </c>
      <c r="AG103" s="22"/>
      <c r="AH103" s="22">
        <v>0</v>
      </c>
      <c r="AI103"/>
      <c r="AJ103" s="22">
        <v>0</v>
      </c>
      <c r="AK103"/>
      <c r="AL103" s="22">
        <v>0</v>
      </c>
      <c r="AM103"/>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f>SUM(T103:BK103)</f>
        <v>0</v>
      </c>
      <c r="BM103" s="22"/>
      <c r="BN103" s="22">
        <v>0</v>
      </c>
      <c r="BO103" s="22"/>
      <c r="BP103" s="6">
        <f t="shared" si="26"/>
        <v>0</v>
      </c>
      <c r="BQ103" s="22"/>
      <c r="BR103" s="6">
        <f>+BL103+BP103</f>
        <v>0</v>
      </c>
      <c r="BS103" s="22"/>
      <c r="BT103" s="6">
        <f>+R103-BR103</f>
        <v>0</v>
      </c>
      <c r="BU103" s="22"/>
    </row>
    <row r="104" spans="1:73" s="109" customFormat="1">
      <c r="A104" s="100"/>
      <c r="B104" s="17" t="s">
        <v>258</v>
      </c>
      <c r="C104" s="30"/>
      <c r="D104" s="30"/>
      <c r="E104" s="30"/>
      <c r="F104" s="30"/>
      <c r="G104" s="30"/>
      <c r="H104" s="30"/>
      <c r="I104" s="30"/>
      <c r="J104" s="49" t="s">
        <v>0</v>
      </c>
      <c r="K104" s="30"/>
      <c r="L104" s="134" t="s">
        <v>202</v>
      </c>
      <c r="M104" s="80"/>
      <c r="N104" s="80">
        <v>0</v>
      </c>
      <c r="O104" s="80"/>
      <c r="P104" s="80">
        <v>0</v>
      </c>
      <c r="Q104" s="80"/>
      <c r="R104" s="6">
        <v>0</v>
      </c>
      <c r="S104" s="80"/>
      <c r="T104" s="80">
        <v>0</v>
      </c>
      <c r="U104" s="80"/>
      <c r="V104" s="80">
        <v>0</v>
      </c>
      <c r="W104" s="80"/>
      <c r="X104" s="80">
        <v>0</v>
      </c>
      <c r="Y104" s="80"/>
      <c r="Z104" s="80">
        <v>0</v>
      </c>
      <c r="AA104" s="80"/>
      <c r="AB104" s="80">
        <v>0</v>
      </c>
      <c r="AC104" s="80"/>
      <c r="AD104" s="80">
        <v>0</v>
      </c>
      <c r="AE104" s="80"/>
      <c r="AF104" s="80">
        <v>0</v>
      </c>
      <c r="AG104" s="80"/>
      <c r="AH104" s="80">
        <v>0</v>
      </c>
      <c r="AI104"/>
      <c r="AJ104" s="80">
        <v>0</v>
      </c>
      <c r="AK104"/>
      <c r="AL104" s="80">
        <v>0</v>
      </c>
      <c r="AM104"/>
      <c r="AN104" s="80">
        <v>0</v>
      </c>
      <c r="AO104" s="80"/>
      <c r="AP104" s="80">
        <v>0</v>
      </c>
      <c r="AQ104" s="80"/>
      <c r="AR104" s="80">
        <v>0</v>
      </c>
      <c r="AS104" s="80"/>
      <c r="AT104" s="80">
        <v>0</v>
      </c>
      <c r="AU104" s="80"/>
      <c r="AV104" s="80">
        <v>0</v>
      </c>
      <c r="AW104" s="80"/>
      <c r="AX104" s="80">
        <v>0</v>
      </c>
      <c r="AY104" s="80"/>
      <c r="AZ104" s="80">
        <v>0</v>
      </c>
      <c r="BA104" s="80"/>
      <c r="BB104" s="80">
        <v>0</v>
      </c>
      <c r="BC104" s="80"/>
      <c r="BD104" s="80">
        <v>0</v>
      </c>
      <c r="BE104" s="80"/>
      <c r="BF104" s="80">
        <v>0</v>
      </c>
      <c r="BG104" s="80"/>
      <c r="BH104" s="80">
        <v>0</v>
      </c>
      <c r="BI104" s="80"/>
      <c r="BJ104" s="80">
        <v>0</v>
      </c>
      <c r="BK104" s="80"/>
      <c r="BL104" s="80">
        <f>SUM(T104:BK104)</f>
        <v>0</v>
      </c>
      <c r="BM104" s="80"/>
      <c r="BN104" s="80">
        <v>0</v>
      </c>
      <c r="BO104" s="80"/>
      <c r="BP104" s="6">
        <f t="shared" si="26"/>
        <v>0</v>
      </c>
      <c r="BQ104" s="80"/>
      <c r="BR104" s="6">
        <f>+BL104+BP104</f>
        <v>0</v>
      </c>
      <c r="BS104" s="80"/>
      <c r="BT104" s="6">
        <f>+R104-BR104</f>
        <v>0</v>
      </c>
      <c r="BU104" s="80"/>
    </row>
    <row r="105" spans="1:73" s="15" customFormat="1">
      <c r="A105" s="57"/>
      <c r="B105" s="17" t="s">
        <v>259</v>
      </c>
      <c r="C105"/>
      <c r="D105"/>
      <c r="E105"/>
      <c r="F105"/>
      <c r="G105"/>
      <c r="H105"/>
      <c r="I105"/>
      <c r="J105" s="49" t="s">
        <v>0</v>
      </c>
      <c r="K105"/>
      <c r="L105" s="134" t="s">
        <v>202</v>
      </c>
      <c r="M105" s="22"/>
      <c r="N105" s="80">
        <v>0</v>
      </c>
      <c r="O105" s="22"/>
      <c r="P105" s="80">
        <v>0</v>
      </c>
      <c r="Q105" s="22"/>
      <c r="R105" s="6">
        <v>0</v>
      </c>
      <c r="S105" s="22"/>
      <c r="T105" s="80">
        <v>0</v>
      </c>
      <c r="U105" s="80"/>
      <c r="V105" s="80">
        <v>0</v>
      </c>
      <c r="W105" s="80"/>
      <c r="X105" s="80">
        <v>0</v>
      </c>
      <c r="Y105" s="80"/>
      <c r="Z105" s="80">
        <v>0</v>
      </c>
      <c r="AA105" s="80"/>
      <c r="AB105" s="80">
        <v>0</v>
      </c>
      <c r="AC105" s="80"/>
      <c r="AD105" s="80">
        <v>0</v>
      </c>
      <c r="AE105" s="80"/>
      <c r="AF105" s="80">
        <v>0</v>
      </c>
      <c r="AG105" s="80"/>
      <c r="AH105" s="80">
        <v>0</v>
      </c>
      <c r="AI105"/>
      <c r="AJ105" s="80">
        <v>0</v>
      </c>
      <c r="AK105"/>
      <c r="AL105" s="80">
        <v>0</v>
      </c>
      <c r="AM105"/>
      <c r="AN105" s="80">
        <v>0</v>
      </c>
      <c r="AO105" s="80"/>
      <c r="AP105" s="80">
        <v>0</v>
      </c>
      <c r="AQ105" s="80"/>
      <c r="AR105" s="80">
        <v>0</v>
      </c>
      <c r="AS105" s="80"/>
      <c r="AT105" s="80">
        <v>0</v>
      </c>
      <c r="AU105" s="80"/>
      <c r="AV105" s="80">
        <v>0</v>
      </c>
      <c r="AW105" s="80"/>
      <c r="AX105" s="80">
        <v>0</v>
      </c>
      <c r="AY105" s="80"/>
      <c r="AZ105" s="80">
        <v>0</v>
      </c>
      <c r="BA105" s="80"/>
      <c r="BB105" s="80">
        <v>0</v>
      </c>
      <c r="BC105" s="80"/>
      <c r="BD105" s="80">
        <v>0</v>
      </c>
      <c r="BE105" s="80"/>
      <c r="BF105" s="80">
        <v>0</v>
      </c>
      <c r="BG105" s="80"/>
      <c r="BH105" s="80">
        <v>0</v>
      </c>
      <c r="BI105" s="80"/>
      <c r="BJ105" s="80">
        <v>0</v>
      </c>
      <c r="BK105" s="22"/>
      <c r="BL105" s="80">
        <f>SUM(T105:BK105)</f>
        <v>0</v>
      </c>
      <c r="BM105" s="22"/>
      <c r="BN105" s="80">
        <v>0</v>
      </c>
      <c r="BO105" s="22"/>
      <c r="BP105" s="6">
        <f t="shared" si="26"/>
        <v>0</v>
      </c>
      <c r="BQ105" s="22"/>
      <c r="BR105" s="6">
        <f>+BL105+BP105</f>
        <v>0</v>
      </c>
      <c r="BS105" s="22"/>
      <c r="BT105" s="6">
        <f>+R105-BR105</f>
        <v>0</v>
      </c>
      <c r="BU105" s="80"/>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c r="AJ106" s="80"/>
      <c r="AK106"/>
      <c r="AL106" s="80"/>
      <c r="AM106"/>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6">
        <f t="shared" si="26"/>
        <v>0</v>
      </c>
      <c r="BQ106" s="22"/>
      <c r="BR106" s="80"/>
      <c r="BS106" s="22"/>
      <c r="BT106" s="80"/>
      <c r="BU106" s="80"/>
    </row>
    <row r="107" spans="1:73" s="104" customFormat="1">
      <c r="A107" s="111"/>
      <c r="B107" s="77" t="s">
        <v>245</v>
      </c>
      <c r="C107" s="21"/>
      <c r="D107" s="21"/>
      <c r="E107" s="21"/>
      <c r="F107" s="21"/>
      <c r="G107" s="21"/>
      <c r="H107" s="21"/>
      <c r="I107" s="21"/>
      <c r="J107" s="8"/>
      <c r="K107" s="21"/>
      <c r="L107" s="143"/>
      <c r="M107" s="16"/>
      <c r="N107" s="108">
        <f>SUM(N101:N106)</f>
        <v>0</v>
      </c>
      <c r="O107" s="16"/>
      <c r="P107" s="108">
        <f>SUM(P101:P106)</f>
        <v>0</v>
      </c>
      <c r="Q107" s="16"/>
      <c r="R107" s="108">
        <f>SUM(R101:R106)</f>
        <v>9479079</v>
      </c>
      <c r="S107" s="16"/>
      <c r="T107" s="108">
        <f>SUM(T101:T106)</f>
        <v>0</v>
      </c>
      <c r="U107" s="16"/>
      <c r="V107" s="108">
        <f>SUM(V101:V106)</f>
        <v>0</v>
      </c>
      <c r="W107" s="16"/>
      <c r="X107" s="108">
        <f>SUM(X101:X106)</f>
        <v>0</v>
      </c>
      <c r="Y107" s="16"/>
      <c r="Z107" s="108">
        <f>SUM(Z101:Z106)</f>
        <v>0</v>
      </c>
      <c r="AA107" s="16"/>
      <c r="AB107" s="108">
        <f>SUM(AB101:AB106)</f>
        <v>0</v>
      </c>
      <c r="AC107" s="16"/>
      <c r="AD107" s="108">
        <f>SUM(AD101:AD106)</f>
        <v>0</v>
      </c>
      <c r="AE107" s="16"/>
      <c r="AF107" s="108">
        <f>SUM(AF101:AF106)</f>
        <v>815280</v>
      </c>
      <c r="AG107" s="16"/>
      <c r="AH107" s="108">
        <f>SUM(AH101:AH106)</f>
        <v>2025875.7</v>
      </c>
      <c r="AI107"/>
      <c r="AJ107" s="108">
        <f>SUM(AJ101:AJ106)</f>
        <v>0</v>
      </c>
      <c r="AK107"/>
      <c r="AL107" s="108">
        <f>SUM(AL101:AL106)</f>
        <v>0</v>
      </c>
      <c r="AM107"/>
      <c r="AN107" s="108">
        <f>SUM(AN101:AN106)</f>
        <v>1894103.8</v>
      </c>
      <c r="AO107" s="16"/>
      <c r="AP107" s="108">
        <f>SUM(AP101:AP106)</f>
        <v>0</v>
      </c>
      <c r="AQ107" s="16"/>
      <c r="AR107" s="108">
        <f>SUM(AR101:AR106)</f>
        <v>0</v>
      </c>
      <c r="AS107" s="16"/>
      <c r="AT107" s="108">
        <f>SUM(AT101:AT106)</f>
        <v>0</v>
      </c>
      <c r="AU107" s="103"/>
      <c r="AV107" s="108">
        <f>SUM(AV101:AV106)</f>
        <v>1183814.8799999999</v>
      </c>
      <c r="AW107" s="103"/>
      <c r="AX107" s="108">
        <f>SUM(AX101:AX106)</f>
        <v>2943550.62</v>
      </c>
      <c r="AY107" s="103"/>
      <c r="AZ107" s="108">
        <f>SUM(AZ101:AZ106)</f>
        <v>0</v>
      </c>
      <c r="BA107" s="103"/>
      <c r="BB107" s="108">
        <f>SUM(BB101:BB106)</f>
        <v>0</v>
      </c>
      <c r="BC107" s="103"/>
      <c r="BD107" s="108">
        <f>SUM(BD101:BD106)</f>
        <v>0</v>
      </c>
      <c r="BE107" s="103"/>
      <c r="BF107" s="108">
        <f>SUM(BF101:BF106)</f>
        <v>0</v>
      </c>
      <c r="BG107" s="103"/>
      <c r="BH107" s="108">
        <f>SUM(BH101:BH106)</f>
        <v>0</v>
      </c>
      <c r="BI107" s="103"/>
      <c r="BJ107" s="108">
        <f>SUM(BJ101:BJ106)</f>
        <v>0</v>
      </c>
      <c r="BK107" s="16"/>
      <c r="BL107" s="108">
        <f>SUM(BL101:BL106)</f>
        <v>8862625</v>
      </c>
      <c r="BM107" s="16"/>
      <c r="BN107" s="108">
        <f>SUM(BN101:BN106)</f>
        <v>440</v>
      </c>
      <c r="BO107" s="16"/>
      <c r="BP107" s="108">
        <f>SUM(BP101:BP106)</f>
        <v>616894</v>
      </c>
      <c r="BQ107" s="16"/>
      <c r="BR107" s="108">
        <f>SUM(BR101:BR106)</f>
        <v>9479519</v>
      </c>
      <c r="BS107" s="16"/>
      <c r="BT107" s="108">
        <f>SUM(BT101:BT106)</f>
        <v>-440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c r="AJ108" s="22"/>
      <c r="AK108"/>
      <c r="AL108" s="22"/>
      <c r="AM108"/>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c r="AJ109" s="13"/>
      <c r="AK109"/>
      <c r="AL109" s="13"/>
      <c r="AM109"/>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c r="AJ110" s="22"/>
      <c r="AK110"/>
      <c r="AL110" s="22"/>
      <c r="AM110"/>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s="15" customFormat="1">
      <c r="A111" s="14"/>
      <c r="B111" s="60"/>
      <c r="C111"/>
      <c r="D111"/>
      <c r="E111"/>
      <c r="F111"/>
      <c r="G111"/>
      <c r="H111"/>
      <c r="I111"/>
      <c r="J111" s="49"/>
      <c r="K111"/>
      <c r="L111" s="134"/>
      <c r="M111" s="22"/>
      <c r="N111" s="22"/>
      <c r="O111" s="22"/>
      <c r="P111" s="22"/>
      <c r="Q111" s="22"/>
      <c r="R111" s="22"/>
      <c r="S111" s="22"/>
      <c r="T111" s="22"/>
      <c r="U111" s="22"/>
      <c r="V111" s="22"/>
      <c r="W111" s="22"/>
      <c r="X111" s="22"/>
      <c r="Y111" s="22"/>
      <c r="Z111" s="22"/>
      <c r="AA111" s="22"/>
      <c r="AB111" s="22"/>
      <c r="AC111" s="22"/>
      <c r="AD111" s="22"/>
      <c r="AE111" s="22"/>
      <c r="AF111" s="22"/>
      <c r="AG111" s="22"/>
      <c r="AH111" s="22"/>
      <c r="AI111"/>
      <c r="AJ111" s="22">
        <f>83584768.91+2296826</f>
        <v>85881594.909999996</v>
      </c>
      <c r="AK111"/>
      <c r="AL111" s="22"/>
      <c r="AM111"/>
      <c r="AN111" s="22"/>
      <c r="AO111" s="22"/>
      <c r="AP111" s="22"/>
      <c r="AQ111" s="22"/>
      <c r="AR111" s="22"/>
      <c r="AS111" s="22"/>
      <c r="AT111" s="22"/>
      <c r="AU111" s="22"/>
      <c r="AV111" s="22"/>
      <c r="AW111" s="22"/>
      <c r="AX111" s="22"/>
      <c r="AY111" s="22"/>
      <c r="AZ111" s="22"/>
      <c r="BA111" s="22"/>
      <c r="BB111" s="22"/>
      <c r="BC111" s="22"/>
      <c r="BD111" s="22"/>
      <c r="BE111" s="22"/>
      <c r="BF111" s="22"/>
      <c r="BG111" s="22"/>
      <c r="BH111" s="22"/>
      <c r="BI111" s="22"/>
      <c r="BJ111" s="22"/>
      <c r="BK111" s="22"/>
      <c r="BL111" s="22"/>
      <c r="BM111" s="22"/>
      <c r="BN111" s="22"/>
      <c r="BO111" s="22"/>
      <c r="BP111" s="22"/>
      <c r="BQ111" s="22"/>
      <c r="BR111" s="22"/>
      <c r="BS111" s="22"/>
      <c r="BT111" s="22"/>
      <c r="BU111" s="22"/>
    </row>
    <row r="112" spans="1:73">
      <c r="A112" s="56" t="s">
        <v>25</v>
      </c>
      <c r="B112" s="58"/>
      <c r="C112"/>
      <c r="D112"/>
      <c r="E112"/>
      <c r="F112"/>
      <c r="G112"/>
      <c r="H112"/>
      <c r="I112"/>
      <c r="J112" s="49"/>
      <c r="K112"/>
      <c r="L112" s="134"/>
      <c r="M112" s="22"/>
      <c r="O112" s="22"/>
      <c r="Q112" s="22"/>
      <c r="S112" s="22"/>
      <c r="T112" s="6"/>
      <c r="U112" s="6"/>
      <c r="V112" s="6"/>
      <c r="X112" s="6"/>
      <c r="Z112" s="6"/>
      <c r="AB112" s="6"/>
      <c r="AD112" s="6"/>
      <c r="AI112"/>
      <c r="BJ112" s="6"/>
      <c r="BK112" s="6"/>
      <c r="BM112" s="6"/>
      <c r="BN112" s="6"/>
      <c r="BO112" s="6"/>
      <c r="BQ112" s="22"/>
      <c r="BS112" s="22"/>
      <c r="BU112" s="6"/>
    </row>
    <row r="113" spans="1:73">
      <c r="A113" s="61"/>
      <c r="B113" s="17" t="s">
        <v>529</v>
      </c>
      <c r="E113" s="4"/>
      <c r="G113" s="4"/>
      <c r="I113" s="4"/>
      <c r="J113" s="5" t="s">
        <v>0</v>
      </c>
      <c r="L113" s="134" t="s">
        <v>202</v>
      </c>
      <c r="M113" s="22"/>
      <c r="N113" s="6">
        <v>0</v>
      </c>
      <c r="O113" s="22"/>
      <c r="P113" s="6">
        <v>0</v>
      </c>
      <c r="Q113" s="22"/>
      <c r="R113" s="6">
        <v>185000</v>
      </c>
      <c r="S113" s="22"/>
      <c r="T113" s="6">
        <v>0</v>
      </c>
      <c r="U113" s="6"/>
      <c r="V113" s="6">
        <v>0</v>
      </c>
      <c r="X113" s="6">
        <v>0</v>
      </c>
      <c r="Z113" s="6">
        <v>0</v>
      </c>
      <c r="AB113" s="6">
        <v>0</v>
      </c>
      <c r="AD113" s="6">
        <v>0</v>
      </c>
      <c r="AF113" s="6">
        <v>0</v>
      </c>
      <c r="AH113" s="6">
        <v>0</v>
      </c>
      <c r="AI113"/>
      <c r="AJ113" s="6">
        <v>0</v>
      </c>
      <c r="AL113" s="6">
        <v>0</v>
      </c>
      <c r="AN113" s="6">
        <v>0</v>
      </c>
      <c r="AP113" s="6">
        <v>0</v>
      </c>
      <c r="AR113" s="6">
        <v>0</v>
      </c>
      <c r="AT113" s="6">
        <v>0</v>
      </c>
      <c r="AV113" s="6">
        <v>37000</v>
      </c>
      <c r="AX113" s="6">
        <v>37000</v>
      </c>
      <c r="AZ113" s="6">
        <v>37000</v>
      </c>
      <c r="BB113" s="6">
        <v>0</v>
      </c>
      <c r="BD113" s="6">
        <v>0</v>
      </c>
      <c r="BF113" s="6">
        <v>0</v>
      </c>
      <c r="BH113" s="6">
        <v>0</v>
      </c>
      <c r="BJ113" s="6">
        <v>0</v>
      </c>
      <c r="BK113" s="6"/>
      <c r="BL113" s="6">
        <f>SUM(T113:BK113)</f>
        <v>111000</v>
      </c>
      <c r="BM113" s="6"/>
      <c r="BN113" s="6">
        <v>0</v>
      </c>
      <c r="BO113" s="6"/>
      <c r="BP113" s="6">
        <f>IF(+R113-BL113+BN113&gt;0,R113-BL113+BN113,0)</f>
        <v>74000</v>
      </c>
      <c r="BQ113" s="22"/>
      <c r="BR113" s="6">
        <f>+BL113+BP113</f>
        <v>185000</v>
      </c>
      <c r="BS113" s="22"/>
      <c r="BT113" s="6">
        <f>+R113-BR113</f>
        <v>0</v>
      </c>
      <c r="BU113" s="6"/>
    </row>
    <row r="114" spans="1:73">
      <c r="A114" s="61"/>
      <c r="B114" s="17" t="s">
        <v>531</v>
      </c>
      <c r="E114" s="4"/>
      <c r="G114" s="4"/>
      <c r="I114" s="4"/>
      <c r="L114" s="134" t="s">
        <v>202</v>
      </c>
      <c r="M114" s="22"/>
      <c r="N114" s="6">
        <v>0</v>
      </c>
      <c r="O114" s="22"/>
      <c r="P114" s="6">
        <v>0</v>
      </c>
      <c r="Q114" s="22"/>
      <c r="R114" s="6">
        <v>723786</v>
      </c>
      <c r="S114" s="22"/>
      <c r="T114" s="6">
        <v>0</v>
      </c>
      <c r="U114" s="6"/>
      <c r="V114" s="6">
        <v>0</v>
      </c>
      <c r="X114" s="6">
        <v>0</v>
      </c>
      <c r="Z114" s="6">
        <v>0</v>
      </c>
      <c r="AB114" s="6">
        <v>0</v>
      </c>
      <c r="AD114" s="6">
        <v>0</v>
      </c>
      <c r="AF114" s="6">
        <v>0</v>
      </c>
      <c r="AH114" s="6">
        <v>0</v>
      </c>
      <c r="AI114"/>
      <c r="AJ114" s="6">
        <v>0</v>
      </c>
      <c r="AL114" s="6">
        <v>0</v>
      </c>
      <c r="AN114" s="6">
        <v>0</v>
      </c>
      <c r="AP114" s="6">
        <v>0</v>
      </c>
      <c r="AR114" s="6">
        <v>0</v>
      </c>
      <c r="AT114" s="6">
        <v>0</v>
      </c>
      <c r="AX114" s="6">
        <f>60063+44589</f>
        <v>104652</v>
      </c>
      <c r="AZ114" s="6">
        <v>114711.83</v>
      </c>
      <c r="BB114" s="6">
        <v>0</v>
      </c>
      <c r="BD114" s="6">
        <v>0</v>
      </c>
      <c r="BF114" s="6">
        <v>0</v>
      </c>
      <c r="BH114" s="6">
        <v>0</v>
      </c>
      <c r="BJ114" s="6">
        <v>0</v>
      </c>
      <c r="BK114" s="6"/>
      <c r="BL114" s="6">
        <f>SUM(T114:BK114)</f>
        <v>219363.83000000002</v>
      </c>
      <c r="BM114" s="6"/>
      <c r="BN114" s="6">
        <v>0</v>
      </c>
      <c r="BO114" s="6"/>
      <c r="BP114" s="6">
        <f>+R114-BL114+BN114</f>
        <v>504422.17</v>
      </c>
      <c r="BQ114" s="22"/>
      <c r="BR114" s="6">
        <f>+BL114+BP114</f>
        <v>723786</v>
      </c>
      <c r="BS114" s="22"/>
      <c r="BT114" s="6">
        <f>+R114-BR114</f>
        <v>0</v>
      </c>
      <c r="BU114" s="6"/>
    </row>
    <row r="115" spans="1:73" hidden="1">
      <c r="A115" s="61"/>
      <c r="B115" s="17" t="s">
        <v>121</v>
      </c>
      <c r="E115" s="4"/>
      <c r="G115" s="4"/>
      <c r="I115" s="4"/>
      <c r="L115" s="134" t="s">
        <v>202</v>
      </c>
      <c r="M115" s="22"/>
      <c r="N115" s="6">
        <v>0</v>
      </c>
      <c r="O115" s="22"/>
      <c r="P115" s="6">
        <v>0</v>
      </c>
      <c r="Q115" s="22"/>
      <c r="R115" s="6">
        <v>0</v>
      </c>
      <c r="S115" s="22"/>
      <c r="T115" s="6">
        <v>0</v>
      </c>
      <c r="U115" s="6"/>
      <c r="V115" s="6">
        <v>0</v>
      </c>
      <c r="X115" s="6">
        <v>0</v>
      </c>
      <c r="Z115" s="6">
        <v>0</v>
      </c>
      <c r="AB115" s="6">
        <v>0</v>
      </c>
      <c r="AD115" s="6">
        <v>0</v>
      </c>
      <c r="AF115" s="6">
        <v>0</v>
      </c>
      <c r="AH115" s="6">
        <v>0</v>
      </c>
      <c r="AI115"/>
      <c r="AJ115" s="6">
        <v>0</v>
      </c>
      <c r="AL115" s="6">
        <v>0</v>
      </c>
      <c r="AN115" s="6">
        <v>0</v>
      </c>
      <c r="AP115" s="6">
        <v>0</v>
      </c>
      <c r="AR115" s="6">
        <v>0</v>
      </c>
      <c r="AT115" s="6">
        <v>0</v>
      </c>
      <c r="AV115" s="6">
        <v>0</v>
      </c>
      <c r="AX115" s="6">
        <v>0</v>
      </c>
      <c r="AZ115" s="6">
        <v>0</v>
      </c>
      <c r="BB115" s="6">
        <v>0</v>
      </c>
      <c r="BD115" s="6">
        <v>0</v>
      </c>
      <c r="BF115" s="6">
        <v>0</v>
      </c>
      <c r="BH115" s="6">
        <v>0</v>
      </c>
      <c r="BJ115" s="6">
        <v>0</v>
      </c>
      <c r="BK115" s="6"/>
      <c r="BL115" s="6">
        <f>SUM(T115:BK115)</f>
        <v>0</v>
      </c>
      <c r="BM115" s="6"/>
      <c r="BN115" s="6">
        <v>0</v>
      </c>
      <c r="BO115" s="6"/>
      <c r="BP115" s="6">
        <f>+R115-BL115+BN115</f>
        <v>0</v>
      </c>
      <c r="BQ115" s="22"/>
      <c r="BR115" s="6">
        <f>+BL115+BP115</f>
        <v>0</v>
      </c>
      <c r="BS115" s="22"/>
      <c r="BT115" s="6">
        <f>+R115-BR115</f>
        <v>0</v>
      </c>
      <c r="BU115" s="6"/>
    </row>
    <row r="116" spans="1:73" s="21" customFormat="1">
      <c r="A116" s="56"/>
      <c r="B116" s="58" t="s">
        <v>247</v>
      </c>
      <c r="J116" s="8"/>
      <c r="L116" s="143"/>
      <c r="M116" s="16"/>
      <c r="N116" s="102">
        <f>SUM(N113:N115)</f>
        <v>0</v>
      </c>
      <c r="O116" s="16"/>
      <c r="P116" s="102">
        <f>SUM(P113:P115)</f>
        <v>0</v>
      </c>
      <c r="Q116" s="16"/>
      <c r="R116" s="102">
        <f>SUM(R113:R115)</f>
        <v>908786</v>
      </c>
      <c r="S116" s="16"/>
      <c r="T116" s="102">
        <f>SUM(T113:T115)</f>
        <v>0</v>
      </c>
      <c r="U116" s="9"/>
      <c r="V116" s="102">
        <f>SUM(V113:V115)</f>
        <v>0</v>
      </c>
      <c r="W116" s="9"/>
      <c r="X116" s="102">
        <f>SUM(X113:X115)</f>
        <v>0</v>
      </c>
      <c r="Y116" s="9"/>
      <c r="Z116" s="102">
        <f>SUM(Z113:Z115)</f>
        <v>0</v>
      </c>
      <c r="AA116" s="9"/>
      <c r="AB116" s="102">
        <f>SUM(AB113:AB115)</f>
        <v>0</v>
      </c>
      <c r="AC116" s="9"/>
      <c r="AD116" s="102">
        <f>SUM(AD113:AD115)</f>
        <v>0</v>
      </c>
      <c r="AE116" s="9"/>
      <c r="AF116" s="102">
        <f>SUM(AF113:AF115)</f>
        <v>0</v>
      </c>
      <c r="AG116" s="9"/>
      <c r="AH116" s="102">
        <f>SUM(AH113:AH115)</f>
        <v>0</v>
      </c>
      <c r="AI116"/>
      <c r="AJ116" s="102">
        <f>SUM(AJ113:AJ115)</f>
        <v>0</v>
      </c>
      <c r="AK116"/>
      <c r="AL116" s="102">
        <f>SUM(AL113:AL115)</f>
        <v>0</v>
      </c>
      <c r="AM116"/>
      <c r="AN116" s="102">
        <f>SUM(AN113:AN115)</f>
        <v>0</v>
      </c>
      <c r="AO116" s="9"/>
      <c r="AP116" s="102">
        <f>SUM(AP113:AP115)</f>
        <v>0</v>
      </c>
      <c r="AQ116" s="9"/>
      <c r="AR116" s="102">
        <f>SUM(AR113:AR115)</f>
        <v>0</v>
      </c>
      <c r="AS116" s="9"/>
      <c r="AT116" s="102">
        <f>SUM(AT113:AT115)</f>
        <v>0</v>
      </c>
      <c r="AU116" s="10"/>
      <c r="AV116" s="102">
        <f>SUM(AV113:AV115)</f>
        <v>37000</v>
      </c>
      <c r="AW116" s="10"/>
      <c r="AX116" s="102">
        <f>SUM(AX113:AX115)</f>
        <v>141652</v>
      </c>
      <c r="AY116" s="10"/>
      <c r="AZ116" s="102">
        <f>SUM(AZ113:AZ115)</f>
        <v>151711.83000000002</v>
      </c>
      <c r="BA116" s="10"/>
      <c r="BB116" s="102">
        <f>SUM(BB113:BB115)</f>
        <v>0</v>
      </c>
      <c r="BC116" s="10"/>
      <c r="BD116" s="102">
        <f>SUM(BD113:BD115)</f>
        <v>0</v>
      </c>
      <c r="BE116" s="10"/>
      <c r="BF116" s="102">
        <f>SUM(BF113:BF115)</f>
        <v>0</v>
      </c>
      <c r="BG116" s="10"/>
      <c r="BH116" s="102">
        <f>SUM(BH113:BH115)</f>
        <v>0</v>
      </c>
      <c r="BI116" s="10"/>
      <c r="BJ116" s="102">
        <f>SUM(BJ113:BJ115)</f>
        <v>0</v>
      </c>
      <c r="BK116" s="9"/>
      <c r="BL116" s="102">
        <f>SUM(BL113:BL115)</f>
        <v>330363.83</v>
      </c>
      <c r="BM116" s="9"/>
      <c r="BN116" s="102">
        <f>SUM(BN113:BN115)</f>
        <v>0</v>
      </c>
      <c r="BO116" s="9"/>
      <c r="BP116" s="102">
        <f>SUM(BP113:BP115)</f>
        <v>578422.16999999993</v>
      </c>
      <c r="BQ116" s="16"/>
      <c r="BR116" s="102">
        <f>SUM(BR113:BR115)</f>
        <v>908786</v>
      </c>
      <c r="BS116" s="16"/>
      <c r="BT116" s="102">
        <f>SUM(BT113:BT115)</f>
        <v>0</v>
      </c>
      <c r="BU116" s="9"/>
    </row>
    <row r="117" spans="1:73" s="21" customFormat="1">
      <c r="A117" s="56"/>
      <c r="B117" s="58"/>
      <c r="J117" s="8"/>
      <c r="L117" s="143"/>
      <c r="M117" s="16"/>
      <c r="N117" s="10"/>
      <c r="O117" s="16"/>
      <c r="P117" s="10"/>
      <c r="Q117" s="16"/>
      <c r="R117" s="10"/>
      <c r="S117" s="16"/>
      <c r="T117" s="10"/>
      <c r="U117" s="9"/>
      <c r="V117" s="10"/>
      <c r="W117" s="9"/>
      <c r="X117" s="10"/>
      <c r="Y117" s="9"/>
      <c r="Z117" s="10"/>
      <c r="AA117" s="9"/>
      <c r="AB117" s="10"/>
      <c r="AC117" s="9"/>
      <c r="AD117" s="10"/>
      <c r="AE117" s="9"/>
      <c r="AF117" s="10"/>
      <c r="AG117" s="9"/>
      <c r="AH117" s="10"/>
      <c r="AI117"/>
      <c r="AJ117" s="10"/>
      <c r="AK117"/>
      <c r="AL117" s="10"/>
      <c r="AM117"/>
      <c r="AN117" s="10"/>
      <c r="AO117" s="9"/>
      <c r="AP117" s="10"/>
      <c r="AQ117" s="9"/>
      <c r="AR117" s="10"/>
      <c r="AS117" s="9"/>
      <c r="AT117" s="10"/>
      <c r="AU117" s="10"/>
      <c r="AV117" s="10"/>
      <c r="AW117" s="10"/>
      <c r="AX117" s="10"/>
      <c r="AY117" s="10"/>
      <c r="AZ117" s="10"/>
      <c r="BA117" s="10"/>
      <c r="BB117" s="10"/>
      <c r="BC117" s="10"/>
      <c r="BD117" s="10"/>
      <c r="BE117" s="10"/>
      <c r="BF117" s="10"/>
      <c r="BG117" s="10"/>
      <c r="BH117" s="10"/>
      <c r="BI117" s="10"/>
      <c r="BJ117" s="10"/>
      <c r="BK117" s="9"/>
      <c r="BL117" s="10"/>
      <c r="BM117" s="9"/>
      <c r="BN117" s="10"/>
      <c r="BO117" s="9"/>
      <c r="BP117" s="10"/>
      <c r="BQ117" s="16"/>
      <c r="BR117" s="10"/>
      <c r="BS117" s="16"/>
      <c r="BT117" s="10"/>
      <c r="BU117" s="9"/>
    </row>
    <row r="118" spans="1:73" s="21" customFormat="1">
      <c r="A118" s="62" t="s">
        <v>120</v>
      </c>
      <c r="B118" s="58"/>
      <c r="J118" s="8" t="s">
        <v>0</v>
      </c>
      <c r="L118" s="143" t="s">
        <v>202</v>
      </c>
      <c r="M118" s="9"/>
      <c r="N118" s="9">
        <v>0</v>
      </c>
      <c r="O118" s="9"/>
      <c r="P118" s="9">
        <v>0</v>
      </c>
      <c r="Q118" s="9"/>
      <c r="R118" s="9">
        <v>0</v>
      </c>
      <c r="S118" s="9"/>
      <c r="T118" s="9">
        <v>0</v>
      </c>
      <c r="U118" s="9"/>
      <c r="V118" s="9">
        <v>0</v>
      </c>
      <c r="W118" s="9"/>
      <c r="X118" s="9">
        <v>0</v>
      </c>
      <c r="Y118" s="9"/>
      <c r="Z118" s="9">
        <v>0</v>
      </c>
      <c r="AA118" s="9"/>
      <c r="AB118" s="9">
        <v>0</v>
      </c>
      <c r="AC118" s="9"/>
      <c r="AD118" s="9">
        <v>0</v>
      </c>
      <c r="AE118" s="9"/>
      <c r="AF118" s="9">
        <v>0</v>
      </c>
      <c r="AG118" s="9"/>
      <c r="AH118" s="9">
        <v>0</v>
      </c>
      <c r="AI118"/>
      <c r="AJ118" s="9">
        <v>0</v>
      </c>
      <c r="AK118"/>
      <c r="AL118" s="9">
        <v>0</v>
      </c>
      <c r="AM118"/>
      <c r="AN118" s="9">
        <v>0</v>
      </c>
      <c r="AO118" s="9"/>
      <c r="AP118" s="9">
        <v>0</v>
      </c>
      <c r="AQ118" s="9"/>
      <c r="AR118" s="9">
        <v>0</v>
      </c>
      <c r="AS118" s="9"/>
      <c r="AT118" s="9">
        <v>0</v>
      </c>
      <c r="AU118" s="9"/>
      <c r="AV118" s="9">
        <v>0</v>
      </c>
      <c r="AW118" s="9"/>
      <c r="AX118" s="9">
        <v>0</v>
      </c>
      <c r="AY118" s="9"/>
      <c r="AZ118" s="9">
        <v>0</v>
      </c>
      <c r="BA118" s="9"/>
      <c r="BB118" s="9">
        <v>0</v>
      </c>
      <c r="BC118" s="9"/>
      <c r="BD118" s="9">
        <v>0</v>
      </c>
      <c r="BE118" s="9"/>
      <c r="BF118" s="9">
        <v>0</v>
      </c>
      <c r="BG118" s="9"/>
      <c r="BH118" s="9">
        <v>0</v>
      </c>
      <c r="BI118" s="9"/>
      <c r="BJ118" s="9">
        <v>0</v>
      </c>
      <c r="BK118" s="9"/>
      <c r="BL118" s="9">
        <f>SUM(T118:BK118)</f>
        <v>0</v>
      </c>
      <c r="BM118" s="9"/>
      <c r="BN118" s="9">
        <v>0</v>
      </c>
      <c r="BO118" s="9"/>
      <c r="BP118" s="6">
        <f>IF(+R118-BL118+BN118&gt;0,R118-BL118+BN118,0)</f>
        <v>0</v>
      </c>
      <c r="BQ118" s="9"/>
      <c r="BR118" s="9">
        <f>+BL118+BP118</f>
        <v>0</v>
      </c>
      <c r="BS118" s="9"/>
      <c r="BT118" s="9">
        <f>+R118-BR118</f>
        <v>0</v>
      </c>
      <c r="BU118" s="9"/>
    </row>
    <row r="119" spans="1:73" s="21" customFormat="1">
      <c r="A119" s="62"/>
      <c r="B119" s="58"/>
      <c r="J119" s="8"/>
      <c r="L119" s="143"/>
      <c r="M119" s="9"/>
      <c r="N119" s="9"/>
      <c r="O119" s="9"/>
      <c r="P119" s="9"/>
      <c r="Q119" s="9"/>
      <c r="R119" s="9"/>
      <c r="S119" s="9"/>
      <c r="T119" s="9"/>
      <c r="U119" s="9"/>
      <c r="V119" s="9"/>
      <c r="W119" s="9"/>
      <c r="X119" s="9"/>
      <c r="Y119" s="9"/>
      <c r="Z119" s="9"/>
      <c r="AA119" s="9"/>
      <c r="AB119" s="9"/>
      <c r="AC119" s="9"/>
      <c r="AD119" s="9"/>
      <c r="AE119" s="9"/>
      <c r="AF119" s="9"/>
      <c r="AG119" s="9"/>
      <c r="AH119" s="9"/>
      <c r="AI119"/>
      <c r="AJ119" s="9"/>
      <c r="AK119"/>
      <c r="AL119" s="9"/>
      <c r="AM11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row>
    <row r="120" spans="1:73" s="21" customFormat="1">
      <c r="A120" s="56" t="s">
        <v>216</v>
      </c>
      <c r="B120" s="31"/>
      <c r="J120" s="8" t="s">
        <v>0</v>
      </c>
      <c r="L120" s="134" t="s">
        <v>202</v>
      </c>
      <c r="M120" s="9"/>
      <c r="N120" s="9">
        <v>400000</v>
      </c>
      <c r="O120" s="9"/>
      <c r="P120" s="9">
        <v>100000</v>
      </c>
      <c r="Q120" s="9"/>
      <c r="R120" s="9">
        <v>0</v>
      </c>
      <c r="S120" s="9"/>
      <c r="T120" s="9">
        <v>0</v>
      </c>
      <c r="U120" s="9"/>
      <c r="V120" s="9">
        <v>0</v>
      </c>
      <c r="W120" s="9"/>
      <c r="X120" s="9">
        <v>0</v>
      </c>
      <c r="Y120" s="9"/>
      <c r="Z120" s="9">
        <v>0</v>
      </c>
      <c r="AA120" s="9"/>
      <c r="AB120" s="9">
        <v>0</v>
      </c>
      <c r="AC120" s="9"/>
      <c r="AD120" s="9">
        <v>0</v>
      </c>
      <c r="AE120" s="9"/>
      <c r="AF120" s="9">
        <v>0</v>
      </c>
      <c r="AG120" s="9"/>
      <c r="AH120" s="9">
        <v>0</v>
      </c>
      <c r="AI120"/>
      <c r="AJ120" s="9">
        <v>0</v>
      </c>
      <c r="AK120"/>
      <c r="AL120" s="9">
        <v>0</v>
      </c>
      <c r="AM120"/>
      <c r="AN120" s="9">
        <v>0</v>
      </c>
      <c r="AO120" s="9"/>
      <c r="AP120" s="9">
        <v>0</v>
      </c>
      <c r="AQ120" s="9"/>
      <c r="AR120" s="9">
        <v>216381.67</v>
      </c>
      <c r="AS120" s="9"/>
      <c r="AT120" s="9">
        <v>2174.14</v>
      </c>
      <c r="AU120" s="9"/>
      <c r="AV120" s="9">
        <v>0</v>
      </c>
      <c r="AW120" s="9"/>
      <c r="AX120" s="9">
        <v>168836</v>
      </c>
      <c r="AY120" s="9"/>
      <c r="AZ120" s="9">
        <v>0</v>
      </c>
      <c r="BA120" s="9"/>
      <c r="BB120" s="9">
        <v>0</v>
      </c>
      <c r="BC120" s="9"/>
      <c r="BD120" s="9">
        <v>0</v>
      </c>
      <c r="BE120" s="9"/>
      <c r="BF120" s="9">
        <v>0</v>
      </c>
      <c r="BG120" s="9"/>
      <c r="BH120" s="9">
        <v>0</v>
      </c>
      <c r="BI120" s="9"/>
      <c r="BJ120" s="9">
        <v>0</v>
      </c>
      <c r="BK120" s="9"/>
      <c r="BL120" s="9">
        <f>SUM(T120:BK120)</f>
        <v>387391.81000000006</v>
      </c>
      <c r="BM120" s="9"/>
      <c r="BN120" s="9">
        <v>0</v>
      </c>
      <c r="BO120" s="9"/>
      <c r="BP120" s="6">
        <f>IF(+R120-BL120+BN120&gt;0,R120-BL120+BN120,0)</f>
        <v>0</v>
      </c>
      <c r="BQ120" s="9"/>
      <c r="BR120" s="9">
        <f>+BL120+BP120</f>
        <v>387391.81000000006</v>
      </c>
      <c r="BS120" s="9"/>
      <c r="BT120" s="9">
        <f>+R120-BR120</f>
        <v>-387391.81000000006</v>
      </c>
      <c r="BU120" s="9"/>
    </row>
    <row r="121" spans="1:73" s="21" customFormat="1">
      <c r="A121" s="56"/>
      <c r="B121" s="31"/>
      <c r="J121" s="8"/>
      <c r="L121" s="134"/>
      <c r="M121" s="9"/>
      <c r="N121" s="9"/>
      <c r="O121" s="9"/>
      <c r="P121" s="9"/>
      <c r="Q121" s="9"/>
      <c r="R121" s="9"/>
      <c r="S121" s="9"/>
      <c r="T121" s="9"/>
      <c r="U121" s="9"/>
      <c r="V121" s="9"/>
      <c r="W121" s="9"/>
      <c r="X121" s="9"/>
      <c r="Y121" s="9"/>
      <c r="Z121" s="9"/>
      <c r="AA121" s="9"/>
      <c r="AB121" s="9"/>
      <c r="AC121" s="9"/>
      <c r="AD121" s="9"/>
      <c r="AE121" s="9"/>
      <c r="AF121" s="9"/>
      <c r="AG121" s="9"/>
      <c r="AH121" s="9"/>
      <c r="AI121"/>
      <c r="AJ121" s="9"/>
      <c r="AK121"/>
      <c r="AL121" s="9"/>
      <c r="AM121"/>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row>
    <row r="122" spans="1:73" s="31" customFormat="1">
      <c r="A122" s="58" t="s">
        <v>30</v>
      </c>
      <c r="J122" s="159" t="s">
        <v>0</v>
      </c>
      <c r="L122" s="145" t="s">
        <v>202</v>
      </c>
      <c r="M122" s="10"/>
      <c r="N122" s="10">
        <v>0</v>
      </c>
      <c r="O122" s="10"/>
      <c r="P122" s="10">
        <v>0</v>
      </c>
      <c r="Q122" s="10"/>
      <c r="R122" s="9">
        <v>500000</v>
      </c>
      <c r="S122" s="10"/>
      <c r="T122" s="10">
        <v>0</v>
      </c>
      <c r="U122" s="10"/>
      <c r="V122" s="10">
        <v>0</v>
      </c>
      <c r="W122" s="10"/>
      <c r="X122" s="10">
        <v>0</v>
      </c>
      <c r="Y122" s="10"/>
      <c r="Z122" s="10">
        <v>0</v>
      </c>
      <c r="AA122" s="10"/>
      <c r="AB122" s="10">
        <v>0</v>
      </c>
      <c r="AC122" s="10"/>
      <c r="AD122" s="10">
        <v>0</v>
      </c>
      <c r="AE122" s="10"/>
      <c r="AF122" s="10">
        <v>0</v>
      </c>
      <c r="AG122" s="10"/>
      <c r="AH122" s="10">
        <v>0</v>
      </c>
      <c r="AI122"/>
      <c r="AJ122" s="10">
        <v>0</v>
      </c>
      <c r="AK122"/>
      <c r="AL122" s="10">
        <v>0</v>
      </c>
      <c r="AM122"/>
      <c r="AN122" s="10">
        <v>0</v>
      </c>
      <c r="AO122" s="10"/>
      <c r="AP122" s="10">
        <v>0</v>
      </c>
      <c r="AQ122" s="10"/>
      <c r="AR122" s="10">
        <v>0</v>
      </c>
      <c r="AS122" s="10"/>
      <c r="AT122" s="10">
        <v>0</v>
      </c>
      <c r="AU122" s="10"/>
      <c r="AV122" s="10">
        <v>0</v>
      </c>
      <c r="AW122" s="10"/>
      <c r="AX122" s="10">
        <v>0</v>
      </c>
      <c r="AY122" s="10"/>
      <c r="AZ122" s="10">
        <v>0</v>
      </c>
      <c r="BA122" s="10"/>
      <c r="BB122" s="10">
        <v>0</v>
      </c>
      <c r="BC122" s="10"/>
      <c r="BD122" s="10">
        <v>0</v>
      </c>
      <c r="BE122" s="10"/>
      <c r="BF122" s="10">
        <v>0</v>
      </c>
      <c r="BG122" s="10"/>
      <c r="BH122" s="10">
        <v>0</v>
      </c>
      <c r="BI122" s="10"/>
      <c r="BJ122" s="10">
        <v>0</v>
      </c>
      <c r="BK122" s="10"/>
      <c r="BL122" s="10">
        <f>SUM(T122:BK122)</f>
        <v>0</v>
      </c>
      <c r="BM122" s="10"/>
      <c r="BN122" s="10">
        <v>0</v>
      </c>
      <c r="BO122" s="10"/>
      <c r="BP122" s="6">
        <f>IF(+R122-BL122+BN122&gt;0,R122-BL122+BN122,0)</f>
        <v>500000</v>
      </c>
      <c r="BQ122" s="10"/>
      <c r="BR122" s="9">
        <f>+BL122+BP122</f>
        <v>500000</v>
      </c>
      <c r="BS122" s="10"/>
      <c r="BT122" s="9">
        <f>+R122-BR122</f>
        <v>0</v>
      </c>
      <c r="BU122" s="10"/>
    </row>
    <row r="123" spans="1:73" s="21" customFormat="1">
      <c r="A123" s="56"/>
      <c r="B123" s="31"/>
      <c r="J123" s="8"/>
      <c r="L123" s="134"/>
      <c r="M123" s="9"/>
      <c r="N123" s="9"/>
      <c r="O123" s="9"/>
      <c r="P123" s="9"/>
      <c r="Q123" s="9"/>
      <c r="R123" s="9"/>
      <c r="S123" s="9"/>
      <c r="T123" s="9"/>
      <c r="U123" s="9"/>
      <c r="V123" s="9"/>
      <c r="W123" s="9"/>
      <c r="X123" s="9"/>
      <c r="Y123" s="9"/>
      <c r="Z123" s="9"/>
      <c r="AA123" s="9"/>
      <c r="AB123" s="9"/>
      <c r="AC123" s="9"/>
      <c r="AD123" s="9"/>
      <c r="AE123" s="9"/>
      <c r="AF123" s="9"/>
      <c r="AG123" s="9"/>
      <c r="AH123" s="9"/>
      <c r="AI123"/>
      <c r="AJ123" s="9"/>
      <c r="AK123"/>
      <c r="AL123" s="9"/>
      <c r="AM123"/>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row>
    <row r="124" spans="1:73" s="21" customFormat="1">
      <c r="A124" s="56" t="s">
        <v>26</v>
      </c>
      <c r="B124" s="58"/>
      <c r="J124" s="8" t="s">
        <v>0</v>
      </c>
      <c r="L124" s="134" t="s">
        <v>202</v>
      </c>
      <c r="M124" s="16"/>
      <c r="N124" s="9">
        <v>0</v>
      </c>
      <c r="O124" s="16"/>
      <c r="P124" s="9">
        <v>0</v>
      </c>
      <c r="Q124" s="16"/>
      <c r="R124" s="9">
        <v>1253881</v>
      </c>
      <c r="S124" s="16"/>
      <c r="T124" s="9">
        <v>0</v>
      </c>
      <c r="U124" s="9"/>
      <c r="V124" s="9">
        <v>0</v>
      </c>
      <c r="W124" s="9"/>
      <c r="X124" s="9">
        <v>0</v>
      </c>
      <c r="Y124" s="9"/>
      <c r="Z124" s="9">
        <v>0</v>
      </c>
      <c r="AA124" s="9"/>
      <c r="AB124" s="9">
        <v>0</v>
      </c>
      <c r="AC124" s="9"/>
      <c r="AD124" s="9">
        <v>0</v>
      </c>
      <c r="AE124" s="9"/>
      <c r="AF124" s="9">
        <v>0</v>
      </c>
      <c r="AG124" s="9"/>
      <c r="AH124" s="9">
        <v>0</v>
      </c>
      <c r="AI124"/>
      <c r="AJ124" s="9">
        <v>0</v>
      </c>
      <c r="AK124"/>
      <c r="AL124" s="9">
        <v>0</v>
      </c>
      <c r="AM124"/>
      <c r="AN124" s="9">
        <v>0</v>
      </c>
      <c r="AO124" s="9"/>
      <c r="AP124" s="9">
        <v>0</v>
      </c>
      <c r="AQ124" s="9"/>
      <c r="AR124" s="9">
        <v>0</v>
      </c>
      <c r="AS124" s="9"/>
      <c r="AT124" s="9">
        <v>0</v>
      </c>
      <c r="AU124" s="9"/>
      <c r="AV124" s="9">
        <v>0</v>
      </c>
      <c r="AW124" s="9"/>
      <c r="AX124" s="9">
        <v>0</v>
      </c>
      <c r="AY124" s="9"/>
      <c r="AZ124" s="9">
        <v>0</v>
      </c>
      <c r="BA124" s="9"/>
      <c r="BB124" s="9">
        <v>0</v>
      </c>
      <c r="BC124" s="9"/>
      <c r="BD124" s="9">
        <v>0</v>
      </c>
      <c r="BE124" s="9"/>
      <c r="BF124" s="9">
        <v>0</v>
      </c>
      <c r="BG124" s="9"/>
      <c r="BH124" s="9">
        <v>0</v>
      </c>
      <c r="BI124" s="9"/>
      <c r="BJ124" s="9">
        <v>0</v>
      </c>
      <c r="BK124" s="9"/>
      <c r="BL124" s="9">
        <f>SUM(T124:BK124)</f>
        <v>0</v>
      </c>
      <c r="BM124" s="9"/>
      <c r="BN124" s="9">
        <v>0</v>
      </c>
      <c r="BO124" s="9"/>
      <c r="BP124" s="6">
        <f>IF(+R124-BL124+BN124&gt;0,R124-BL124+BN124,0)</f>
        <v>1253881</v>
      </c>
      <c r="BQ124" s="16"/>
      <c r="BR124" s="9">
        <f>+BL124+BP124</f>
        <v>1253881</v>
      </c>
      <c r="BS124" s="16"/>
      <c r="BT124" s="9">
        <f>+R124-BR124</f>
        <v>0</v>
      </c>
      <c r="BU124" s="9"/>
    </row>
    <row r="125" spans="1:73" s="21" customFormat="1">
      <c r="A125" s="56"/>
      <c r="B125" s="31"/>
      <c r="J125" s="8"/>
      <c r="L125" s="134"/>
      <c r="M125" s="9"/>
      <c r="N125" s="9"/>
      <c r="O125" s="9"/>
      <c r="P125" s="9"/>
      <c r="Q125" s="9"/>
      <c r="R125" s="9"/>
      <c r="S125" s="9"/>
      <c r="T125" s="9"/>
      <c r="U125" s="9"/>
      <c r="V125" s="9"/>
      <c r="W125" s="9"/>
      <c r="X125" s="9"/>
      <c r="Y125" s="9"/>
      <c r="Z125" s="9"/>
      <c r="AA125" s="9"/>
      <c r="AB125" s="9"/>
      <c r="AC125" s="9"/>
      <c r="AD125" s="9"/>
      <c r="AE125" s="9"/>
      <c r="AF125" s="9"/>
      <c r="AG125" s="9"/>
      <c r="AH125" s="9"/>
      <c r="AI125"/>
      <c r="AJ125" s="9"/>
      <c r="AK125"/>
      <c r="AL125" s="9"/>
      <c r="AM125"/>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row>
    <row r="126" spans="1:73">
      <c r="A126" s="56" t="s">
        <v>27</v>
      </c>
      <c r="B126" s="11"/>
      <c r="C126"/>
      <c r="D126"/>
      <c r="E126"/>
      <c r="F126"/>
      <c r="G126"/>
      <c r="H126"/>
      <c r="I126"/>
      <c r="J126" s="49"/>
      <c r="K126"/>
      <c r="L126" s="134"/>
      <c r="M126" s="6"/>
      <c r="O126" s="6"/>
      <c r="Q126" s="6"/>
      <c r="S126" s="6"/>
      <c r="T126" s="6"/>
      <c r="U126" s="6"/>
      <c r="V126" s="6"/>
      <c r="X126" s="6"/>
      <c r="Z126" s="6"/>
      <c r="AB126" s="6"/>
      <c r="AD126" s="6"/>
      <c r="AI126"/>
      <c r="BJ126" s="6"/>
      <c r="BK126" s="6"/>
      <c r="BM126" s="6"/>
      <c r="BN126" s="6"/>
      <c r="BO126" s="6"/>
      <c r="BU126" s="6"/>
    </row>
    <row r="127" spans="1:73">
      <c r="A127" s="61"/>
      <c r="B127" s="11" t="s">
        <v>207</v>
      </c>
      <c r="E127" s="4"/>
      <c r="G127" s="4"/>
      <c r="I127" s="4"/>
      <c r="J127" s="5" t="s">
        <v>0</v>
      </c>
      <c r="L127" s="134" t="s">
        <v>202</v>
      </c>
      <c r="M127" s="6"/>
      <c r="N127" s="6">
        <v>0</v>
      </c>
      <c r="O127" s="6"/>
      <c r="P127" s="6">
        <v>0</v>
      </c>
      <c r="Q127" s="6"/>
      <c r="R127" s="6">
        <v>28500</v>
      </c>
      <c r="S127" s="6"/>
      <c r="T127" s="6">
        <v>0</v>
      </c>
      <c r="U127" s="6"/>
      <c r="V127" s="6">
        <v>0</v>
      </c>
      <c r="X127" s="6">
        <v>0</v>
      </c>
      <c r="Z127" s="6">
        <v>20000</v>
      </c>
      <c r="AB127" s="6">
        <v>0</v>
      </c>
      <c r="AD127" s="6">
        <v>8500</v>
      </c>
      <c r="AF127" s="6">
        <v>0</v>
      </c>
      <c r="AH127" s="6">
        <v>0</v>
      </c>
      <c r="AI127"/>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28500</v>
      </c>
      <c r="BM127" s="6"/>
      <c r="BN127" s="6">
        <v>0</v>
      </c>
      <c r="BO127" s="6"/>
      <c r="BP127" s="6">
        <f>IF(+R127-BL127+BN127&gt;0,R127-BL127+BN127,0)</f>
        <v>0</v>
      </c>
      <c r="BR127" s="6">
        <f>+BL127+BP127</f>
        <v>28500</v>
      </c>
      <c r="BT127" s="6">
        <f>+R127-BR127</f>
        <v>0</v>
      </c>
      <c r="BU127" s="6"/>
    </row>
    <row r="128" spans="1:73">
      <c r="A128" s="61"/>
      <c r="B128" s="11" t="s">
        <v>208</v>
      </c>
      <c r="E128" s="4"/>
      <c r="G128" s="4"/>
      <c r="I128" s="4"/>
      <c r="J128" s="5" t="s">
        <v>0</v>
      </c>
      <c r="L128" s="134" t="s">
        <v>202</v>
      </c>
      <c r="M128" s="6"/>
      <c r="O128" s="6"/>
      <c r="Q128" s="6"/>
      <c r="R128" s="6">
        <v>0</v>
      </c>
      <c r="S128" s="6"/>
      <c r="T128" s="6">
        <v>0</v>
      </c>
      <c r="U128" s="6"/>
      <c r="V128" s="6">
        <v>0</v>
      </c>
      <c r="X128" s="6">
        <v>0</v>
      </c>
      <c r="Z128" s="6">
        <v>0</v>
      </c>
      <c r="AB128" s="6">
        <v>0</v>
      </c>
      <c r="AD128" s="6">
        <v>0</v>
      </c>
      <c r="AF128" s="6">
        <v>0</v>
      </c>
      <c r="AH128" s="6">
        <v>0</v>
      </c>
      <c r="AI128"/>
      <c r="AJ128" s="6">
        <v>0</v>
      </c>
      <c r="AL128" s="6">
        <v>0</v>
      </c>
      <c r="AN128" s="6">
        <v>0</v>
      </c>
      <c r="AP128" s="6">
        <v>0</v>
      </c>
      <c r="AR128" s="6">
        <v>0</v>
      </c>
      <c r="AT128" s="6">
        <v>0</v>
      </c>
      <c r="AV128" s="6">
        <v>0</v>
      </c>
      <c r="AX128" s="6">
        <v>0</v>
      </c>
      <c r="AZ128" s="6">
        <v>0</v>
      </c>
      <c r="BB128" s="6">
        <v>0</v>
      </c>
      <c r="BD128" s="6">
        <v>0</v>
      </c>
      <c r="BF128" s="6">
        <v>0</v>
      </c>
      <c r="BH128" s="6">
        <v>0</v>
      </c>
      <c r="BJ128" s="6">
        <v>0</v>
      </c>
      <c r="BK128" s="6"/>
      <c r="BL128" s="6">
        <f>SUM(T128:BK128)</f>
        <v>0</v>
      </c>
      <c r="BM128" s="6"/>
      <c r="BN128" s="6">
        <v>0</v>
      </c>
      <c r="BO128" s="6"/>
      <c r="BP128" s="6">
        <f>+R128-BL128+BN128</f>
        <v>0</v>
      </c>
      <c r="BR128" s="6">
        <f>+BL128+BP128</f>
        <v>0</v>
      </c>
      <c r="BT128" s="6">
        <f>+R128-BR128</f>
        <v>0</v>
      </c>
      <c r="BU128" s="6"/>
    </row>
    <row r="129" spans="1:73">
      <c r="A129" s="61"/>
      <c r="B129" s="11" t="s">
        <v>209</v>
      </c>
      <c r="E129" s="4"/>
      <c r="G129" s="4"/>
      <c r="I129" s="4"/>
      <c r="J129" s="5" t="s">
        <v>0</v>
      </c>
      <c r="L129" s="134" t="s">
        <v>202</v>
      </c>
      <c r="M129" s="6"/>
      <c r="O129" s="6"/>
      <c r="Q129" s="6"/>
      <c r="R129" s="6">
        <f>2280000-28500</f>
        <v>2251500</v>
      </c>
      <c r="S129" s="6"/>
      <c r="T129" s="6">
        <v>0</v>
      </c>
      <c r="U129" s="6"/>
      <c r="V129" s="6">
        <v>0</v>
      </c>
      <c r="X129" s="6">
        <v>0</v>
      </c>
      <c r="Z129" s="6">
        <v>0</v>
      </c>
      <c r="AB129" s="6">
        <v>1446361</v>
      </c>
      <c r="AD129" s="6">
        <v>0</v>
      </c>
      <c r="AF129" s="6">
        <v>0</v>
      </c>
      <c r="AH129" s="6">
        <v>821965.14</v>
      </c>
      <c r="AI129"/>
      <c r="AJ129" s="6">
        <v>0</v>
      </c>
      <c r="AL129" s="6">
        <v>0</v>
      </c>
      <c r="AN129" s="6">
        <v>1000</v>
      </c>
      <c r="AP129" s="6">
        <v>7992</v>
      </c>
      <c r="AR129" s="6">
        <v>0</v>
      </c>
      <c r="AT129" s="6">
        <v>180000</v>
      </c>
      <c r="AV129" s="6">
        <f>3400-16567.86</f>
        <v>-13167.86</v>
      </c>
      <c r="AX129" s="6">
        <v>0</v>
      </c>
      <c r="AZ129" s="6">
        <v>0</v>
      </c>
      <c r="BB129" s="6">
        <v>0</v>
      </c>
      <c r="BD129" s="6">
        <v>0</v>
      </c>
      <c r="BF129" s="6">
        <v>0</v>
      </c>
      <c r="BH129" s="6">
        <v>0</v>
      </c>
      <c r="BJ129" s="6">
        <v>0</v>
      </c>
      <c r="BK129" s="6"/>
      <c r="BL129" s="6">
        <f>SUM(T129:BK129)</f>
        <v>2444150.2800000003</v>
      </c>
      <c r="BM129" s="6"/>
      <c r="BN129" s="6">
        <v>25818</v>
      </c>
      <c r="BO129" s="6"/>
      <c r="BP129" s="6">
        <f>IF(+R129-BL129+BN129&gt;0,R129-BL129+BN129,0)</f>
        <v>0</v>
      </c>
      <c r="BR129" s="6">
        <f>+BL129+BP129</f>
        <v>2444150.2800000003</v>
      </c>
      <c r="BT129" s="6">
        <f>+R129-BR129</f>
        <v>-192650.28000000026</v>
      </c>
      <c r="BU129" s="6"/>
    </row>
    <row r="130" spans="1:73">
      <c r="A130" s="61"/>
      <c r="B130" s="11" t="s">
        <v>210</v>
      </c>
      <c r="E130" s="4"/>
      <c r="G130" s="4"/>
      <c r="I130" s="4"/>
      <c r="J130" s="5" t="s">
        <v>0</v>
      </c>
      <c r="L130" s="134" t="s">
        <v>202</v>
      </c>
      <c r="M130" s="6"/>
      <c r="O130" s="6"/>
      <c r="Q130" s="6"/>
      <c r="R130" s="6">
        <v>0</v>
      </c>
      <c r="S130" s="6"/>
      <c r="T130" s="6"/>
      <c r="U130" s="6"/>
      <c r="V130" s="6"/>
      <c r="X130" s="6"/>
      <c r="Z130" s="6"/>
      <c r="AB130" s="6"/>
      <c r="AD130" s="6"/>
      <c r="AI130"/>
      <c r="BJ130" s="6"/>
      <c r="BK130" s="6"/>
      <c r="BM130" s="6"/>
      <c r="BN130" s="6"/>
      <c r="BO130" s="6"/>
      <c r="BP130" s="6">
        <f>+R130-BL130+BN130</f>
        <v>0</v>
      </c>
      <c r="BR130" s="6">
        <f>+BL130+BP130</f>
        <v>0</v>
      </c>
      <c r="BT130" s="6">
        <f>+R130-BR130</f>
        <v>0</v>
      </c>
      <c r="BU130" s="6"/>
    </row>
    <row r="131" spans="1:73" s="21" customFormat="1">
      <c r="A131" s="56"/>
      <c r="B131" s="31" t="s">
        <v>182</v>
      </c>
      <c r="J131" s="8"/>
      <c r="L131" s="143"/>
      <c r="M131" s="9"/>
      <c r="N131" s="102">
        <f>SUM(N127:N130)</f>
        <v>0</v>
      </c>
      <c r="O131" s="9"/>
      <c r="P131" s="102">
        <f>SUM(P127:P130)</f>
        <v>0</v>
      </c>
      <c r="Q131" s="9"/>
      <c r="R131" s="102">
        <f>SUM(R127:R130)</f>
        <v>2280000</v>
      </c>
      <c r="S131" s="9"/>
      <c r="T131" s="102">
        <f>SUM(T127:T130)</f>
        <v>0</v>
      </c>
      <c r="U131" s="9"/>
      <c r="V131" s="102">
        <f>SUM(V127:V130)</f>
        <v>0</v>
      </c>
      <c r="W131" s="9"/>
      <c r="X131" s="102">
        <f>SUM(X127:X130)</f>
        <v>0</v>
      </c>
      <c r="Y131" s="9"/>
      <c r="Z131" s="102">
        <f>SUM(Z127:Z130)</f>
        <v>20000</v>
      </c>
      <c r="AA131" s="9"/>
      <c r="AB131" s="102">
        <f>SUM(AB127:AB130)</f>
        <v>1446361</v>
      </c>
      <c r="AC131" s="9"/>
      <c r="AD131" s="102">
        <f>SUM(AD127:AD130)</f>
        <v>8500</v>
      </c>
      <c r="AE131" s="9"/>
      <c r="AF131" s="102">
        <f>SUM(AF127:AF130)</f>
        <v>0</v>
      </c>
      <c r="AG131" s="9"/>
      <c r="AH131" s="102">
        <f>SUM(AH127:AH130)</f>
        <v>821965.14</v>
      </c>
      <c r="AI131"/>
      <c r="AJ131" s="102">
        <f>SUM(AJ127:AJ130)</f>
        <v>0</v>
      </c>
      <c r="AK131"/>
      <c r="AL131" s="102">
        <f>SUM(AL127:AL130)</f>
        <v>0</v>
      </c>
      <c r="AM131"/>
      <c r="AN131" s="102">
        <f>SUM(AN127:AN130)</f>
        <v>1000</v>
      </c>
      <c r="AO131" s="9"/>
      <c r="AP131" s="102">
        <f>SUM(AP127:AP130)</f>
        <v>7992</v>
      </c>
      <c r="AQ131" s="9"/>
      <c r="AR131" s="102">
        <f>SUM(AR127:AR130)</f>
        <v>0</v>
      </c>
      <c r="AS131" s="9"/>
      <c r="AT131" s="102">
        <f>SUM(AT127:AT130)</f>
        <v>180000</v>
      </c>
      <c r="AU131" s="10"/>
      <c r="AV131" s="102">
        <f>SUM(AV127:AV130)</f>
        <v>-13167.86</v>
      </c>
      <c r="AW131" s="10"/>
      <c r="AX131" s="102">
        <f>SUM(AX127:AX130)</f>
        <v>0</v>
      </c>
      <c r="AY131" s="10"/>
      <c r="AZ131" s="102">
        <f>SUM(AZ127:AZ130)</f>
        <v>0</v>
      </c>
      <c r="BA131" s="10"/>
      <c r="BB131" s="102">
        <f>SUM(BB127:BB130)</f>
        <v>0</v>
      </c>
      <c r="BC131" s="10"/>
      <c r="BD131" s="102">
        <f>SUM(BD127:BD130)</f>
        <v>0</v>
      </c>
      <c r="BE131" s="10"/>
      <c r="BF131" s="102">
        <f>SUM(BF127:BF130)</f>
        <v>0</v>
      </c>
      <c r="BG131" s="10"/>
      <c r="BH131" s="102">
        <f>SUM(BH127:BH130)</f>
        <v>0</v>
      </c>
      <c r="BI131" s="10"/>
      <c r="BJ131" s="102">
        <f>SUM(BJ127:BJ130)</f>
        <v>0</v>
      </c>
      <c r="BK131" s="9"/>
      <c r="BL131" s="102">
        <f>SUM(BL127:BL130)</f>
        <v>2472650.2800000003</v>
      </c>
      <c r="BM131" s="9"/>
      <c r="BN131" s="102">
        <f>SUM(BN127:BN130)</f>
        <v>25818</v>
      </c>
      <c r="BO131" s="9"/>
      <c r="BP131" s="102">
        <f>SUM(BP127:BP130)</f>
        <v>0</v>
      </c>
      <c r="BQ131" s="9"/>
      <c r="BR131" s="102">
        <f>SUM(BR127:BR130)</f>
        <v>2472650.2800000003</v>
      </c>
      <c r="BS131" s="9"/>
      <c r="BT131" s="102">
        <f>SUM(BT127:BT130)</f>
        <v>-192650.28000000026</v>
      </c>
      <c r="BU131" s="9"/>
    </row>
    <row r="132" spans="1:73" s="21" customFormat="1">
      <c r="A132" s="56"/>
      <c r="B132" s="31"/>
      <c r="J132" s="8"/>
      <c r="L132" s="134"/>
      <c r="M132" s="9"/>
      <c r="N132" s="9"/>
      <c r="O132" s="9"/>
      <c r="P132" s="9"/>
      <c r="Q132" s="9"/>
      <c r="R132" s="9"/>
      <c r="S132" s="9"/>
      <c r="T132" s="9"/>
      <c r="U132" s="9"/>
      <c r="V132" s="9"/>
      <c r="W132" s="9"/>
      <c r="X132" s="9"/>
      <c r="Y132" s="9"/>
      <c r="Z132" s="9"/>
      <c r="AA132" s="9"/>
      <c r="AB132" s="9"/>
      <c r="AC132" s="9"/>
      <c r="AD132" s="9"/>
      <c r="AE132" s="9"/>
      <c r="AF132" s="9"/>
      <c r="AG132" s="9"/>
      <c r="AH132" s="9"/>
      <c r="AI132"/>
      <c r="AJ132" s="9"/>
      <c r="AK132"/>
      <c r="AL132" s="9"/>
      <c r="AM132"/>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row>
    <row r="133" spans="1:73">
      <c r="A133" s="56" t="s">
        <v>28</v>
      </c>
      <c r="B133" s="11"/>
      <c r="C133"/>
      <c r="D133"/>
      <c r="E133"/>
      <c r="F133"/>
      <c r="G133"/>
      <c r="H133"/>
      <c r="I133"/>
      <c r="J133" s="49"/>
      <c r="K133"/>
      <c r="L133" s="134"/>
      <c r="M133" s="6"/>
      <c r="O133" s="6"/>
      <c r="Q133" s="6"/>
      <c r="S133" s="6"/>
      <c r="T133" s="6"/>
      <c r="U133" s="6"/>
      <c r="V133" s="6"/>
      <c r="X133" s="6"/>
      <c r="Z133" s="6"/>
      <c r="AB133" s="6"/>
      <c r="AD133" s="6"/>
      <c r="AI133"/>
      <c r="BJ133" s="6"/>
      <c r="BK133" s="6"/>
      <c r="BM133" s="6"/>
      <c r="BN133" s="6"/>
      <c r="BO133" s="6"/>
      <c r="BU133" s="6"/>
    </row>
    <row r="134" spans="1:73">
      <c r="A134" s="56"/>
      <c r="B134" s="11" t="s">
        <v>260</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I134"/>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261</v>
      </c>
      <c r="C135"/>
      <c r="D135"/>
      <c r="E135"/>
      <c r="F135"/>
      <c r="G135"/>
      <c r="H135"/>
      <c r="I135"/>
      <c r="J135" s="49"/>
      <c r="K135"/>
      <c r="L135" s="134" t="s">
        <v>203</v>
      </c>
      <c r="M135" s="6"/>
      <c r="N135" s="6">
        <v>0</v>
      </c>
      <c r="O135" s="6"/>
      <c r="P135" s="6">
        <v>0</v>
      </c>
      <c r="Q135" s="6"/>
      <c r="S135" s="6"/>
      <c r="T135" s="6">
        <v>0</v>
      </c>
      <c r="U135" s="6"/>
      <c r="V135" s="6">
        <v>0</v>
      </c>
      <c r="X135" s="6">
        <v>0</v>
      </c>
      <c r="Z135" s="6">
        <v>0</v>
      </c>
      <c r="AB135" s="6">
        <v>0</v>
      </c>
      <c r="AD135" s="6"/>
      <c r="AF135" s="6">
        <v>0</v>
      </c>
      <c r="AH135" s="6">
        <v>0</v>
      </c>
      <c r="AI135"/>
      <c r="AJ135" s="6">
        <v>0</v>
      </c>
      <c r="AL135" s="6">
        <v>0</v>
      </c>
      <c r="AN135" s="6">
        <v>0</v>
      </c>
      <c r="AP135" s="6">
        <v>0</v>
      </c>
      <c r="AR135" s="6">
        <v>0</v>
      </c>
      <c r="AT135" s="6">
        <v>0</v>
      </c>
      <c r="AV135" s="6">
        <v>0</v>
      </c>
      <c r="AX135" s="6">
        <v>0</v>
      </c>
      <c r="AZ135" s="6">
        <v>0</v>
      </c>
      <c r="BB135" s="6">
        <v>0</v>
      </c>
      <c r="BD135" s="6">
        <v>0</v>
      </c>
      <c r="BF135" s="6">
        <v>0</v>
      </c>
      <c r="BH135" s="6">
        <v>0</v>
      </c>
      <c r="BJ135" s="6">
        <v>0</v>
      </c>
      <c r="BK135" s="6"/>
      <c r="BL135" s="6">
        <f>SUM(T135:BK135)</f>
        <v>0</v>
      </c>
      <c r="BM135" s="6"/>
      <c r="BN135" s="6">
        <v>0</v>
      </c>
      <c r="BO135" s="6"/>
      <c r="BP135" s="6">
        <f>IF(+R135-BL135+BN135&gt;0,R135-BL135+BN135,0)</f>
        <v>0</v>
      </c>
      <c r="BR135" s="6">
        <f>+BL135+BP135</f>
        <v>0</v>
      </c>
      <c r="BT135" s="6">
        <f>+R135-BR135</f>
        <v>0</v>
      </c>
      <c r="BU135" s="6"/>
    </row>
    <row r="136" spans="1:73">
      <c r="A136" s="57"/>
      <c r="B136" s="17" t="s">
        <v>262</v>
      </c>
      <c r="C136"/>
      <c r="D136"/>
      <c r="E136"/>
      <c r="F136"/>
      <c r="G136"/>
      <c r="H136"/>
      <c r="I136"/>
      <c r="J136" s="49"/>
      <c r="K136"/>
      <c r="L136" s="134" t="s">
        <v>203</v>
      </c>
      <c r="M136" s="6"/>
      <c r="O136" s="6"/>
      <c r="P136" s="6">
        <v>0</v>
      </c>
      <c r="Q136" s="6"/>
      <c r="R136" s="6">
        <v>400000</v>
      </c>
      <c r="S136" s="6"/>
      <c r="T136" s="6">
        <v>0</v>
      </c>
      <c r="U136" s="6"/>
      <c r="V136" s="6">
        <v>0</v>
      </c>
      <c r="X136" s="6">
        <v>0</v>
      </c>
      <c r="Z136" s="6">
        <v>8000</v>
      </c>
      <c r="AB136" s="6">
        <v>24712</v>
      </c>
      <c r="AD136" s="6">
        <v>71081</v>
      </c>
      <c r="AF136" s="6">
        <f>11932.33+162+1167.32</f>
        <v>13261.65</v>
      </c>
      <c r="AH136" s="6">
        <f>22563.83+17013.6</f>
        <v>39577.43</v>
      </c>
      <c r="AI136"/>
      <c r="AJ136" s="6">
        <f>2460+6571.33+2789.89</f>
        <v>11821.22</v>
      </c>
      <c r="AL136" s="6">
        <v>11746.18</v>
      </c>
      <c r="AN136" s="6">
        <v>19877.66</v>
      </c>
      <c r="AP136" s="6">
        <f>12427.46+17404.94</f>
        <v>29832.399999999998</v>
      </c>
      <c r="AR136" s="6">
        <v>39859.51</v>
      </c>
      <c r="AT136" s="6">
        <v>5434</v>
      </c>
      <c r="AV136" s="6">
        <v>2588.4499999999998</v>
      </c>
      <c r="AX136" s="6">
        <v>0</v>
      </c>
      <c r="AZ136" s="6">
        <v>3856</v>
      </c>
      <c r="BB136" s="6">
        <v>0</v>
      </c>
      <c r="BD136" s="6">
        <v>0</v>
      </c>
      <c r="BF136" s="6">
        <v>0</v>
      </c>
      <c r="BH136" s="6">
        <v>0</v>
      </c>
      <c r="BJ136" s="6">
        <v>0</v>
      </c>
      <c r="BK136" s="6"/>
      <c r="BL136" s="22">
        <f>SUM(T136:BK136)</f>
        <v>281647.5</v>
      </c>
      <c r="BM136" s="6"/>
      <c r="BN136" s="6">
        <v>0</v>
      </c>
      <c r="BO136" s="6"/>
      <c r="BP136" s="6">
        <f>IF(+R136-BL136+BN136&gt;0,R136-BL136+BN136,0)</f>
        <v>118352.5</v>
      </c>
      <c r="BR136" s="6">
        <f>+BL136+BP136</f>
        <v>400000</v>
      </c>
      <c r="BT136" s="6">
        <f>+R136-BR136</f>
        <v>0</v>
      </c>
      <c r="BU136" s="6"/>
    </row>
    <row r="137" spans="1:73">
      <c r="A137" s="57"/>
      <c r="B137" s="17"/>
      <c r="C137"/>
      <c r="D137"/>
      <c r="E137"/>
      <c r="F137"/>
      <c r="G137"/>
      <c r="H137"/>
      <c r="I137"/>
      <c r="J137" s="49"/>
      <c r="K137"/>
      <c r="L137" s="134"/>
      <c r="M137" s="6"/>
      <c r="O137" s="6"/>
      <c r="Q137" s="6"/>
      <c r="S137" s="6"/>
      <c r="T137" s="6"/>
      <c r="U137" s="6"/>
      <c r="V137" s="6"/>
      <c r="X137" s="6"/>
      <c r="Z137" s="6"/>
      <c r="AB137" s="6"/>
      <c r="AD137" s="6"/>
      <c r="AI137"/>
      <c r="BJ137" s="6"/>
      <c r="BK137" s="6"/>
      <c r="BM137" s="6"/>
      <c r="BN137" s="6"/>
      <c r="BO137" s="6"/>
      <c r="BP137" s="6">
        <f>IF(+R137-BL137+BN137&gt;0,R137-BL137+BN137,0)</f>
        <v>0</v>
      </c>
      <c r="BU137" s="6"/>
    </row>
    <row r="138" spans="1:73" s="21" customFormat="1">
      <c r="A138" s="118"/>
      <c r="B138" s="58" t="s">
        <v>183</v>
      </c>
      <c r="J138" s="8"/>
      <c r="L138" s="143"/>
      <c r="M138" s="9"/>
      <c r="N138" s="102">
        <f>SUM(N134:N137)</f>
        <v>0</v>
      </c>
      <c r="O138" s="9"/>
      <c r="P138" s="102">
        <f>SUM(P134:P137)</f>
        <v>0</v>
      </c>
      <c r="Q138" s="9"/>
      <c r="R138" s="102">
        <f>SUM(R134:R137)</f>
        <v>400000</v>
      </c>
      <c r="S138" s="9"/>
      <c r="T138" s="102">
        <f>SUM(T134:T137)</f>
        <v>0</v>
      </c>
      <c r="U138" s="9"/>
      <c r="V138" s="102">
        <f>SUM(V134:V137)</f>
        <v>0</v>
      </c>
      <c r="W138" s="9"/>
      <c r="X138" s="102">
        <f>SUM(X134:X137)</f>
        <v>0</v>
      </c>
      <c r="Y138" s="9"/>
      <c r="Z138" s="102">
        <f>SUM(Z134:Z137)</f>
        <v>8000</v>
      </c>
      <c r="AA138" s="9"/>
      <c r="AB138" s="102">
        <f>SUM(AB134:AB137)</f>
        <v>24712</v>
      </c>
      <c r="AC138" s="9"/>
      <c r="AD138" s="102">
        <f>SUM(AD134:AD137)</f>
        <v>71081</v>
      </c>
      <c r="AE138" s="9"/>
      <c r="AF138" s="102">
        <f>SUM(AF134:AF137)</f>
        <v>13261.65</v>
      </c>
      <c r="AG138" s="9"/>
      <c r="AH138" s="102">
        <f>SUM(AH134:AH137)</f>
        <v>39577.43</v>
      </c>
      <c r="AI138"/>
      <c r="AJ138" s="102">
        <f>SUM(AJ134:AJ137)</f>
        <v>11821.22</v>
      </c>
      <c r="AK138"/>
      <c r="AL138" s="102">
        <f>SUM(AL134:AL137)</f>
        <v>11746.18</v>
      </c>
      <c r="AM138"/>
      <c r="AN138" s="102">
        <f>SUM(AN134:AN137)</f>
        <v>19877.66</v>
      </c>
      <c r="AO138" s="9"/>
      <c r="AP138" s="102">
        <f>SUM(AP134:AP137)</f>
        <v>29832.399999999998</v>
      </c>
      <c r="AQ138" s="9"/>
      <c r="AR138" s="102">
        <f>SUM(AR134:AR137)</f>
        <v>39859.51</v>
      </c>
      <c r="AS138" s="9"/>
      <c r="AT138" s="102">
        <f>SUM(AT134:AT137)</f>
        <v>5434</v>
      </c>
      <c r="AU138" s="10"/>
      <c r="AV138" s="102">
        <f>SUM(AV134:AV137)</f>
        <v>2588.4499999999998</v>
      </c>
      <c r="AW138" s="10"/>
      <c r="AX138" s="102">
        <f>SUM(AX134:AX137)</f>
        <v>0</v>
      </c>
      <c r="AY138" s="10"/>
      <c r="AZ138" s="102">
        <f>SUM(AZ134:AZ137)</f>
        <v>3856</v>
      </c>
      <c r="BA138" s="10"/>
      <c r="BB138" s="102">
        <f>SUM(BB134:BB137)</f>
        <v>0</v>
      </c>
      <c r="BC138" s="10"/>
      <c r="BD138" s="102">
        <f>SUM(BD134:BD137)</f>
        <v>0</v>
      </c>
      <c r="BE138" s="10"/>
      <c r="BF138" s="102">
        <f>SUM(BF134:BF137)</f>
        <v>0</v>
      </c>
      <c r="BG138" s="10"/>
      <c r="BH138" s="102">
        <f>SUM(BH134:BH137)</f>
        <v>0</v>
      </c>
      <c r="BI138" s="10"/>
      <c r="BJ138" s="102">
        <f>SUM(BJ134:BJ137)</f>
        <v>0</v>
      </c>
      <c r="BK138" s="9"/>
      <c r="BL138" s="102">
        <f>SUM(BL134:BL137)</f>
        <v>281647.5</v>
      </c>
      <c r="BM138" s="9"/>
      <c r="BN138" s="102">
        <f>SUM(BN134:BN137)</f>
        <v>0</v>
      </c>
      <c r="BO138" s="9"/>
      <c r="BP138" s="102">
        <f>SUM(BP134:BP137)</f>
        <v>118352.5</v>
      </c>
      <c r="BQ138" s="9"/>
      <c r="BR138" s="102">
        <f>SUM(BR134:BR137)</f>
        <v>400000</v>
      </c>
      <c r="BS138" s="9"/>
      <c r="BT138" s="102">
        <f>SUM(BT134:BT137)</f>
        <v>0</v>
      </c>
      <c r="BU138" s="9"/>
    </row>
    <row r="139" spans="1:73" s="21" customFormat="1">
      <c r="A139" s="118"/>
      <c r="B139" s="58"/>
      <c r="J139" s="8"/>
      <c r="L139" s="143"/>
      <c r="M139" s="9"/>
      <c r="N139" s="10"/>
      <c r="O139" s="9"/>
      <c r="P139" s="10"/>
      <c r="Q139" s="9"/>
      <c r="R139" s="10"/>
      <c r="S139" s="9"/>
      <c r="T139" s="10"/>
      <c r="U139" s="9"/>
      <c r="V139" s="10"/>
      <c r="W139" s="9"/>
      <c r="X139" s="10"/>
      <c r="Y139" s="9"/>
      <c r="Z139" s="10"/>
      <c r="AA139" s="9"/>
      <c r="AB139" s="10"/>
      <c r="AC139" s="9"/>
      <c r="AD139" s="10"/>
      <c r="AE139" s="9"/>
      <c r="AF139" s="10"/>
      <c r="AG139" s="9"/>
      <c r="AH139" s="10"/>
      <c r="AI139"/>
      <c r="AJ139" s="10"/>
      <c r="AK139"/>
      <c r="AL139" s="10"/>
      <c r="AM139"/>
      <c r="AN139" s="10"/>
      <c r="AO139" s="9"/>
      <c r="AP139" s="10"/>
      <c r="AQ139" s="9"/>
      <c r="AR139" s="10"/>
      <c r="AS139" s="9"/>
      <c r="AT139" s="10"/>
      <c r="AU139" s="10"/>
      <c r="AV139" s="10"/>
      <c r="AW139" s="10"/>
      <c r="AX139" s="10"/>
      <c r="AY139" s="10"/>
      <c r="AZ139" s="10"/>
      <c r="BA139" s="10"/>
      <c r="BB139" s="10"/>
      <c r="BC139" s="10"/>
      <c r="BD139" s="10"/>
      <c r="BE139" s="10"/>
      <c r="BF139" s="10"/>
      <c r="BG139" s="10"/>
      <c r="BH139" s="10"/>
      <c r="BI139" s="10"/>
      <c r="BJ139" s="10"/>
      <c r="BK139" s="9"/>
      <c r="BL139" s="10"/>
      <c r="BM139" s="9"/>
      <c r="BN139" s="10"/>
      <c r="BO139" s="9"/>
      <c r="BP139" s="10"/>
      <c r="BQ139" s="9"/>
      <c r="BR139" s="10"/>
      <c r="BS139" s="9"/>
      <c r="BT139" s="10"/>
      <c r="BU139" s="9"/>
    </row>
    <row r="140" spans="1:73" s="21" customFormat="1">
      <c r="A140" s="56" t="s">
        <v>511</v>
      </c>
      <c r="B140" s="31"/>
      <c r="J140" s="8" t="s">
        <v>0</v>
      </c>
      <c r="L140" s="134" t="s">
        <v>202</v>
      </c>
      <c r="M140" s="9"/>
      <c r="N140" s="9">
        <v>0</v>
      </c>
      <c r="O140" s="9"/>
      <c r="P140" s="9">
        <v>0</v>
      </c>
      <c r="Q140" s="9"/>
      <c r="R140" s="9">
        <v>1000000</v>
      </c>
      <c r="S140" s="9"/>
      <c r="T140" s="9">
        <v>0</v>
      </c>
      <c r="U140" s="9"/>
      <c r="V140" s="9">
        <v>0</v>
      </c>
      <c r="W140" s="9"/>
      <c r="X140" s="9">
        <v>0</v>
      </c>
      <c r="Y140" s="9"/>
      <c r="Z140" s="9">
        <v>0</v>
      </c>
      <c r="AA140" s="9"/>
      <c r="AB140" s="9">
        <v>0</v>
      </c>
      <c r="AC140" s="9"/>
      <c r="AD140" s="9">
        <v>0</v>
      </c>
      <c r="AE140" s="9"/>
      <c r="AF140" s="9">
        <v>0</v>
      </c>
      <c r="AG140" s="9"/>
      <c r="AH140" s="9">
        <v>0</v>
      </c>
      <c r="AI140"/>
      <c r="AJ140" s="9">
        <v>0</v>
      </c>
      <c r="AK140"/>
      <c r="AL140" s="9">
        <v>0</v>
      </c>
      <c r="AM140"/>
      <c r="AN140" s="9">
        <v>50050</v>
      </c>
      <c r="AO140" s="9"/>
      <c r="AP140" s="9">
        <f>2348.07+158267.53</f>
        <v>160615.6</v>
      </c>
      <c r="AQ140" s="9"/>
      <c r="AR140" s="9">
        <v>8227.76</v>
      </c>
      <c r="AS140" s="9"/>
      <c r="AT140" s="9">
        <v>115500</v>
      </c>
      <c r="AU140" s="9"/>
      <c r="AV140" s="9">
        <v>445269.08</v>
      </c>
      <c r="AW140" s="9"/>
      <c r="AX140" s="9">
        <v>0</v>
      </c>
      <c r="AY140" s="9"/>
      <c r="AZ140" s="9">
        <v>0</v>
      </c>
      <c r="BA140" s="9"/>
      <c r="BB140" s="9">
        <v>0</v>
      </c>
      <c r="BC140" s="9"/>
      <c r="BD140" s="9">
        <v>0</v>
      </c>
      <c r="BE140" s="9"/>
      <c r="BF140" s="9">
        <v>0</v>
      </c>
      <c r="BG140" s="9"/>
      <c r="BH140" s="9">
        <v>0</v>
      </c>
      <c r="BI140" s="9"/>
      <c r="BJ140" s="9">
        <v>0</v>
      </c>
      <c r="BK140" s="9"/>
      <c r="BL140" s="9">
        <f>SUM(T140:BK140)</f>
        <v>779662.44</v>
      </c>
      <c r="BM140" s="9"/>
      <c r="BN140" s="9">
        <v>200000</v>
      </c>
      <c r="BO140" s="9"/>
      <c r="BP140" s="6">
        <f>IF(+R140-BL140+BN140&gt;0,R140-BL140+BN140,0)</f>
        <v>420337.56000000006</v>
      </c>
      <c r="BQ140" s="9"/>
      <c r="BR140" s="9">
        <f>+BL140+BP140</f>
        <v>1200000</v>
      </c>
      <c r="BS140" s="9"/>
      <c r="BT140" s="9">
        <f>+R140-BR140</f>
        <v>-200000</v>
      </c>
      <c r="BU140" s="9"/>
    </row>
    <row r="141" spans="1:73" s="21" customFormat="1">
      <c r="A141" s="118"/>
      <c r="B141" s="58"/>
      <c r="J141" s="8"/>
      <c r="L141" s="143"/>
      <c r="M141" s="9"/>
      <c r="N141" s="10"/>
      <c r="O141" s="9"/>
      <c r="P141" s="10"/>
      <c r="Q141" s="9"/>
      <c r="R141" s="10"/>
      <c r="S141" s="9"/>
      <c r="T141" s="10"/>
      <c r="U141" s="9"/>
      <c r="V141" s="10"/>
      <c r="W141" s="9"/>
      <c r="X141" s="10"/>
      <c r="Y141" s="9"/>
      <c r="Z141" s="10"/>
      <c r="AA141" s="9"/>
      <c r="AB141" s="10"/>
      <c r="AC141" s="9"/>
      <c r="AD141" s="10"/>
      <c r="AE141" s="9"/>
      <c r="AF141" s="10"/>
      <c r="AG141" s="9"/>
      <c r="AH141" s="10"/>
      <c r="AI141"/>
      <c r="AJ141" s="10"/>
      <c r="AK141"/>
      <c r="AL141" s="10"/>
      <c r="AM141"/>
      <c r="AN141" s="10"/>
      <c r="AO141" s="9"/>
      <c r="AP141" s="10"/>
      <c r="AQ141" s="9"/>
      <c r="AR141" s="10"/>
      <c r="AS141" s="9"/>
      <c r="AT141" s="10"/>
      <c r="AU141" s="10"/>
      <c r="AV141" s="10"/>
      <c r="AW141" s="10"/>
      <c r="AX141" s="10"/>
      <c r="AY141" s="10"/>
      <c r="AZ141" s="10"/>
      <c r="BA141" s="10"/>
      <c r="BB141" s="10"/>
      <c r="BC141" s="10"/>
      <c r="BD141" s="10"/>
      <c r="BE141" s="10"/>
      <c r="BF141" s="10"/>
      <c r="BG141" s="10"/>
      <c r="BH141" s="10"/>
      <c r="BI141" s="10"/>
      <c r="BJ141" s="10"/>
      <c r="BK141" s="9"/>
      <c r="BL141" s="10"/>
      <c r="BM141" s="9"/>
      <c r="BN141" s="10"/>
      <c r="BO141" s="9"/>
      <c r="BP141" s="10"/>
      <c r="BQ141" s="9"/>
      <c r="BR141" s="10"/>
      <c r="BS141" s="9"/>
      <c r="BT141" s="10"/>
      <c r="BU141" s="9"/>
    </row>
    <row r="142" spans="1:73" s="21" customFormat="1">
      <c r="A142" s="56" t="s">
        <v>29</v>
      </c>
      <c r="B142" s="31"/>
      <c r="J142" s="8" t="s">
        <v>0</v>
      </c>
      <c r="L142" s="134" t="s">
        <v>202</v>
      </c>
      <c r="M142" s="9"/>
      <c r="N142" s="9">
        <v>0</v>
      </c>
      <c r="O142" s="9"/>
      <c r="P142" s="9">
        <v>0</v>
      </c>
      <c r="Q142" s="9"/>
      <c r="R142" s="9">
        <v>3500000</v>
      </c>
      <c r="S142" s="9"/>
      <c r="T142" s="9">
        <v>0</v>
      </c>
      <c r="U142" s="9"/>
      <c r="V142" s="9">
        <v>0</v>
      </c>
      <c r="W142" s="9"/>
      <c r="X142" s="9">
        <v>0</v>
      </c>
      <c r="Y142" s="9"/>
      <c r="Z142" s="9">
        <v>0</v>
      </c>
      <c r="AA142" s="9"/>
      <c r="AB142" s="9">
        <v>0</v>
      </c>
      <c r="AC142" s="9"/>
      <c r="AD142" s="9">
        <v>0</v>
      </c>
      <c r="AE142" s="9"/>
      <c r="AF142" s="9">
        <v>0</v>
      </c>
      <c r="AG142" s="9"/>
      <c r="AH142" s="9">
        <v>0</v>
      </c>
      <c r="AI142"/>
      <c r="AJ142" s="9">
        <v>0</v>
      </c>
      <c r="AK142"/>
      <c r="AL142" s="9">
        <v>0</v>
      </c>
      <c r="AM142"/>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f>SUM(T142:BK142)</f>
        <v>0</v>
      </c>
      <c r="BM142" s="9"/>
      <c r="BN142" s="9">
        <f>4500000+2900000</f>
        <v>7400000</v>
      </c>
      <c r="BO142" s="9"/>
      <c r="BP142" s="6">
        <f>IF(+R142-BL142+BN142&gt;0,R142-BL142+BN142,0)</f>
        <v>10900000</v>
      </c>
      <c r="BQ142" s="9"/>
      <c r="BR142" s="9">
        <f>+BL142+BP142</f>
        <v>10900000</v>
      </c>
      <c r="BS142" s="9"/>
      <c r="BT142" s="9">
        <f>+R142-BR142</f>
        <v>-7400000</v>
      </c>
      <c r="BU142" s="9"/>
    </row>
    <row r="143" spans="1:73" s="21" customFormat="1">
      <c r="A143" s="118"/>
      <c r="B143" s="58"/>
      <c r="J143" s="8"/>
      <c r="L143" s="143"/>
      <c r="M143" s="9"/>
      <c r="N143" s="10"/>
      <c r="O143" s="9"/>
      <c r="P143" s="10"/>
      <c r="Q143" s="9"/>
      <c r="R143" s="10"/>
      <c r="S143" s="9"/>
      <c r="T143" s="10"/>
      <c r="U143" s="9"/>
      <c r="V143" s="10"/>
      <c r="W143" s="9"/>
      <c r="X143" s="10"/>
      <c r="Y143" s="9"/>
      <c r="Z143" s="10"/>
      <c r="AA143" s="9"/>
      <c r="AB143" s="10"/>
      <c r="AC143" s="9"/>
      <c r="AD143" s="10"/>
      <c r="AE143" s="9"/>
      <c r="AF143" s="10"/>
      <c r="AG143" s="9"/>
      <c r="AH143" s="10"/>
      <c r="AI143"/>
      <c r="AJ143" s="10"/>
      <c r="AK143"/>
      <c r="AL143" s="10"/>
      <c r="AM143"/>
      <c r="AN143" s="10"/>
      <c r="AO143" s="9"/>
      <c r="AP143" s="10"/>
      <c r="AQ143" s="9"/>
      <c r="AR143" s="10"/>
      <c r="AS143" s="9"/>
      <c r="AT143" s="10"/>
      <c r="AU143" s="10"/>
      <c r="AV143" s="10"/>
      <c r="AW143" s="10"/>
      <c r="AX143" s="10"/>
      <c r="AY143" s="10"/>
      <c r="AZ143" s="10"/>
      <c r="BA143" s="10"/>
      <c r="BB143" s="10"/>
      <c r="BC143" s="10"/>
      <c r="BD143" s="10"/>
      <c r="BE143" s="10"/>
      <c r="BF143" s="10"/>
      <c r="BG143" s="10"/>
      <c r="BH143" s="10"/>
      <c r="BI143" s="10"/>
      <c r="BJ143" s="10"/>
      <c r="BK143" s="9"/>
      <c r="BL143" s="10"/>
      <c r="BM143" s="9"/>
      <c r="BN143" s="10"/>
      <c r="BO143" s="9"/>
      <c r="BP143" s="10"/>
      <c r="BQ143" s="9"/>
      <c r="BR143" s="10"/>
      <c r="BS143" s="9"/>
      <c r="BT143" s="10"/>
      <c r="BU143" s="9"/>
    </row>
    <row r="144" spans="1:73" s="15" customFormat="1">
      <c r="A144" s="111" t="s">
        <v>178</v>
      </c>
      <c r="B144" s="60"/>
      <c r="C144"/>
      <c r="D144"/>
      <c r="E144"/>
      <c r="F144"/>
      <c r="G144"/>
      <c r="H144"/>
      <c r="I144"/>
      <c r="J144" s="49"/>
      <c r="K144"/>
      <c r="L144" s="134"/>
      <c r="M144" s="22"/>
      <c r="N144" s="22"/>
      <c r="O144" s="22"/>
      <c r="P144" s="22"/>
      <c r="Q144" s="22"/>
      <c r="R144" s="22"/>
      <c r="S144" s="22"/>
      <c r="T144" s="22"/>
      <c r="U144" s="22"/>
      <c r="V144" s="22"/>
      <c r="W144" s="22"/>
      <c r="X144" s="22"/>
      <c r="Y144" s="22"/>
      <c r="Z144" s="22"/>
      <c r="AA144" s="22"/>
      <c r="AB144" s="22"/>
      <c r="AC144" s="22"/>
      <c r="AD144" s="22"/>
      <c r="AE144" s="22"/>
      <c r="AF144" s="22"/>
      <c r="AG144" s="22"/>
      <c r="AH144" s="22"/>
      <c r="AI144"/>
      <c r="AJ144" s="22"/>
      <c r="AK144"/>
      <c r="AL144" s="22"/>
      <c r="AM144"/>
      <c r="AN144" s="22"/>
      <c r="AO144" s="22"/>
      <c r="AP144" s="22"/>
      <c r="AQ144" s="22"/>
      <c r="AR144" s="22"/>
      <c r="AS144" s="22"/>
      <c r="AT144" s="22"/>
      <c r="AU144" s="22"/>
      <c r="AV144" s="22"/>
      <c r="AW144" s="22"/>
      <c r="AX144" s="22"/>
      <c r="AY144" s="22"/>
      <c r="AZ144" s="22"/>
      <c r="BA144" s="22"/>
      <c r="BB144" s="22"/>
      <c r="BC144" s="22"/>
      <c r="BD144" s="22"/>
      <c r="BE144" s="22"/>
      <c r="BF144" s="22"/>
      <c r="BG144" s="22"/>
      <c r="BH144" s="22"/>
      <c r="BI144" s="22"/>
      <c r="BJ144" s="22"/>
      <c r="BK144" s="22"/>
      <c r="BL144" s="22"/>
      <c r="BM144" s="22"/>
      <c r="BN144" s="22"/>
      <c r="BO144" s="22"/>
      <c r="BP144" s="22"/>
      <c r="BQ144" s="22"/>
      <c r="BR144" s="22"/>
      <c r="BS144" s="22"/>
      <c r="BT144" s="22"/>
      <c r="BU144" s="22"/>
    </row>
    <row r="145" spans="1:73" s="15" customFormat="1" hidden="1">
      <c r="A145" s="14"/>
      <c r="B145" s="60" t="s">
        <v>179</v>
      </c>
      <c r="C145"/>
      <c r="D145"/>
      <c r="E145"/>
      <c r="F145"/>
      <c r="G145"/>
      <c r="H145"/>
      <c r="I145"/>
      <c r="J145" s="49"/>
      <c r="K145"/>
      <c r="L145" s="134" t="s">
        <v>202</v>
      </c>
      <c r="M145" s="22"/>
      <c r="N145" s="22">
        <v>0</v>
      </c>
      <c r="O145" s="22"/>
      <c r="P145" s="22">
        <v>0</v>
      </c>
      <c r="Q145" s="22"/>
      <c r="R145" s="6">
        <f>+N145+P145</f>
        <v>0</v>
      </c>
      <c r="S145" s="22"/>
      <c r="T145" s="22">
        <v>0</v>
      </c>
      <c r="U145" s="22"/>
      <c r="V145" s="22">
        <v>0</v>
      </c>
      <c r="W145" s="22"/>
      <c r="X145" s="22">
        <v>0</v>
      </c>
      <c r="Y145" s="22"/>
      <c r="Z145" s="22">
        <v>0</v>
      </c>
      <c r="AA145" s="22"/>
      <c r="AB145" s="22">
        <v>0</v>
      </c>
      <c r="AC145" s="22"/>
      <c r="AD145" s="22">
        <v>0</v>
      </c>
      <c r="AE145" s="22"/>
      <c r="AF145" s="22">
        <v>0</v>
      </c>
      <c r="AG145" s="22"/>
      <c r="AH145" s="22">
        <v>0</v>
      </c>
      <c r="AI145"/>
      <c r="AJ145" s="22">
        <v>0</v>
      </c>
      <c r="AK145"/>
      <c r="AL145" s="22">
        <v>0</v>
      </c>
      <c r="AM145"/>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22">
        <f>+R145-BL145+BN145</f>
        <v>0</v>
      </c>
      <c r="BQ145" s="22"/>
      <c r="BR145" s="6">
        <f>+BL145+BP145</f>
        <v>0</v>
      </c>
      <c r="BS145" s="22"/>
      <c r="BT145" s="6">
        <f>+R145-BR145</f>
        <v>0</v>
      </c>
      <c r="BU145" s="22"/>
    </row>
    <row r="146" spans="1:73" s="15" customFormat="1">
      <c r="A146" s="14"/>
      <c r="B146" s="60" t="s">
        <v>180</v>
      </c>
      <c r="C146"/>
      <c r="D146"/>
      <c r="E146"/>
      <c r="F146"/>
      <c r="G146"/>
      <c r="H146"/>
      <c r="I146"/>
      <c r="J146" s="49"/>
      <c r="K146"/>
      <c r="L146" s="134" t="s">
        <v>202</v>
      </c>
      <c r="M146" s="22"/>
      <c r="N146" s="22">
        <v>0</v>
      </c>
      <c r="O146" s="22"/>
      <c r="P146" s="22">
        <v>0</v>
      </c>
      <c r="Q146" s="22"/>
      <c r="R146" s="6">
        <v>1500000</v>
      </c>
      <c r="S146" s="22"/>
      <c r="T146" s="22">
        <v>0</v>
      </c>
      <c r="U146" s="22"/>
      <c r="V146" s="22">
        <v>0</v>
      </c>
      <c r="W146" s="22"/>
      <c r="X146" s="22">
        <v>0</v>
      </c>
      <c r="Y146" s="22"/>
      <c r="Z146" s="22">
        <v>0</v>
      </c>
      <c r="AA146" s="22"/>
      <c r="AB146" s="22">
        <v>0</v>
      </c>
      <c r="AC146" s="22"/>
      <c r="AD146" s="22">
        <v>0</v>
      </c>
      <c r="AE146" s="22"/>
      <c r="AF146" s="22">
        <v>0</v>
      </c>
      <c r="AG146" s="22"/>
      <c r="AH146" s="22">
        <v>0</v>
      </c>
      <c r="AI146"/>
      <c r="AJ146" s="22">
        <v>0</v>
      </c>
      <c r="AK146"/>
      <c r="AL146" s="22">
        <v>0</v>
      </c>
      <c r="AM146"/>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6">
        <f>IF(+R146-BL146+BN146&gt;0,R146-BL146+BN146,0)</f>
        <v>1500000</v>
      </c>
      <c r="BQ146" s="22"/>
      <c r="BR146" s="6">
        <f>+BL146+BP146</f>
        <v>1500000</v>
      </c>
      <c r="BS146" s="22"/>
      <c r="BT146" s="6">
        <f>+R146-BR146</f>
        <v>0</v>
      </c>
      <c r="BU146" s="22"/>
    </row>
    <row r="147" spans="1:73" s="15" customFormat="1" hidden="1">
      <c r="A147" s="14"/>
      <c r="B147" s="60" t="s">
        <v>121</v>
      </c>
      <c r="C147"/>
      <c r="D147"/>
      <c r="E147"/>
      <c r="F147"/>
      <c r="G147"/>
      <c r="H147"/>
      <c r="I147"/>
      <c r="J147" s="49"/>
      <c r="K147"/>
      <c r="L147" s="134" t="s">
        <v>202</v>
      </c>
      <c r="M147" s="22"/>
      <c r="N147" s="22">
        <v>0</v>
      </c>
      <c r="O147" s="22"/>
      <c r="P147" s="22">
        <v>0</v>
      </c>
      <c r="Q147" s="22"/>
      <c r="R147" s="6">
        <v>0</v>
      </c>
      <c r="S147" s="22"/>
      <c r="T147" s="22">
        <v>0</v>
      </c>
      <c r="U147" s="22"/>
      <c r="V147" s="22">
        <v>0</v>
      </c>
      <c r="W147" s="22"/>
      <c r="X147" s="22">
        <v>0</v>
      </c>
      <c r="Y147" s="22"/>
      <c r="Z147" s="22">
        <v>0</v>
      </c>
      <c r="AA147" s="22"/>
      <c r="AB147" s="22">
        <v>0</v>
      </c>
      <c r="AC147" s="22"/>
      <c r="AD147" s="22">
        <v>0</v>
      </c>
      <c r="AE147" s="22"/>
      <c r="AF147" s="22">
        <v>0</v>
      </c>
      <c r="AG147" s="22"/>
      <c r="AH147" s="22">
        <v>0</v>
      </c>
      <c r="AI147"/>
      <c r="AJ147" s="22">
        <v>0</v>
      </c>
      <c r="AK147"/>
      <c r="AL147" s="22">
        <v>0</v>
      </c>
      <c r="AM147"/>
      <c r="AN147" s="22">
        <v>0</v>
      </c>
      <c r="AO147" s="22"/>
      <c r="AP147" s="22">
        <v>0</v>
      </c>
      <c r="AQ147" s="22"/>
      <c r="AR147" s="22">
        <v>0</v>
      </c>
      <c r="AS147" s="22"/>
      <c r="AT147" s="22">
        <v>0</v>
      </c>
      <c r="AU147" s="22"/>
      <c r="AV147" s="22">
        <v>0</v>
      </c>
      <c r="AW147" s="22"/>
      <c r="AX147" s="22">
        <v>0</v>
      </c>
      <c r="AY147" s="22"/>
      <c r="AZ147" s="22">
        <v>0</v>
      </c>
      <c r="BA147" s="22"/>
      <c r="BB147" s="22">
        <v>0</v>
      </c>
      <c r="BC147" s="22"/>
      <c r="BD147" s="22">
        <v>0</v>
      </c>
      <c r="BE147" s="22"/>
      <c r="BF147" s="22">
        <v>0</v>
      </c>
      <c r="BG147" s="22"/>
      <c r="BH147" s="22">
        <v>0</v>
      </c>
      <c r="BI147" s="22"/>
      <c r="BJ147" s="22">
        <v>0</v>
      </c>
      <c r="BK147" s="22"/>
      <c r="BL147" s="22">
        <f>SUM(T147:BK147)</f>
        <v>0</v>
      </c>
      <c r="BM147" s="22"/>
      <c r="BN147" s="22">
        <v>0</v>
      </c>
      <c r="BO147" s="22"/>
      <c r="BP147" s="22">
        <f>+R147-BL147+BN147</f>
        <v>0</v>
      </c>
      <c r="BQ147" s="22"/>
      <c r="BR147" s="6">
        <f>+BL147+BP147</f>
        <v>0</v>
      </c>
      <c r="BS147" s="22"/>
      <c r="BT147" s="6">
        <f>+R147-BR147</f>
        <v>0</v>
      </c>
      <c r="BU147" s="22"/>
    </row>
    <row r="148" spans="1:73" s="104" customFormat="1">
      <c r="A148" s="111"/>
      <c r="B148" s="77" t="s">
        <v>181</v>
      </c>
      <c r="C148" s="21"/>
      <c r="D148" s="21"/>
      <c r="E148" s="21"/>
      <c r="F148" s="21"/>
      <c r="G148" s="21"/>
      <c r="H148" s="21"/>
      <c r="I148" s="21"/>
      <c r="J148" s="8"/>
      <c r="K148" s="21"/>
      <c r="L148" s="143"/>
      <c r="M148" s="16"/>
      <c r="N148" s="108">
        <f>SUM(N145:N147)</f>
        <v>0</v>
      </c>
      <c r="O148" s="16"/>
      <c r="P148" s="108">
        <f>SUM(P145:P147)</f>
        <v>0</v>
      </c>
      <c r="Q148" s="16"/>
      <c r="R148" s="108">
        <f>SUM(R145:R147)</f>
        <v>1500000</v>
      </c>
      <c r="S148" s="16"/>
      <c r="T148" s="108">
        <f>SUM(T145:T147)</f>
        <v>0</v>
      </c>
      <c r="U148" s="16"/>
      <c r="V148" s="108">
        <f>SUM(V145:V147)</f>
        <v>0</v>
      </c>
      <c r="W148" s="16"/>
      <c r="X148" s="108">
        <f>SUM(X145:X147)</f>
        <v>0</v>
      </c>
      <c r="Y148" s="16"/>
      <c r="Z148" s="108">
        <f>SUM(Z145:Z147)</f>
        <v>0</v>
      </c>
      <c r="AA148" s="16"/>
      <c r="AB148" s="108">
        <f>SUM(AB145:AB147)</f>
        <v>0</v>
      </c>
      <c r="AC148" s="16"/>
      <c r="AD148" s="108">
        <f>SUM(AD145:AD147)</f>
        <v>0</v>
      </c>
      <c r="AE148" s="16"/>
      <c r="AF148" s="108">
        <f>SUM(AF145:AF147)</f>
        <v>0</v>
      </c>
      <c r="AG148" s="16"/>
      <c r="AH148" s="108">
        <f>SUM(AH145:AH147)</f>
        <v>0</v>
      </c>
      <c r="AI148"/>
      <c r="AJ148" s="108">
        <f>SUM(AJ145:AJ147)</f>
        <v>0</v>
      </c>
      <c r="AK148"/>
      <c r="AL148" s="108">
        <f>SUM(AL145:AL147)</f>
        <v>0</v>
      </c>
      <c r="AM148"/>
      <c r="AN148" s="108">
        <f>SUM(AN145:AN147)</f>
        <v>0</v>
      </c>
      <c r="AO148" s="16"/>
      <c r="AP148" s="108">
        <f>SUM(AP145:AP147)</f>
        <v>0</v>
      </c>
      <c r="AQ148" s="16"/>
      <c r="AR148" s="108">
        <f>SUM(AR145:AR147)</f>
        <v>0</v>
      </c>
      <c r="AS148" s="16"/>
      <c r="AT148" s="108">
        <f>SUM(AT145:AT147)</f>
        <v>0</v>
      </c>
      <c r="AU148" s="103"/>
      <c r="AV148" s="108">
        <f>SUM(AV145:AV147)</f>
        <v>0</v>
      </c>
      <c r="AW148" s="103"/>
      <c r="AX148" s="108">
        <f>SUM(AX145:AX147)</f>
        <v>0</v>
      </c>
      <c r="AY148" s="103"/>
      <c r="AZ148" s="108">
        <f>SUM(AZ145:AZ147)</f>
        <v>0</v>
      </c>
      <c r="BA148" s="103"/>
      <c r="BB148" s="108">
        <f>SUM(BB145:BB147)</f>
        <v>0</v>
      </c>
      <c r="BC148" s="103"/>
      <c r="BD148" s="108">
        <f>SUM(BD145:BD147)</f>
        <v>0</v>
      </c>
      <c r="BE148" s="103"/>
      <c r="BF148" s="108">
        <f>SUM(BF145:BF147)</f>
        <v>0</v>
      </c>
      <c r="BG148" s="103"/>
      <c r="BH148" s="108">
        <f>SUM(BH145:BH147)</f>
        <v>0</v>
      </c>
      <c r="BI148" s="103"/>
      <c r="BJ148" s="108">
        <f>SUM(BJ145:BJ147)</f>
        <v>0</v>
      </c>
      <c r="BK148" s="16"/>
      <c r="BL148" s="108">
        <f>SUM(BL145:BL147)</f>
        <v>0</v>
      </c>
      <c r="BM148" s="16"/>
      <c r="BN148" s="108">
        <f>SUM(BN145:BN147)</f>
        <v>0</v>
      </c>
      <c r="BO148" s="16"/>
      <c r="BP148" s="108">
        <f>SUM(BP145:BP147)</f>
        <v>1500000</v>
      </c>
      <c r="BQ148" s="16"/>
      <c r="BR148" s="108">
        <f>SUM(BR145:BR147)</f>
        <v>1500000</v>
      </c>
      <c r="BS148" s="16"/>
      <c r="BT148" s="108">
        <f>SUM(BT145:BT147)</f>
        <v>0</v>
      </c>
      <c r="BU148" s="16"/>
    </row>
    <row r="149" spans="1:73" s="104" customFormat="1">
      <c r="A149" s="32"/>
      <c r="B149" s="77"/>
      <c r="C149" s="21"/>
      <c r="D149" s="21"/>
      <c r="E149" s="21"/>
      <c r="F149" s="21"/>
      <c r="G149" s="21"/>
      <c r="H149" s="21"/>
      <c r="I149" s="21"/>
      <c r="J149" s="8"/>
      <c r="K149" s="21"/>
      <c r="L149" s="143"/>
      <c r="M149" s="16"/>
      <c r="N149" s="103"/>
      <c r="O149" s="16"/>
      <c r="P149" s="103"/>
      <c r="Q149" s="16"/>
      <c r="R149" s="103"/>
      <c r="S149" s="16"/>
      <c r="T149" s="103"/>
      <c r="U149" s="16"/>
      <c r="V149" s="103"/>
      <c r="W149" s="16"/>
      <c r="X149" s="103"/>
      <c r="Y149" s="16"/>
      <c r="Z149" s="103"/>
      <c r="AA149" s="16"/>
      <c r="AB149" s="103"/>
      <c r="AC149" s="16"/>
      <c r="AD149" s="103"/>
      <c r="AE149" s="16"/>
      <c r="AF149" s="103"/>
      <c r="AG149" s="16"/>
      <c r="AH149" s="103"/>
      <c r="AI149"/>
      <c r="AJ149" s="103"/>
      <c r="AK149"/>
      <c r="AL149" s="103"/>
      <c r="AM149"/>
      <c r="AN149" s="103"/>
      <c r="AO149" s="16"/>
      <c r="AP149" s="103"/>
      <c r="AQ149" s="16"/>
      <c r="AR149" s="103"/>
      <c r="AS149" s="16"/>
      <c r="AT149" s="103"/>
      <c r="AU149" s="103"/>
      <c r="AV149" s="103"/>
      <c r="AW149" s="103"/>
      <c r="AX149" s="103"/>
      <c r="AY149" s="103"/>
      <c r="AZ149" s="103"/>
      <c r="BA149" s="103"/>
      <c r="BB149" s="103"/>
      <c r="BC149" s="103"/>
      <c r="BD149" s="103"/>
      <c r="BE149" s="103"/>
      <c r="BF149" s="103"/>
      <c r="BG149" s="103"/>
      <c r="BH149" s="103"/>
      <c r="BI149" s="103"/>
      <c r="BJ149" s="103"/>
      <c r="BK149" s="16"/>
      <c r="BL149" s="103"/>
      <c r="BM149" s="16"/>
      <c r="BN149" s="103"/>
      <c r="BO149" s="16"/>
      <c r="BP149" s="103"/>
      <c r="BQ149" s="16"/>
      <c r="BR149" s="103"/>
      <c r="BS149" s="16"/>
      <c r="BT149" s="103"/>
      <c r="BU149" s="16"/>
    </row>
    <row r="150" spans="1:73" s="31" customFormat="1">
      <c r="A150" s="58" t="s">
        <v>31</v>
      </c>
      <c r="J150" s="159"/>
      <c r="L150" s="145" t="s">
        <v>202</v>
      </c>
      <c r="M150" s="10"/>
      <c r="N150" s="10">
        <v>0</v>
      </c>
      <c r="O150" s="10"/>
      <c r="P150" s="10">
        <v>0</v>
      </c>
      <c r="Q150" s="10"/>
      <c r="R150" s="9">
        <v>150000</v>
      </c>
      <c r="S150" s="10"/>
      <c r="T150" s="10">
        <v>0</v>
      </c>
      <c r="U150" s="10"/>
      <c r="V150" s="10">
        <v>0</v>
      </c>
      <c r="W150" s="10"/>
      <c r="X150" s="10">
        <v>0</v>
      </c>
      <c r="Y150" s="10"/>
      <c r="Z150" s="10">
        <v>0</v>
      </c>
      <c r="AA150" s="10"/>
      <c r="AB150" s="10">
        <v>0</v>
      </c>
      <c r="AC150" s="10"/>
      <c r="AD150" s="10">
        <v>0</v>
      </c>
      <c r="AE150" s="10"/>
      <c r="AF150" s="10">
        <v>0</v>
      </c>
      <c r="AG150" s="10"/>
      <c r="AH150" s="10">
        <v>0</v>
      </c>
      <c r="AI150"/>
      <c r="AJ150" s="10">
        <v>0</v>
      </c>
      <c r="AK150"/>
      <c r="AL150" s="10">
        <v>0</v>
      </c>
      <c r="AM150"/>
      <c r="AN150" s="10">
        <v>0</v>
      </c>
      <c r="AO150" s="10"/>
      <c r="AP150" s="10">
        <v>0</v>
      </c>
      <c r="AQ150" s="10"/>
      <c r="AR150" s="10">
        <v>266248.5</v>
      </c>
      <c r="AS150" s="10"/>
      <c r="AT150" s="10">
        <v>0</v>
      </c>
      <c r="AU150" s="10"/>
      <c r="AV150" s="10">
        <v>0</v>
      </c>
      <c r="AW150" s="10"/>
      <c r="AX150" s="10">
        <v>0</v>
      </c>
      <c r="AY150" s="10"/>
      <c r="AZ150" s="10">
        <v>5000</v>
      </c>
      <c r="BA150" s="10"/>
      <c r="BB150" s="10">
        <v>0</v>
      </c>
      <c r="BC150" s="10"/>
      <c r="BD150" s="10">
        <v>0</v>
      </c>
      <c r="BE150" s="10"/>
      <c r="BF150" s="10">
        <v>0</v>
      </c>
      <c r="BG150" s="10"/>
      <c r="BH150" s="10">
        <v>0</v>
      </c>
      <c r="BI150" s="10"/>
      <c r="BJ150" s="10">
        <v>0</v>
      </c>
      <c r="BK150" s="10"/>
      <c r="BL150" s="10">
        <f>SUM(T150:BK150)</f>
        <v>271248.5</v>
      </c>
      <c r="BM150" s="10"/>
      <c r="BN150" s="10">
        <v>0</v>
      </c>
      <c r="BO150" s="10"/>
      <c r="BP150" s="6">
        <f>IF(+R150-BL150+BN150&gt;0,R150-BL150+BN150,0)</f>
        <v>0</v>
      </c>
      <c r="BQ150" s="10"/>
      <c r="BR150" s="9">
        <f>+BL150+BP150</f>
        <v>271248.5</v>
      </c>
      <c r="BS150" s="10"/>
      <c r="BT150" s="9">
        <f>+R150-BR150</f>
        <v>-121248.5</v>
      </c>
      <c r="BU150" s="10"/>
    </row>
    <row r="151" spans="1:73" s="15" customFormat="1">
      <c r="A151" s="14"/>
      <c r="B151" s="60"/>
      <c r="C151"/>
      <c r="D151"/>
      <c r="E151"/>
      <c r="F151"/>
      <c r="G151"/>
      <c r="H151"/>
      <c r="I151"/>
      <c r="J151" s="49"/>
      <c r="K151"/>
      <c r="L151" s="134"/>
      <c r="M151" s="22"/>
      <c r="N151" s="22"/>
      <c r="O151" s="22"/>
      <c r="P151" s="22"/>
      <c r="Q151" s="22"/>
      <c r="R151" s="22"/>
      <c r="S151" s="22"/>
      <c r="T151" s="22"/>
      <c r="U151" s="22"/>
      <c r="V151" s="22"/>
      <c r="W151" s="22"/>
      <c r="X151" s="22"/>
      <c r="Y151" s="22"/>
      <c r="Z151" s="22"/>
      <c r="AA151" s="22"/>
      <c r="AB151" s="22"/>
      <c r="AC151" s="22"/>
      <c r="AD151" s="22"/>
      <c r="AE151" s="22"/>
      <c r="AF151" s="22"/>
      <c r="AG151" s="22"/>
      <c r="AH151" s="22"/>
      <c r="AI151"/>
      <c r="AJ151" s="22"/>
      <c r="AK151"/>
      <c r="AL151" s="22"/>
      <c r="AM151"/>
      <c r="AN151" s="22"/>
      <c r="AO151" s="22"/>
      <c r="AP151" s="22"/>
      <c r="AQ151" s="22"/>
      <c r="AR151" s="22"/>
      <c r="AS151" s="22"/>
      <c r="AT151" s="22"/>
      <c r="AU151" s="22"/>
      <c r="AV151" s="22"/>
      <c r="AW151" s="22"/>
      <c r="AX151" s="22"/>
      <c r="AY151" s="22"/>
      <c r="AZ151" s="22"/>
      <c r="BA151" s="22"/>
      <c r="BB151" s="22"/>
      <c r="BC151" s="22"/>
      <c r="BD151" s="22"/>
      <c r="BE151" s="22"/>
      <c r="BF151" s="22"/>
      <c r="BG151" s="22"/>
      <c r="BH151" s="22"/>
      <c r="BI151" s="22"/>
      <c r="BJ151" s="22"/>
      <c r="BK151" s="22"/>
      <c r="BL151" s="22"/>
      <c r="BM151" s="22"/>
      <c r="BN151" s="22"/>
      <c r="BO151" s="22"/>
      <c r="BP151" s="22"/>
      <c r="BQ151" s="22"/>
      <c r="BR151" s="22"/>
      <c r="BS151" s="22"/>
      <c r="BT151" s="22"/>
      <c r="BU151" s="22"/>
    </row>
    <row r="152" spans="1:73" s="31" customFormat="1">
      <c r="A152" s="58" t="s">
        <v>32</v>
      </c>
      <c r="J152" s="159"/>
      <c r="L152" s="145" t="s">
        <v>202</v>
      </c>
      <c r="M152" s="10"/>
      <c r="N152" s="10">
        <v>0</v>
      </c>
      <c r="O152" s="10"/>
      <c r="P152" s="10">
        <v>0</v>
      </c>
      <c r="Q152" s="10"/>
      <c r="R152" s="9">
        <v>200000</v>
      </c>
      <c r="S152" s="10"/>
      <c r="T152" s="10">
        <v>0</v>
      </c>
      <c r="U152" s="10"/>
      <c r="V152" s="10">
        <v>0</v>
      </c>
      <c r="W152" s="10"/>
      <c r="X152" s="10"/>
      <c r="Y152" s="10"/>
      <c r="Z152" s="10">
        <v>0</v>
      </c>
      <c r="AA152" s="10"/>
      <c r="AB152" s="10">
        <v>0</v>
      </c>
      <c r="AC152" s="10"/>
      <c r="AD152" s="10">
        <v>29401.83</v>
      </c>
      <c r="AE152" s="10"/>
      <c r="AF152" s="10">
        <v>13770.85</v>
      </c>
      <c r="AG152" s="10"/>
      <c r="AH152" s="10">
        <v>7745.74</v>
      </c>
      <c r="AI152"/>
      <c r="AJ152" s="10">
        <v>6275.69</v>
      </c>
      <c r="AK152"/>
      <c r="AL152" s="10">
        <v>0</v>
      </c>
      <c r="AM152"/>
      <c r="AN152" s="10">
        <v>0</v>
      </c>
      <c r="AO152" s="10"/>
      <c r="AP152" s="10">
        <v>0</v>
      </c>
      <c r="AQ152" s="10"/>
      <c r="AR152" s="10">
        <v>0</v>
      </c>
      <c r="AS152" s="10"/>
      <c r="AT152" s="10">
        <v>0</v>
      </c>
      <c r="AU152" s="10"/>
      <c r="AV152" s="10">
        <v>0</v>
      </c>
      <c r="AW152" s="10"/>
      <c r="AX152" s="10">
        <v>9119.08</v>
      </c>
      <c r="AY152" s="10"/>
      <c r="AZ152" s="10">
        <v>9717.4500000000007</v>
      </c>
      <c r="BA152" s="10"/>
      <c r="BB152" s="10">
        <v>0</v>
      </c>
      <c r="BC152" s="10"/>
      <c r="BD152" s="10">
        <v>0</v>
      </c>
      <c r="BE152" s="10"/>
      <c r="BF152" s="10">
        <v>0</v>
      </c>
      <c r="BG152" s="10"/>
      <c r="BH152" s="10">
        <v>0</v>
      </c>
      <c r="BI152" s="10"/>
      <c r="BJ152" s="10">
        <v>0</v>
      </c>
      <c r="BK152" s="10"/>
      <c r="BL152" s="10">
        <f>SUM(T152:BK152)</f>
        <v>76030.64</v>
      </c>
      <c r="BM152" s="10"/>
      <c r="BN152" s="10">
        <v>0</v>
      </c>
      <c r="BO152" s="10"/>
      <c r="BP152" s="6">
        <f>IF(+R152-BL152+BN152&gt;0,R152-BL152+BN152,0)</f>
        <v>123969.36</v>
      </c>
      <c r="BQ152" s="10"/>
      <c r="BR152" s="9">
        <f>+BL152+BP152</f>
        <v>200000</v>
      </c>
      <c r="BS152" s="10"/>
      <c r="BT152" s="6">
        <f>+R152-BR152</f>
        <v>0</v>
      </c>
      <c r="BU152" s="10"/>
    </row>
    <row r="153" spans="1:73" s="15" customFormat="1">
      <c r="A153" s="14"/>
      <c r="B153" s="60"/>
      <c r="C153"/>
      <c r="D153"/>
      <c r="E153"/>
      <c r="F153"/>
      <c r="G153"/>
      <c r="H153"/>
      <c r="I153"/>
      <c r="J153" s="49"/>
      <c r="K153"/>
      <c r="L153" s="134"/>
      <c r="M153" s="22"/>
      <c r="N153" s="22"/>
      <c r="O153" s="22"/>
      <c r="P153" s="22"/>
      <c r="Q153" s="22"/>
      <c r="R153" s="22"/>
      <c r="S153" s="22"/>
      <c r="T153" s="22"/>
      <c r="U153" s="22"/>
      <c r="V153" s="22"/>
      <c r="W153" s="22"/>
      <c r="X153" s="22"/>
      <c r="Y153" s="22"/>
      <c r="Z153" s="22"/>
      <c r="AA153" s="22"/>
      <c r="AB153" s="22"/>
      <c r="AC153" s="22"/>
      <c r="AD153" s="22"/>
      <c r="AE153" s="22"/>
      <c r="AF153" s="22"/>
      <c r="AG153" s="22"/>
      <c r="AH153" s="22"/>
      <c r="AI153"/>
      <c r="AJ153" s="22"/>
      <c r="AK153"/>
      <c r="AL153" s="22"/>
      <c r="AM153"/>
      <c r="AN153" s="22"/>
      <c r="AO153" s="22"/>
      <c r="AP153" s="22"/>
      <c r="AQ153" s="22"/>
      <c r="AR153" s="22"/>
      <c r="AS153" s="22"/>
      <c r="AT153" s="22"/>
      <c r="AU153" s="22"/>
      <c r="AV153" s="22"/>
      <c r="AW153" s="22"/>
      <c r="AX153" s="22"/>
      <c r="AY153" s="22"/>
      <c r="AZ153" s="22"/>
      <c r="BA153" s="22"/>
      <c r="BB153" s="22"/>
      <c r="BC153" s="22"/>
      <c r="BD153" s="22"/>
      <c r="BE153" s="22"/>
      <c r="BF153" s="22"/>
      <c r="BG153" s="22"/>
      <c r="BH153" s="22"/>
      <c r="BI153" s="22"/>
      <c r="BJ153" s="22"/>
      <c r="BK153" s="22"/>
      <c r="BL153" s="22"/>
      <c r="BM153" s="22"/>
      <c r="BN153" s="22"/>
      <c r="BO153" s="22"/>
      <c r="BP153" s="22"/>
      <c r="BQ153" s="22"/>
      <c r="BR153" s="22"/>
      <c r="BS153" s="22"/>
      <c r="BT153" s="22"/>
      <c r="BU153" s="22"/>
    </row>
    <row r="154" spans="1:73">
      <c r="A154" s="56" t="s">
        <v>33</v>
      </c>
      <c r="B154" s="11"/>
      <c r="C154"/>
      <c r="D154"/>
      <c r="E154"/>
      <c r="F154"/>
      <c r="G154"/>
      <c r="H154"/>
      <c r="I154"/>
      <c r="J154" s="49"/>
      <c r="K154"/>
      <c r="L154" s="134"/>
      <c r="M154" s="6"/>
      <c r="O154" s="6"/>
      <c r="Q154" s="6"/>
      <c r="S154" s="6"/>
      <c r="T154" s="6"/>
      <c r="U154" s="6"/>
      <c r="V154" s="6"/>
      <c r="X154" s="6"/>
      <c r="Z154" s="6"/>
      <c r="AB154" s="6"/>
      <c r="AD154" s="6"/>
      <c r="AI154"/>
      <c r="BJ154" s="6"/>
      <c r="BK154" s="6"/>
      <c r="BL154" s="22"/>
      <c r="BM154" s="6"/>
      <c r="BN154" s="6"/>
      <c r="BO154" s="6"/>
      <c r="BU154" s="6"/>
    </row>
    <row r="155" spans="1:73" s="11" customFormat="1">
      <c r="A155" s="17"/>
      <c r="B155" s="11" t="s">
        <v>184</v>
      </c>
      <c r="J155" s="160"/>
      <c r="L155" s="146" t="s">
        <v>203</v>
      </c>
      <c r="M155" s="12"/>
      <c r="N155" s="12">
        <v>200000</v>
      </c>
      <c r="O155" s="12"/>
      <c r="P155" s="12">
        <v>0</v>
      </c>
      <c r="Q155" s="12"/>
      <c r="R155" s="6">
        <v>35000</v>
      </c>
      <c r="S155" s="12"/>
      <c r="T155" s="12">
        <v>0</v>
      </c>
      <c r="U155" s="12"/>
      <c r="V155" s="12">
        <v>0</v>
      </c>
      <c r="W155" s="12"/>
      <c r="X155" s="12">
        <v>22604</v>
      </c>
      <c r="Y155" s="12"/>
      <c r="Z155" s="12">
        <v>0</v>
      </c>
      <c r="AA155" s="12"/>
      <c r="AB155" s="12">
        <v>7949</v>
      </c>
      <c r="AC155" s="12"/>
      <c r="AD155" s="12">
        <v>0</v>
      </c>
      <c r="AE155" s="12"/>
      <c r="AF155" s="12"/>
      <c r="AG155" s="12"/>
      <c r="AH155" s="12">
        <v>0</v>
      </c>
      <c r="AI155"/>
      <c r="AJ155" s="12">
        <v>0</v>
      </c>
      <c r="AK155"/>
      <c r="AL155" s="12">
        <v>6591.41</v>
      </c>
      <c r="AM155"/>
      <c r="AN155" s="12">
        <v>0</v>
      </c>
      <c r="AO155" s="12"/>
      <c r="AP155" s="12">
        <v>0</v>
      </c>
      <c r="AQ155" s="12"/>
      <c r="AR155" s="12">
        <v>0</v>
      </c>
      <c r="AS155" s="12"/>
      <c r="AT155" s="12">
        <v>0</v>
      </c>
      <c r="AU155" s="12"/>
      <c r="AV155" s="12">
        <v>19123.98</v>
      </c>
      <c r="AW155" s="12"/>
      <c r="AX155" s="12">
        <v>0</v>
      </c>
      <c r="AY155" s="12"/>
      <c r="AZ155" s="12">
        <v>0</v>
      </c>
      <c r="BA155" s="12"/>
      <c r="BB155" s="12">
        <v>0</v>
      </c>
      <c r="BC155" s="12"/>
      <c r="BD155" s="12">
        <v>0</v>
      </c>
      <c r="BE155" s="12"/>
      <c r="BF155" s="12">
        <v>0</v>
      </c>
      <c r="BG155" s="12"/>
      <c r="BH155" s="12">
        <v>0</v>
      </c>
      <c r="BI155" s="12"/>
      <c r="BJ155" s="12">
        <v>0</v>
      </c>
      <c r="BK155" s="12"/>
      <c r="BL155" s="80">
        <f t="shared" ref="BL155:BL160" si="27">SUM(T155:BK155)</f>
        <v>56268.39</v>
      </c>
      <c r="BM155" s="12"/>
      <c r="BN155" s="12">
        <v>2144</v>
      </c>
      <c r="BO155" s="12"/>
      <c r="BP155" s="6">
        <f t="shared" ref="BP155:BP160" si="28">IF(+R155-BL155+BN155&gt;0,R155-BL155+BN155,0)</f>
        <v>0</v>
      </c>
      <c r="BQ155" s="12"/>
      <c r="BR155" s="6">
        <f t="shared" ref="BR155:BR160" si="29">+BL155+BP155</f>
        <v>56268.39</v>
      </c>
      <c r="BS155" s="12"/>
      <c r="BT155" s="6">
        <f t="shared" ref="BT155:BT160" si="30">+R155-BR155</f>
        <v>-21268.39</v>
      </c>
      <c r="BU155" s="12"/>
    </row>
    <row r="156" spans="1:73" s="11" customFormat="1">
      <c r="A156" s="17"/>
      <c r="B156" s="11" t="s">
        <v>34</v>
      </c>
      <c r="J156" s="160"/>
      <c r="L156" s="146" t="s">
        <v>203</v>
      </c>
      <c r="M156" s="12"/>
      <c r="N156" s="12">
        <v>0</v>
      </c>
      <c r="O156" s="12"/>
      <c r="P156" s="12">
        <v>50000</v>
      </c>
      <c r="Q156" s="12"/>
      <c r="R156" s="6">
        <v>45000</v>
      </c>
      <c r="S156" s="12"/>
      <c r="T156" s="12">
        <v>0</v>
      </c>
      <c r="U156" s="12"/>
      <c r="V156" s="12">
        <v>1236</v>
      </c>
      <c r="W156" s="12"/>
      <c r="X156" s="12">
        <v>9770</v>
      </c>
      <c r="Y156" s="12"/>
      <c r="Z156" s="12">
        <v>5706</v>
      </c>
      <c r="AA156" s="12"/>
      <c r="AB156" s="12">
        <v>9652</v>
      </c>
      <c r="AC156" s="12"/>
      <c r="AD156" s="12">
        <v>3504</v>
      </c>
      <c r="AE156" s="12"/>
      <c r="AF156" s="12">
        <v>5185.43</v>
      </c>
      <c r="AG156" s="12"/>
      <c r="AH156" s="12">
        <v>3598.69</v>
      </c>
      <c r="AI156"/>
      <c r="AJ156" s="12">
        <v>3892.71</v>
      </c>
      <c r="AK156"/>
      <c r="AL156" s="12">
        <v>6342.74</v>
      </c>
      <c r="AM156"/>
      <c r="AN156" s="12">
        <v>1599.42</v>
      </c>
      <c r="AO156" s="12"/>
      <c r="AP156" s="12">
        <v>3506.18</v>
      </c>
      <c r="AQ156" s="12"/>
      <c r="AR156" s="12">
        <v>5695.65</v>
      </c>
      <c r="AS156" s="12"/>
      <c r="AT156" s="12">
        <f>1559.48+7479.23</f>
        <v>9038.7099999999991</v>
      </c>
      <c r="AU156" s="12"/>
      <c r="AV156" s="12">
        <v>3164.35</v>
      </c>
      <c r="AW156" s="12"/>
      <c r="AX156" s="12">
        <v>3884.55</v>
      </c>
      <c r="AY156" s="12"/>
      <c r="AZ156" s="12">
        <v>1293.25</v>
      </c>
      <c r="BA156" s="12"/>
      <c r="BB156" s="12">
        <v>0</v>
      </c>
      <c r="BC156" s="12"/>
      <c r="BD156" s="12">
        <v>0</v>
      </c>
      <c r="BE156" s="12"/>
      <c r="BF156" s="12">
        <v>0</v>
      </c>
      <c r="BG156" s="12"/>
      <c r="BH156" s="12">
        <v>0</v>
      </c>
      <c r="BI156" s="12"/>
      <c r="BJ156" s="12">
        <v>0</v>
      </c>
      <c r="BK156" s="12"/>
      <c r="BL156" s="80">
        <f t="shared" si="27"/>
        <v>77069.680000000008</v>
      </c>
      <c r="BM156" s="12"/>
      <c r="BN156" s="12">
        <v>6683</v>
      </c>
      <c r="BO156" s="12"/>
      <c r="BP156" s="6">
        <f t="shared" si="28"/>
        <v>0</v>
      </c>
      <c r="BQ156" s="12"/>
      <c r="BR156" s="6">
        <f t="shared" si="29"/>
        <v>77069.680000000008</v>
      </c>
      <c r="BS156" s="12"/>
      <c r="BT156" s="6">
        <f t="shared" si="30"/>
        <v>-32069.680000000008</v>
      </c>
      <c r="BU156" s="12"/>
    </row>
    <row r="157" spans="1:73" s="11" customFormat="1">
      <c r="A157" s="17"/>
      <c r="B157" s="11" t="s">
        <v>321</v>
      </c>
      <c r="J157" s="160"/>
      <c r="L157" s="146" t="s">
        <v>203</v>
      </c>
      <c r="M157" s="12"/>
      <c r="N157" s="12">
        <v>0</v>
      </c>
      <c r="O157" s="12"/>
      <c r="P157" s="12">
        <v>24235</v>
      </c>
      <c r="Q157" s="12"/>
      <c r="R157" s="6">
        <v>0</v>
      </c>
      <c r="S157" s="12"/>
      <c r="T157" s="12">
        <v>0</v>
      </c>
      <c r="U157" s="12"/>
      <c r="V157" s="12">
        <v>0</v>
      </c>
      <c r="W157" s="12"/>
      <c r="X157" s="12">
        <v>0</v>
      </c>
      <c r="Y157" s="12"/>
      <c r="Z157" s="12">
        <v>0</v>
      </c>
      <c r="AA157" s="12"/>
      <c r="AB157" s="12">
        <v>0</v>
      </c>
      <c r="AC157" s="12"/>
      <c r="AD157" s="12">
        <v>0</v>
      </c>
      <c r="AE157" s="12"/>
      <c r="AF157" s="12">
        <v>0</v>
      </c>
      <c r="AG157" s="12"/>
      <c r="AH157" s="12">
        <v>0</v>
      </c>
      <c r="AI157"/>
      <c r="AJ157" s="12">
        <v>0</v>
      </c>
      <c r="AK157"/>
      <c r="AL157" s="12">
        <v>0</v>
      </c>
      <c r="AM157"/>
      <c r="AN157" s="12">
        <v>37759.78</v>
      </c>
      <c r="AO157" s="12"/>
      <c r="AP157" s="12">
        <v>42194.99</v>
      </c>
      <c r="AQ157" s="12"/>
      <c r="AR157" s="12">
        <v>35999.89</v>
      </c>
      <c r="AS157" s="12"/>
      <c r="AT157" s="12">
        <v>35401.089999999997</v>
      </c>
      <c r="AU157" s="12"/>
      <c r="AV157" s="12">
        <v>38258.9</v>
      </c>
      <c r="AW157" s="12"/>
      <c r="AX157" s="12">
        <v>64824.959999999999</v>
      </c>
      <c r="AY157" s="12"/>
      <c r="AZ157" s="12">
        <v>99822</v>
      </c>
      <c r="BA157" s="12"/>
      <c r="BB157" s="12">
        <v>0</v>
      </c>
      <c r="BC157" s="12"/>
      <c r="BD157" s="12">
        <v>0</v>
      </c>
      <c r="BE157" s="12"/>
      <c r="BF157" s="12">
        <v>0</v>
      </c>
      <c r="BG157" s="12"/>
      <c r="BH157" s="12">
        <v>0</v>
      </c>
      <c r="BI157" s="12"/>
      <c r="BJ157" s="12">
        <v>0</v>
      </c>
      <c r="BK157" s="12"/>
      <c r="BL157" s="80">
        <f t="shared" si="27"/>
        <v>354261.61</v>
      </c>
      <c r="BM157" s="12"/>
      <c r="BN157" s="12">
        <v>79955</v>
      </c>
      <c r="BO157" s="12"/>
      <c r="BP157" s="6">
        <f t="shared" si="28"/>
        <v>0</v>
      </c>
      <c r="BQ157" s="12"/>
      <c r="BR157" s="6">
        <f t="shared" si="29"/>
        <v>354261.61</v>
      </c>
      <c r="BS157" s="12"/>
      <c r="BT157" s="6">
        <f t="shared" si="30"/>
        <v>-354261.61</v>
      </c>
      <c r="BU157" s="12"/>
    </row>
    <row r="158" spans="1:73" s="11" customFormat="1">
      <c r="A158" s="17"/>
      <c r="B158" s="11" t="s">
        <v>121</v>
      </c>
      <c r="J158" s="160"/>
      <c r="L158" s="146" t="s">
        <v>203</v>
      </c>
      <c r="M158" s="12"/>
      <c r="N158" s="12">
        <v>400000</v>
      </c>
      <c r="O158" s="12"/>
      <c r="P158" s="12">
        <f>49065-N158-6000</f>
        <v>-356935</v>
      </c>
      <c r="Q158" s="12"/>
      <c r="R158" s="6">
        <f>129593+5000</f>
        <v>134593</v>
      </c>
      <c r="S158" s="12"/>
      <c r="T158" s="12">
        <v>0</v>
      </c>
      <c r="U158" s="12"/>
      <c r="V158" s="12">
        <v>0</v>
      </c>
      <c r="W158" s="12"/>
      <c r="X158" s="12">
        <v>46735</v>
      </c>
      <c r="Y158" s="12"/>
      <c r="Z158" s="12">
        <v>21114</v>
      </c>
      <c r="AA158" s="12"/>
      <c r="AB158" s="12">
        <v>1899</v>
      </c>
      <c r="AC158" s="12"/>
      <c r="AD158" s="12">
        <v>8288</v>
      </c>
      <c r="AE158" s="12"/>
      <c r="AF158" s="12">
        <f>3330+7426.97+30387.78+738+100+50+20+10+11200+31000</f>
        <v>84262.75</v>
      </c>
      <c r="AG158" s="12"/>
      <c r="AH158" s="12">
        <f>10000+838.34</f>
        <v>10838.34</v>
      </c>
      <c r="AI158"/>
      <c r="AJ158" s="12">
        <v>0</v>
      </c>
      <c r="AK158"/>
      <c r="AL158" s="12">
        <v>20657.14</v>
      </c>
      <c r="AM158"/>
      <c r="AN158" s="12">
        <f>46225.52-37759.78</f>
        <v>8465.739999999998</v>
      </c>
      <c r="AO158" s="12"/>
      <c r="AP158" s="12">
        <f>1415.06+712.75</f>
        <v>2127.81</v>
      </c>
      <c r="AQ158" s="12"/>
      <c r="AR158" s="12">
        <f>2610+1500+540+200</f>
        <v>4850</v>
      </c>
      <c r="AS158" s="12"/>
      <c r="AT158" s="12">
        <f>1890.2+1000+2500+400.16+838.34</f>
        <v>6628.7</v>
      </c>
      <c r="AU158" s="12"/>
      <c r="AV158" s="12">
        <v>822.91</v>
      </c>
      <c r="AW158" s="12"/>
      <c r="AX158" s="12">
        <f>1450+1015+420+300+562.5+209+1085.4</f>
        <v>5041.8999999999996</v>
      </c>
      <c r="AY158" s="12"/>
      <c r="AZ158" s="12">
        <f>17+17+540+1</f>
        <v>575</v>
      </c>
      <c r="BA158" s="12"/>
      <c r="BB158" s="12">
        <v>0</v>
      </c>
      <c r="BC158" s="12"/>
      <c r="BD158" s="12">
        <v>0</v>
      </c>
      <c r="BE158" s="12"/>
      <c r="BF158" s="12">
        <v>0</v>
      </c>
      <c r="BG158" s="12"/>
      <c r="BH158" s="12">
        <v>0</v>
      </c>
      <c r="BI158" s="12"/>
      <c r="BJ158" s="12">
        <v>0</v>
      </c>
      <c r="BK158" s="12"/>
      <c r="BL158" s="80">
        <f t="shared" si="27"/>
        <v>222306.28999999998</v>
      </c>
      <c r="BM158" s="12"/>
      <c r="BN158" s="12">
        <v>106842</v>
      </c>
      <c r="BO158" s="12"/>
      <c r="BP158" s="6">
        <f t="shared" si="28"/>
        <v>19128.710000000021</v>
      </c>
      <c r="BQ158" s="12"/>
      <c r="BR158" s="6">
        <f t="shared" si="29"/>
        <v>241435</v>
      </c>
      <c r="BS158" s="12"/>
      <c r="BT158" s="6">
        <f t="shared" si="30"/>
        <v>-106842</v>
      </c>
      <c r="BU158" s="12"/>
    </row>
    <row r="159" spans="1:73" s="11" customFormat="1">
      <c r="A159" s="17"/>
      <c r="B159" s="11" t="s">
        <v>439</v>
      </c>
      <c r="J159" s="160"/>
      <c r="L159" s="146"/>
      <c r="M159" s="12"/>
      <c r="N159" s="12"/>
      <c r="O159" s="12"/>
      <c r="P159" s="12"/>
      <c r="Q159" s="12"/>
      <c r="R159" s="6">
        <v>0</v>
      </c>
      <c r="S159" s="12"/>
      <c r="T159" s="12"/>
      <c r="U159" s="12"/>
      <c r="V159" s="12"/>
      <c r="W159" s="12"/>
      <c r="X159" s="12"/>
      <c r="Y159" s="12"/>
      <c r="Z159" s="12"/>
      <c r="AA159" s="12"/>
      <c r="AB159" s="12"/>
      <c r="AC159" s="12"/>
      <c r="AD159" s="12"/>
      <c r="AE159" s="12"/>
      <c r="AF159" s="12"/>
      <c r="AG159" s="12"/>
      <c r="AH159" s="12"/>
      <c r="AI159"/>
      <c r="AJ159" s="12"/>
      <c r="AK159"/>
      <c r="AL159" s="12"/>
      <c r="AM159"/>
      <c r="AN159" s="12"/>
      <c r="AO159" s="12"/>
      <c r="AP159" s="12">
        <v>83333.33</v>
      </c>
      <c r="AQ159" s="12"/>
      <c r="AR159" s="12">
        <f>82333.33+25346.23</f>
        <v>107679.56</v>
      </c>
      <c r="AS159" s="12"/>
      <c r="AT159" s="12"/>
      <c r="AU159" s="12"/>
      <c r="AV159" s="12"/>
      <c r="AW159" s="12"/>
      <c r="AX159" s="12"/>
      <c r="AY159" s="12"/>
      <c r="AZ159" s="12"/>
      <c r="BA159" s="12"/>
      <c r="BB159" s="12"/>
      <c r="BC159" s="12"/>
      <c r="BD159" s="12"/>
      <c r="BE159" s="12"/>
      <c r="BF159" s="12"/>
      <c r="BG159" s="12"/>
      <c r="BH159" s="12"/>
      <c r="BI159" s="12"/>
      <c r="BJ159" s="12"/>
      <c r="BK159" s="12"/>
      <c r="BL159" s="80">
        <f t="shared" si="27"/>
        <v>191012.89</v>
      </c>
      <c r="BM159" s="12"/>
      <c r="BN159" s="12">
        <v>0</v>
      </c>
      <c r="BO159" s="12"/>
      <c r="BP159" s="6">
        <f t="shared" si="28"/>
        <v>0</v>
      </c>
      <c r="BQ159" s="12"/>
      <c r="BR159" s="6">
        <f t="shared" si="29"/>
        <v>191012.89</v>
      </c>
      <c r="BS159" s="12"/>
      <c r="BT159" s="6">
        <f t="shared" si="30"/>
        <v>-191012.89</v>
      </c>
      <c r="BU159" s="12"/>
    </row>
    <row r="160" spans="1:73" s="11" customFormat="1">
      <c r="A160" s="17"/>
      <c r="B160" s="11" t="s">
        <v>283</v>
      </c>
      <c r="J160" s="160"/>
      <c r="L160" s="146"/>
      <c r="M160" s="12"/>
      <c r="N160" s="12"/>
      <c r="O160" s="12"/>
      <c r="P160" s="12"/>
      <c r="Q160" s="12"/>
      <c r="R160" s="6">
        <v>0</v>
      </c>
      <c r="S160" s="12"/>
      <c r="T160" s="12"/>
      <c r="U160" s="12"/>
      <c r="V160" s="12"/>
      <c r="W160" s="12"/>
      <c r="X160" s="12"/>
      <c r="Y160" s="12"/>
      <c r="Z160" s="12"/>
      <c r="AA160" s="12"/>
      <c r="AB160" s="12"/>
      <c r="AC160" s="12"/>
      <c r="AD160" s="12"/>
      <c r="AE160" s="12"/>
      <c r="AF160" s="12">
        <f>199867.23-30387.78-11200-31000</f>
        <v>127279.45000000001</v>
      </c>
      <c r="AG160" s="12"/>
      <c r="AH160" s="12">
        <f>1916.6+566.91+3047.17+16608.78+17351.65+10439.68</f>
        <v>49930.79</v>
      </c>
      <c r="AI160"/>
      <c r="AJ160" s="12">
        <v>29848.78</v>
      </c>
      <c r="AK160"/>
      <c r="AL160" s="12"/>
      <c r="AM160"/>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80">
        <f t="shared" si="27"/>
        <v>207059.02000000002</v>
      </c>
      <c r="BM160" s="12"/>
      <c r="BN160" s="12">
        <v>207060</v>
      </c>
      <c r="BO160" s="12"/>
      <c r="BP160" s="6">
        <f t="shared" si="28"/>
        <v>0.97999999998137355</v>
      </c>
      <c r="BQ160" s="12"/>
      <c r="BR160" s="6">
        <f t="shared" si="29"/>
        <v>207060</v>
      </c>
      <c r="BS160" s="12"/>
      <c r="BT160" s="6">
        <f t="shared" si="30"/>
        <v>-207060</v>
      </c>
      <c r="BU160" s="12"/>
    </row>
    <row r="161" spans="1:122" s="21" customFormat="1">
      <c r="A161" s="56"/>
      <c r="B161" s="31" t="s">
        <v>40</v>
      </c>
      <c r="J161" s="8"/>
      <c r="L161" s="143"/>
      <c r="M161" s="9"/>
      <c r="N161" s="102">
        <f>SUM(N155:N158)</f>
        <v>600000</v>
      </c>
      <c r="O161" s="9"/>
      <c r="P161" s="102">
        <f>SUM(P155:P158)</f>
        <v>-282700</v>
      </c>
      <c r="Q161" s="9"/>
      <c r="R161" s="102">
        <f t="shared" ref="R161:AD161" si="31">SUM(R155:R160)</f>
        <v>214593</v>
      </c>
      <c r="S161" s="102">
        <f t="shared" si="31"/>
        <v>0</v>
      </c>
      <c r="T161" s="102">
        <f t="shared" si="31"/>
        <v>0</v>
      </c>
      <c r="U161" s="102">
        <f t="shared" si="31"/>
        <v>0</v>
      </c>
      <c r="V161" s="102">
        <f t="shared" si="31"/>
        <v>1236</v>
      </c>
      <c r="W161" s="102">
        <f t="shared" si="31"/>
        <v>0</v>
      </c>
      <c r="X161" s="102">
        <f t="shared" si="31"/>
        <v>79109</v>
      </c>
      <c r="Y161" s="102">
        <f t="shared" si="31"/>
        <v>0</v>
      </c>
      <c r="Z161" s="102">
        <f t="shared" si="31"/>
        <v>26820</v>
      </c>
      <c r="AA161" s="102">
        <f t="shared" si="31"/>
        <v>0</v>
      </c>
      <c r="AB161" s="102">
        <f t="shared" si="31"/>
        <v>19500</v>
      </c>
      <c r="AC161" s="102">
        <f t="shared" si="31"/>
        <v>0</v>
      </c>
      <c r="AD161" s="102">
        <f t="shared" si="31"/>
        <v>11792</v>
      </c>
      <c r="AE161" s="102"/>
      <c r="AF161" s="102">
        <f>SUM(AF155:AF160)</f>
        <v>216727.63</v>
      </c>
      <c r="AG161" s="102"/>
      <c r="AH161" s="102">
        <f t="shared" ref="AH161:BL161" si="32">SUM(AH155:AH160)</f>
        <v>64367.82</v>
      </c>
      <c r="AI161"/>
      <c r="AJ161" s="102">
        <f t="shared" si="32"/>
        <v>33741.49</v>
      </c>
      <c r="AK161"/>
      <c r="AL161" s="102">
        <f t="shared" si="32"/>
        <v>33591.29</v>
      </c>
      <c r="AM161"/>
      <c r="AN161" s="102">
        <f t="shared" si="32"/>
        <v>47824.939999999995</v>
      </c>
      <c r="AO161" s="102">
        <f t="shared" si="32"/>
        <v>0</v>
      </c>
      <c r="AP161" s="102">
        <f t="shared" si="32"/>
        <v>131162.31</v>
      </c>
      <c r="AQ161" s="102">
        <f t="shared" si="32"/>
        <v>0</v>
      </c>
      <c r="AR161" s="102">
        <f t="shared" si="32"/>
        <v>154225.1</v>
      </c>
      <c r="AS161" s="102">
        <f t="shared" si="32"/>
        <v>0</v>
      </c>
      <c r="AT161" s="102">
        <f t="shared" si="32"/>
        <v>51068.499999999993</v>
      </c>
      <c r="AU161" s="102">
        <f t="shared" si="32"/>
        <v>0</v>
      </c>
      <c r="AV161" s="102">
        <f t="shared" si="32"/>
        <v>61370.14</v>
      </c>
      <c r="AW161" s="102">
        <f t="shared" si="32"/>
        <v>0</v>
      </c>
      <c r="AX161" s="102">
        <f t="shared" si="32"/>
        <v>73751.409999999989</v>
      </c>
      <c r="AY161" s="102">
        <f t="shared" si="32"/>
        <v>0</v>
      </c>
      <c r="AZ161" s="102">
        <f t="shared" si="32"/>
        <v>101690.25</v>
      </c>
      <c r="BA161" s="102">
        <f t="shared" si="32"/>
        <v>0</v>
      </c>
      <c r="BB161" s="102">
        <f t="shared" si="32"/>
        <v>0</v>
      </c>
      <c r="BC161" s="102">
        <f t="shared" si="32"/>
        <v>0</v>
      </c>
      <c r="BD161" s="102">
        <f t="shared" si="32"/>
        <v>0</v>
      </c>
      <c r="BE161" s="102">
        <f t="shared" si="32"/>
        <v>0</v>
      </c>
      <c r="BF161" s="102">
        <f t="shared" si="32"/>
        <v>0</v>
      </c>
      <c r="BG161" s="102">
        <f t="shared" si="32"/>
        <v>0</v>
      </c>
      <c r="BH161" s="102">
        <f t="shared" si="32"/>
        <v>0</v>
      </c>
      <c r="BI161" s="102">
        <f t="shared" si="32"/>
        <v>0</v>
      </c>
      <c r="BJ161" s="102">
        <f t="shared" si="32"/>
        <v>0</v>
      </c>
      <c r="BK161" s="102">
        <f t="shared" si="32"/>
        <v>0</v>
      </c>
      <c r="BL161" s="102">
        <f t="shared" si="32"/>
        <v>1107977.8799999999</v>
      </c>
      <c r="BM161" s="102">
        <f t="shared" ref="BM161:BT161" si="33">SUM(BM155:BM160)</f>
        <v>0</v>
      </c>
      <c r="BN161" s="102">
        <f t="shared" si="33"/>
        <v>402684</v>
      </c>
      <c r="BO161" s="102">
        <f t="shared" si="33"/>
        <v>0</v>
      </c>
      <c r="BP161" s="102">
        <f t="shared" si="33"/>
        <v>19129.690000000002</v>
      </c>
      <c r="BQ161" s="102">
        <f t="shared" si="33"/>
        <v>0</v>
      </c>
      <c r="BR161" s="102">
        <f t="shared" si="33"/>
        <v>1127107.5699999998</v>
      </c>
      <c r="BS161" s="102">
        <f t="shared" si="33"/>
        <v>0</v>
      </c>
      <c r="BT161" s="102">
        <f t="shared" si="33"/>
        <v>-912514.57000000007</v>
      </c>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s="21" customFormat="1">
      <c r="A162" s="56"/>
      <c r="B162" s="31"/>
      <c r="J162" s="8"/>
      <c r="L162" s="143"/>
      <c r="M162" s="9"/>
      <c r="N162" s="10"/>
      <c r="O162" s="9"/>
      <c r="P162" s="10"/>
      <c r="Q162" s="9"/>
      <c r="R162" s="10"/>
      <c r="S162" s="9"/>
      <c r="T162" s="10"/>
      <c r="U162" s="9"/>
      <c r="V162" s="10"/>
      <c r="W162" s="9"/>
      <c r="X162" s="10"/>
      <c r="Y162" s="9"/>
      <c r="Z162" s="10"/>
      <c r="AA162" s="9"/>
      <c r="AB162" s="10"/>
      <c r="AC162" s="9"/>
      <c r="AD162" s="10"/>
      <c r="AE162" s="9"/>
      <c r="AF162" s="10"/>
      <c r="AG162" s="9"/>
      <c r="AH162" s="10"/>
      <c r="AI162"/>
      <c r="AJ162" s="10"/>
      <c r="AK162"/>
      <c r="AL162" s="10"/>
      <c r="AM162"/>
      <c r="AN162" s="10"/>
      <c r="AO162" s="9"/>
      <c r="AP162" s="10"/>
      <c r="AQ162" s="9"/>
      <c r="AR162" s="10"/>
      <c r="AS162" s="9"/>
      <c r="AT162" s="10"/>
      <c r="AU162" s="10"/>
      <c r="AV162" s="10"/>
      <c r="AW162" s="10"/>
      <c r="AX162" s="10"/>
      <c r="AY162" s="10"/>
      <c r="AZ162" s="10"/>
      <c r="BA162" s="10"/>
      <c r="BB162" s="10"/>
      <c r="BC162" s="10"/>
      <c r="BD162" s="10"/>
      <c r="BE162" s="10"/>
      <c r="BF162" s="10"/>
      <c r="BG162" s="10"/>
      <c r="BH162" s="10"/>
      <c r="BI162" s="10"/>
      <c r="BJ162" s="10"/>
      <c r="BK162" s="9"/>
      <c r="BL162" s="10"/>
      <c r="BM162" s="9"/>
      <c r="BN162" s="10"/>
      <c r="BO162" s="9"/>
      <c r="BP162" s="10"/>
      <c r="BQ162" s="9"/>
      <c r="BR162" s="10"/>
      <c r="BS162" s="9"/>
      <c r="BT162" s="10"/>
      <c r="BU162" s="9"/>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c r="A163" s="56" t="s">
        <v>35</v>
      </c>
      <c r="B163" s="11"/>
      <c r="C163"/>
      <c r="D163"/>
      <c r="E163"/>
      <c r="F163"/>
      <c r="G163"/>
      <c r="H163"/>
      <c r="I163"/>
      <c r="J163" s="49"/>
      <c r="K163"/>
      <c r="L163" s="134"/>
      <c r="M163" s="6"/>
      <c r="O163" s="6"/>
      <c r="Q163" s="6"/>
      <c r="S163" s="6"/>
      <c r="T163" s="6"/>
      <c r="U163" s="12"/>
      <c r="V163" s="6"/>
      <c r="W163" s="12"/>
      <c r="X163" s="6"/>
      <c r="Y163" s="12"/>
      <c r="Z163" s="6"/>
      <c r="AA163" s="12"/>
      <c r="AB163" s="6"/>
      <c r="AC163" s="12"/>
      <c r="AD163" s="6"/>
      <c r="AE163" s="12"/>
      <c r="AG163" s="12"/>
      <c r="AI163"/>
      <c r="AO163" s="12"/>
      <c r="AQ163" s="12"/>
      <c r="AS163" s="12"/>
      <c r="BJ163" s="6"/>
      <c r="BK163" s="6"/>
      <c r="BM163" s="6"/>
      <c r="BN163" s="6"/>
      <c r="BO163" s="6"/>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37</v>
      </c>
      <c r="J164" s="160"/>
      <c r="L164" s="146" t="s">
        <v>203</v>
      </c>
      <c r="M164" s="12"/>
      <c r="N164" s="12">
        <v>0</v>
      </c>
      <c r="O164" s="12"/>
      <c r="P164" s="12">
        <f>300000-5511</f>
        <v>294489</v>
      </c>
      <c r="Q164" s="12"/>
      <c r="R164" s="6">
        <v>206751</v>
      </c>
      <c r="S164" s="12"/>
      <c r="T164" s="12">
        <v>0</v>
      </c>
      <c r="U164" s="12"/>
      <c r="V164" s="12">
        <v>0</v>
      </c>
      <c r="W164" s="12"/>
      <c r="X164" s="12">
        <v>0</v>
      </c>
      <c r="Y164" s="12"/>
      <c r="Z164" s="12">
        <v>0</v>
      </c>
      <c r="AA164" s="12"/>
      <c r="AB164" s="12">
        <v>0</v>
      </c>
      <c r="AC164" s="12"/>
      <c r="AD164" s="12">
        <v>605</v>
      </c>
      <c r="AE164" s="12"/>
      <c r="AF164" s="12">
        <v>0</v>
      </c>
      <c r="AG164" s="12"/>
      <c r="AH164" s="12">
        <v>0</v>
      </c>
      <c r="AI164"/>
      <c r="AJ164" s="12">
        <v>0</v>
      </c>
      <c r="AK164"/>
      <c r="AL164" s="12">
        <v>0</v>
      </c>
      <c r="AM164"/>
      <c r="AN164" s="12">
        <v>0</v>
      </c>
      <c r="AO164" s="12"/>
      <c r="AP164" s="12">
        <v>0</v>
      </c>
      <c r="AQ164" s="12"/>
      <c r="AR164" s="12">
        <v>0</v>
      </c>
      <c r="AS164" s="12"/>
      <c r="AT164" s="12">
        <v>0</v>
      </c>
      <c r="AU164" s="12"/>
      <c r="AV164" s="12">
        <v>0</v>
      </c>
      <c r="AW164" s="12"/>
      <c r="AX164" s="12">
        <v>0</v>
      </c>
      <c r="AY164" s="12"/>
      <c r="AZ164" s="12">
        <v>0</v>
      </c>
      <c r="BA164" s="12"/>
      <c r="BB164" s="12">
        <v>0</v>
      </c>
      <c r="BC164" s="12"/>
      <c r="BD164" s="12">
        <v>0</v>
      </c>
      <c r="BE164" s="12"/>
      <c r="BF164" s="12">
        <v>0</v>
      </c>
      <c r="BG164" s="12"/>
      <c r="BH164" s="12">
        <v>0</v>
      </c>
      <c r="BI164" s="12"/>
      <c r="BJ164" s="12">
        <v>0</v>
      </c>
      <c r="BK164" s="12"/>
      <c r="BL164" s="12">
        <f>SUM(T164:BK164)</f>
        <v>605</v>
      </c>
      <c r="BM164" s="12"/>
      <c r="BN164" s="12">
        <v>0</v>
      </c>
      <c r="BO164" s="12"/>
      <c r="BP164" s="6">
        <f>IF(+R164-BL164+BN164&gt;0,R164-BL164+BN164,0)</f>
        <v>206146</v>
      </c>
      <c r="BQ164" s="12"/>
      <c r="BR164" s="6">
        <f>+BL164+BP164</f>
        <v>206751</v>
      </c>
      <c r="BS164" s="12"/>
      <c r="BT164" s="6">
        <f>+R164-BR164</f>
        <v>0</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448</v>
      </c>
      <c r="J165" s="160"/>
      <c r="L165" s="146"/>
      <c r="M165" s="12"/>
      <c r="N165" s="12"/>
      <c r="O165" s="12"/>
      <c r="P165" s="12"/>
      <c r="Q165" s="12"/>
      <c r="R165" s="6"/>
      <c r="S165" s="12"/>
      <c r="T165" s="12"/>
      <c r="U165" s="12"/>
      <c r="V165" s="12"/>
      <c r="W165" s="12"/>
      <c r="X165" s="12"/>
      <c r="Y165" s="12"/>
      <c r="Z165" s="12"/>
      <c r="AA165" s="12"/>
      <c r="AB165" s="12"/>
      <c r="AC165" s="12"/>
      <c r="AD165" s="12"/>
      <c r="AE165" s="12"/>
      <c r="AF165" s="12"/>
      <c r="AG165" s="12"/>
      <c r="AH165" s="12"/>
      <c r="AI165"/>
      <c r="AJ165" s="12"/>
      <c r="AK165"/>
      <c r="AL165" s="12"/>
      <c r="AM165"/>
      <c r="AN165" s="12"/>
      <c r="AO165" s="12"/>
      <c r="AP165" s="12"/>
      <c r="AQ165" s="12"/>
      <c r="AR165" s="12">
        <v>252208.46</v>
      </c>
      <c r="AS165" s="12"/>
      <c r="AT165" s="12">
        <v>49463.67</v>
      </c>
      <c r="AU165" s="12"/>
      <c r="AV165" s="12"/>
      <c r="AW165" s="12"/>
      <c r="AX165" s="12"/>
      <c r="AY165" s="12"/>
      <c r="AZ165" s="12"/>
      <c r="BA165" s="12"/>
      <c r="BB165" s="12"/>
      <c r="BC165" s="12"/>
      <c r="BD165" s="12"/>
      <c r="BE165" s="12"/>
      <c r="BF165" s="12"/>
      <c r="BG165" s="12"/>
      <c r="BH165" s="12"/>
      <c r="BI165" s="12"/>
      <c r="BJ165" s="12"/>
      <c r="BK165" s="12"/>
      <c r="BL165" s="12">
        <f>SUM(T165:BK165)</f>
        <v>301672.13</v>
      </c>
      <c r="BM165" s="12"/>
      <c r="BN165" s="12">
        <v>0</v>
      </c>
      <c r="BO165" s="12"/>
      <c r="BP165" s="6">
        <f>IF(+R165-BL165+BN165&gt;0,R165-BL165+BN165,0)</f>
        <v>0</v>
      </c>
      <c r="BQ165" s="12"/>
      <c r="BR165" s="6">
        <f>+BL165+BP165</f>
        <v>301672.13</v>
      </c>
      <c r="BS165" s="12"/>
      <c r="BT165" s="6">
        <f>+R165-BR165</f>
        <v>-301672.13</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B166" s="11" t="s">
        <v>121</v>
      </c>
      <c r="J166" s="160"/>
      <c r="L166" s="146" t="s">
        <v>203</v>
      </c>
      <c r="M166" s="12"/>
      <c r="N166" s="12">
        <v>500000</v>
      </c>
      <c r="O166" s="12"/>
      <c r="P166" s="12">
        <v>-300000</v>
      </c>
      <c r="Q166" s="12"/>
      <c r="R166" s="6">
        <v>50000</v>
      </c>
      <c r="S166" s="12"/>
      <c r="T166" s="12">
        <v>0</v>
      </c>
      <c r="U166" s="12"/>
      <c r="V166" s="12">
        <v>0</v>
      </c>
      <c r="W166" s="12"/>
      <c r="X166" s="12">
        <v>0</v>
      </c>
      <c r="Y166" s="12"/>
      <c r="Z166" s="12">
        <v>10000</v>
      </c>
      <c r="AA166" s="12"/>
      <c r="AB166" s="12"/>
      <c r="AC166" s="12"/>
      <c r="AD166" s="12"/>
      <c r="AE166" s="12"/>
      <c r="AF166" s="12">
        <v>0</v>
      </c>
      <c r="AG166" s="12"/>
      <c r="AH166" s="12">
        <v>21422.91</v>
      </c>
      <c r="AI166"/>
      <c r="AJ166" s="12">
        <v>0</v>
      </c>
      <c r="AK166"/>
      <c r="AL166" s="12">
        <v>75</v>
      </c>
      <c r="AM166"/>
      <c r="AN166" s="12">
        <v>6749.05</v>
      </c>
      <c r="AO166" s="12"/>
      <c r="AP166" s="12">
        <v>4454.9799999999996</v>
      </c>
      <c r="AQ166" s="12"/>
      <c r="AR166" s="12">
        <v>0</v>
      </c>
      <c r="AS166" s="12"/>
      <c r="AT166" s="12">
        <v>0</v>
      </c>
      <c r="AU166" s="12"/>
      <c r="AV166" s="12">
        <v>0</v>
      </c>
      <c r="AW166" s="12"/>
      <c r="AX166" s="12">
        <v>0</v>
      </c>
      <c r="AY166" s="12"/>
      <c r="AZ166" s="12">
        <v>0</v>
      </c>
      <c r="BA166" s="12"/>
      <c r="BB166" s="12">
        <v>0</v>
      </c>
      <c r="BC166" s="12"/>
      <c r="BD166" s="12">
        <v>0</v>
      </c>
      <c r="BE166" s="12"/>
      <c r="BF166" s="12">
        <v>0</v>
      </c>
      <c r="BG166" s="12"/>
      <c r="BH166" s="12">
        <v>0</v>
      </c>
      <c r="BI166" s="12"/>
      <c r="BJ166" s="12">
        <v>0</v>
      </c>
      <c r="BK166" s="12"/>
      <c r="BL166" s="12">
        <f>SUM(T166:BK166)</f>
        <v>42701.94</v>
      </c>
      <c r="BM166" s="12"/>
      <c r="BN166" s="12">
        <v>0</v>
      </c>
      <c r="BO166" s="12"/>
      <c r="BP166" s="6">
        <f>IF(+R166-BL166+BN166&gt;0,R166-BL166+BN166,0)</f>
        <v>7298.0599999999977</v>
      </c>
      <c r="BQ166" s="12"/>
      <c r="BR166" s="6">
        <f>+BL166+BP166</f>
        <v>50000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11" customFormat="1">
      <c r="A167" s="17"/>
      <c r="J167" s="160"/>
      <c r="L167" s="146"/>
      <c r="M167" s="12"/>
      <c r="N167" s="12"/>
      <c r="O167" s="12"/>
      <c r="P167" s="12">
        <v>5511</v>
      </c>
      <c r="Q167" s="12"/>
      <c r="R167" s="6"/>
      <c r="S167" s="12"/>
      <c r="T167" s="12"/>
      <c r="U167" s="12"/>
      <c r="V167" s="12"/>
      <c r="W167" s="12"/>
      <c r="X167" s="12"/>
      <c r="Y167" s="12"/>
      <c r="Z167" s="12"/>
      <c r="AA167" s="12"/>
      <c r="AB167" s="12"/>
      <c r="AC167" s="12"/>
      <c r="AD167" s="12"/>
      <c r="AE167" s="12"/>
      <c r="AF167" s="12"/>
      <c r="AG167" s="12"/>
      <c r="AH167" s="12"/>
      <c r="AI167"/>
      <c r="AJ167" s="12"/>
      <c r="AK167"/>
      <c r="AL167" s="12"/>
      <c r="AM167"/>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f>SUM(T167:BK167)</f>
        <v>0</v>
      </c>
      <c r="BM167" s="12"/>
      <c r="BN167" s="12">
        <v>0</v>
      </c>
      <c r="BO167" s="12"/>
      <c r="BP167" s="6">
        <f>IF(+R167-BL167+BN167&gt;0,R167-BL167+BN167,0)</f>
        <v>0</v>
      </c>
      <c r="BQ167" s="12"/>
      <c r="BR167" s="6">
        <f>+BL167+BP167</f>
        <v>0</v>
      </c>
      <c r="BS167" s="12"/>
      <c r="BT167" s="6">
        <f>+R167-BR167</f>
        <v>0</v>
      </c>
      <c r="BU167" s="12"/>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6"/>
      <c r="B168" s="31" t="s">
        <v>41</v>
      </c>
      <c r="J168" s="8"/>
      <c r="L168" s="143"/>
      <c r="M168" s="9"/>
      <c r="N168" s="102">
        <f>SUM(N164:N167)</f>
        <v>500000</v>
      </c>
      <c r="O168" s="102">
        <f>SUM(O164:O167)</f>
        <v>0</v>
      </c>
      <c r="P168" s="102">
        <f>SUM(P164:P167)</f>
        <v>0</v>
      </c>
      <c r="Q168" s="102">
        <f>SUM(Q164:Q167)</f>
        <v>0</v>
      </c>
      <c r="R168" s="102">
        <f>SUM(R164:R167)</f>
        <v>256751</v>
      </c>
      <c r="S168" s="9"/>
      <c r="T168" s="102">
        <f>SUM(T164:T167)</f>
        <v>0</v>
      </c>
      <c r="U168" s="9"/>
      <c r="V168" s="102">
        <f>SUM(V164:V167)</f>
        <v>0</v>
      </c>
      <c r="W168" s="9"/>
      <c r="X168" s="102">
        <f>SUM(X164:X167)</f>
        <v>0</v>
      </c>
      <c r="Y168" s="9"/>
      <c r="Z168" s="102">
        <f>SUM(Z164:Z167)</f>
        <v>10000</v>
      </c>
      <c r="AA168" s="9"/>
      <c r="AB168" s="102">
        <f>SUM(AB164:AB167)</f>
        <v>0</v>
      </c>
      <c r="AC168" s="9"/>
      <c r="AD168" s="102">
        <f>SUM(AD164:AD167)</f>
        <v>605</v>
      </c>
      <c r="AE168" s="9"/>
      <c r="AF168" s="102">
        <f>SUM(AF164:AF167)</f>
        <v>0</v>
      </c>
      <c r="AG168" s="9"/>
      <c r="AH168" s="102">
        <f>SUM(AH164:AH167)</f>
        <v>21422.91</v>
      </c>
      <c r="AI168"/>
      <c r="AJ168" s="102">
        <f>SUM(AJ164:AJ167)</f>
        <v>0</v>
      </c>
      <c r="AK168"/>
      <c r="AL168" s="102">
        <f>SUM(AL164:AL167)</f>
        <v>75</v>
      </c>
      <c r="AM168"/>
      <c r="AN168" s="102">
        <f>SUM(AN164:AN167)</f>
        <v>6749.05</v>
      </c>
      <c r="AO168" s="9"/>
      <c r="AP168" s="102">
        <f>SUM(AP164:AP167)</f>
        <v>4454.9799999999996</v>
      </c>
      <c r="AQ168" s="9"/>
      <c r="AR168" s="102">
        <f>SUM(AR164:AR167)</f>
        <v>252208.46</v>
      </c>
      <c r="AS168" s="9"/>
      <c r="AT168" s="102">
        <f>SUM(AT164:AT167)</f>
        <v>49463.67</v>
      </c>
      <c r="AU168" s="10"/>
      <c r="AV168" s="102">
        <f>SUM(AV164:AV167)</f>
        <v>0</v>
      </c>
      <c r="AW168" s="10"/>
      <c r="AX168" s="102">
        <f>SUM(AX164:AX167)</f>
        <v>0</v>
      </c>
      <c r="AY168" s="10"/>
      <c r="AZ168" s="102">
        <f>SUM(AZ164:AZ167)</f>
        <v>0</v>
      </c>
      <c r="BA168" s="10"/>
      <c r="BB168" s="102">
        <f>SUM(BB164:BB167)</f>
        <v>0</v>
      </c>
      <c r="BC168" s="10"/>
      <c r="BD168" s="102">
        <f>SUM(BD164:BD167)</f>
        <v>0</v>
      </c>
      <c r="BE168" s="10"/>
      <c r="BF168" s="102">
        <f>SUM(BF164:BF167)</f>
        <v>0</v>
      </c>
      <c r="BG168" s="10"/>
      <c r="BH168" s="102">
        <f>SUM(BH164:BH167)</f>
        <v>0</v>
      </c>
      <c r="BI168" s="10"/>
      <c r="BJ168" s="102">
        <f>SUM(BJ164:BJ167)</f>
        <v>0</v>
      </c>
      <c r="BK168" s="9"/>
      <c r="BL168" s="102">
        <f>SUM(BL164:BL167)</f>
        <v>344979.07</v>
      </c>
      <c r="BM168" s="9"/>
      <c r="BN168" s="102">
        <f>SUM(BN164:BN167)</f>
        <v>0</v>
      </c>
      <c r="BO168" s="9"/>
      <c r="BP168" s="102">
        <f>SUM(BP164:BP167)</f>
        <v>213444.06</v>
      </c>
      <c r="BQ168" s="9"/>
      <c r="BR168" s="102">
        <f>SUM(BR164:BR167)</f>
        <v>558423.13</v>
      </c>
      <c r="BS168" s="9"/>
      <c r="BT168" s="102">
        <f>SUM(BT164:BT167)</f>
        <v>-301672.13</v>
      </c>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21" customFormat="1">
      <c r="A169" s="58"/>
      <c r="B169" s="31"/>
      <c r="J169" s="8"/>
      <c r="L169" s="143"/>
      <c r="M169" s="9"/>
      <c r="N169" s="10"/>
      <c r="O169" s="10"/>
      <c r="P169" s="10"/>
      <c r="Q169" s="10"/>
      <c r="R169" s="10"/>
      <c r="S169" s="9"/>
      <c r="T169" s="10"/>
      <c r="U169" s="9"/>
      <c r="V169" s="10"/>
      <c r="W169" s="9"/>
      <c r="X169" s="10"/>
      <c r="Y169" s="9"/>
      <c r="Z169" s="10"/>
      <c r="AA169" s="9"/>
      <c r="AB169" s="10"/>
      <c r="AC169" s="9"/>
      <c r="AD169" s="10"/>
      <c r="AE169" s="9"/>
      <c r="AF169" s="10"/>
      <c r="AG169" s="9"/>
      <c r="AH169" s="10"/>
      <c r="AI169"/>
      <c r="AJ169" s="10"/>
      <c r="AK169"/>
      <c r="AL169" s="10"/>
      <c r="AM169"/>
      <c r="AN169" s="10"/>
      <c r="AO169" s="9"/>
      <c r="AP169" s="10"/>
      <c r="AQ169" s="9"/>
      <c r="AR169" s="10"/>
      <c r="AS169" s="9"/>
      <c r="AT169" s="10"/>
      <c r="AU169" s="10"/>
      <c r="AV169" s="10"/>
      <c r="AW169" s="10"/>
      <c r="AX169" s="10"/>
      <c r="AY169" s="10"/>
      <c r="AZ169" s="10"/>
      <c r="BA169" s="10"/>
      <c r="BB169" s="10"/>
      <c r="BC169" s="10"/>
      <c r="BD169" s="10"/>
      <c r="BE169" s="10"/>
      <c r="BF169" s="10"/>
      <c r="BG169" s="10"/>
      <c r="BH169" s="10"/>
      <c r="BI169" s="10"/>
      <c r="BJ169" s="10"/>
      <c r="BK169" s="9"/>
      <c r="BL169" s="10"/>
      <c r="BM169" s="9"/>
      <c r="BN169" s="10"/>
      <c r="BO169" s="9"/>
      <c r="BP169" s="10"/>
      <c r="BQ169" s="9"/>
      <c r="BR169" s="10"/>
      <c r="BS169" s="9"/>
      <c r="BT169" s="10"/>
      <c r="BU169" s="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31" customFormat="1">
      <c r="A170" s="58" t="s">
        <v>249</v>
      </c>
      <c r="J170" s="159"/>
      <c r="L170" s="145" t="s">
        <v>202</v>
      </c>
      <c r="M170" s="10"/>
      <c r="N170" s="10">
        <v>10922239</v>
      </c>
      <c r="O170" s="10"/>
      <c r="P170" s="10">
        <f>10969926-N170</f>
        <v>47687</v>
      </c>
      <c r="Q170" s="10"/>
      <c r="R170" s="9">
        <v>12808124</v>
      </c>
      <c r="S170" s="10"/>
      <c r="T170" s="10">
        <v>340000</v>
      </c>
      <c r="U170" s="10"/>
      <c r="V170" s="10">
        <v>46410</v>
      </c>
      <c r="W170" s="10"/>
      <c r="X170" s="10">
        <v>139384</v>
      </c>
      <c r="Y170" s="10"/>
      <c r="Z170" s="10">
        <v>227439</v>
      </c>
      <c r="AA170" s="10"/>
      <c r="AB170" s="10">
        <v>231444</v>
      </c>
      <c r="AC170" s="10"/>
      <c r="AD170" s="10">
        <v>419367</v>
      </c>
      <c r="AE170" s="10"/>
      <c r="AF170" s="10">
        <v>378615.01085416664</v>
      </c>
      <c r="AG170" s="10"/>
      <c r="AH170" s="10">
        <v>426069.82412684895</v>
      </c>
      <c r="AI170"/>
      <c r="AJ170" s="10">
        <f ca="1">[2]Wilton!$K$39</f>
        <v>463711.37538870639</v>
      </c>
      <c r="AK170"/>
      <c r="AL170" s="10">
        <f ca="1">[2]Wilton!$L$39</f>
        <v>505639.68570277008</v>
      </c>
      <c r="AM170"/>
      <c r="AN170" s="10">
        <v>568176</v>
      </c>
      <c r="AO170" s="10"/>
      <c r="AP170" s="10">
        <f ca="1">[2]Wilton!$N$39</f>
        <v>663422.29387704656</v>
      </c>
      <c r="AQ170" s="10"/>
      <c r="AR170" s="10">
        <f ca="1">[2]Wilton!$O$39</f>
        <v>873819.32529526937</v>
      </c>
      <c r="AS170" s="10"/>
      <c r="AT170" s="10">
        <f ca="1">[2]Wilton!$P$39</f>
        <v>891069.81590450753</v>
      </c>
      <c r="AU170" s="10"/>
      <c r="AV170" s="10">
        <f ca="1">[2]Wilton!$Q$39</f>
        <v>1048965.8687712126</v>
      </c>
      <c r="AW170" s="10"/>
      <c r="AX170" s="10">
        <f ca="1">[2]Wilton!$R$39</f>
        <v>1175441.8444909456</v>
      </c>
      <c r="AY170" s="10"/>
      <c r="AZ170" s="10">
        <v>0</v>
      </c>
      <c r="BA170" s="10"/>
      <c r="BB170" s="10">
        <v>0</v>
      </c>
      <c r="BC170" s="10"/>
      <c r="BD170" s="10">
        <v>0</v>
      </c>
      <c r="BE170" s="10"/>
      <c r="BF170" s="10">
        <v>0</v>
      </c>
      <c r="BG170" s="10"/>
      <c r="BH170" s="10">
        <v>0</v>
      </c>
      <c r="BI170" s="10"/>
      <c r="BJ170" s="10">
        <v>0</v>
      </c>
      <c r="BK170" s="10"/>
      <c r="BL170" s="10">
        <f ca="1">SUM(T170:BK170)</f>
        <v>8398975.044411473</v>
      </c>
      <c r="BM170" s="10"/>
      <c r="BN170" s="10">
        <v>0</v>
      </c>
      <c r="BO170" s="10"/>
      <c r="BP170" s="6">
        <f ca="1">IF(+R170-BL170+BN170&gt;0,R170-BL170+BN170,0)-R170+[2]Wilton!$Y$39</f>
        <v>4251470.8948261049</v>
      </c>
      <c r="BQ170" s="10"/>
      <c r="BR170" s="9">
        <f ca="1">+BL170+BP170</f>
        <v>12650445.939237578</v>
      </c>
      <c r="BS170" s="10"/>
      <c r="BT170" s="9">
        <f ca="1">+R170-BR170</f>
        <v>157678.06076242216</v>
      </c>
      <c r="BU170" s="1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21" customFormat="1">
      <c r="A171" s="56"/>
      <c r="B171" s="31"/>
      <c r="J171" s="8"/>
      <c r="L171" s="143"/>
      <c r="M171" s="9"/>
      <c r="N171" s="10"/>
      <c r="O171" s="9"/>
      <c r="P171" s="10"/>
      <c r="Q171" s="9"/>
      <c r="R171" s="10"/>
      <c r="S171" s="9"/>
      <c r="T171" s="10"/>
      <c r="U171" s="9"/>
      <c r="V171" s="10"/>
      <c r="W171" s="9"/>
      <c r="X171" s="10"/>
      <c r="Y171" s="9"/>
      <c r="Z171" s="10"/>
      <c r="AA171" s="9"/>
      <c r="AB171" s="10"/>
      <c r="AC171" s="9"/>
      <c r="AD171" s="10"/>
      <c r="AE171" s="9"/>
      <c r="AF171" s="10"/>
      <c r="AG171" s="9"/>
      <c r="AH171" s="10"/>
      <c r="AI171"/>
      <c r="AJ171" s="10"/>
      <c r="AK171"/>
      <c r="AL171" s="10"/>
      <c r="AM171"/>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105" customFormat="1">
      <c r="A172" s="84" t="s">
        <v>248</v>
      </c>
      <c r="B172" s="54"/>
      <c r="J172" s="158"/>
      <c r="L172" s="144"/>
      <c r="M172" s="13"/>
      <c r="N172" s="120"/>
      <c r="O172" s="13"/>
      <c r="P172" s="120"/>
      <c r="Q172" s="13"/>
      <c r="R172" s="120">
        <f>R170+R161+R152+R150+R148+R142+R138+R131+R124+R122+R120+R118+R116+R168+R140</f>
        <v>24972135</v>
      </c>
      <c r="S172" s="120">
        <f t="shared" ref="S172:AX172" si="34">S170+S161+S152+S150+S148+S142+S138+S131+S124+S122+S120+S118+S116+S168+S140</f>
        <v>0</v>
      </c>
      <c r="T172" s="120">
        <f t="shared" si="34"/>
        <v>340000</v>
      </c>
      <c r="U172" s="120">
        <f t="shared" si="34"/>
        <v>0</v>
      </c>
      <c r="V172" s="120">
        <f t="shared" si="34"/>
        <v>47646</v>
      </c>
      <c r="W172" s="120">
        <f t="shared" si="34"/>
        <v>0</v>
      </c>
      <c r="X172" s="120">
        <f t="shared" si="34"/>
        <v>218493</v>
      </c>
      <c r="Y172" s="120">
        <f t="shared" si="34"/>
        <v>0</v>
      </c>
      <c r="Z172" s="120">
        <f t="shared" si="34"/>
        <v>292259</v>
      </c>
      <c r="AA172" s="120">
        <f t="shared" si="34"/>
        <v>0</v>
      </c>
      <c r="AB172" s="120">
        <f t="shared" si="34"/>
        <v>1722017</v>
      </c>
      <c r="AC172" s="120">
        <f t="shared" si="34"/>
        <v>0</v>
      </c>
      <c r="AD172" s="120">
        <f t="shared" si="34"/>
        <v>540746.83000000007</v>
      </c>
      <c r="AE172" s="120">
        <f t="shared" si="34"/>
        <v>0</v>
      </c>
      <c r="AF172" s="120">
        <f t="shared" si="34"/>
        <v>622375.14085416659</v>
      </c>
      <c r="AG172" s="120">
        <f t="shared" si="34"/>
        <v>0</v>
      </c>
      <c r="AH172" s="120">
        <f t="shared" si="34"/>
        <v>1381148.8641268488</v>
      </c>
      <c r="AI172" s="120">
        <f t="shared" si="34"/>
        <v>0</v>
      </c>
      <c r="AJ172" s="120">
        <f t="shared" ca="1" si="34"/>
        <v>515549.77538870636</v>
      </c>
      <c r="AK172" s="120">
        <f t="shared" si="34"/>
        <v>0</v>
      </c>
      <c r="AL172" s="120">
        <f t="shared" ca="1" si="34"/>
        <v>551052.15570277011</v>
      </c>
      <c r="AM172" s="120">
        <f t="shared" si="34"/>
        <v>0</v>
      </c>
      <c r="AN172" s="120">
        <f t="shared" si="34"/>
        <v>693677.65</v>
      </c>
      <c r="AO172" s="120">
        <f t="shared" si="34"/>
        <v>0</v>
      </c>
      <c r="AP172" s="120">
        <f t="shared" ca="1" si="34"/>
        <v>997479.58387704659</v>
      </c>
      <c r="AQ172" s="120">
        <f t="shared" si="34"/>
        <v>0</v>
      </c>
      <c r="AR172" s="120">
        <f t="shared" ca="1" si="34"/>
        <v>1810970.3252952693</v>
      </c>
      <c r="AS172" s="120">
        <f t="shared" si="34"/>
        <v>0</v>
      </c>
      <c r="AT172" s="120">
        <f t="shared" ca="1" si="34"/>
        <v>1294710.1259045072</v>
      </c>
      <c r="AU172" s="120">
        <f t="shared" si="34"/>
        <v>0</v>
      </c>
      <c r="AV172" s="120">
        <f t="shared" ca="1" si="34"/>
        <v>1582025.6787712125</v>
      </c>
      <c r="AW172" s="120">
        <f t="shared" si="34"/>
        <v>0</v>
      </c>
      <c r="AX172" s="120">
        <f t="shared" ca="1" si="34"/>
        <v>1568800.3344909456</v>
      </c>
      <c r="AY172" s="120">
        <f t="shared" ref="AY172:BT172" si="35">AY170+AY161+AY152+AY150+AY148+AY142+AY138+AY131+AY124+AY122+AY120+AY118+AY116+AY168+AY140</f>
        <v>0</v>
      </c>
      <c r="AZ172" s="120">
        <f t="shared" si="35"/>
        <v>271975.53000000003</v>
      </c>
      <c r="BA172" s="120">
        <f t="shared" si="35"/>
        <v>0</v>
      </c>
      <c r="BB172" s="120">
        <f t="shared" si="35"/>
        <v>0</v>
      </c>
      <c r="BC172" s="120">
        <f t="shared" si="35"/>
        <v>0</v>
      </c>
      <c r="BD172" s="120">
        <f t="shared" si="35"/>
        <v>0</v>
      </c>
      <c r="BE172" s="120">
        <f t="shared" si="35"/>
        <v>0</v>
      </c>
      <c r="BF172" s="120">
        <f t="shared" si="35"/>
        <v>0</v>
      </c>
      <c r="BG172" s="120">
        <f t="shared" si="35"/>
        <v>0</v>
      </c>
      <c r="BH172" s="120">
        <f t="shared" si="35"/>
        <v>0</v>
      </c>
      <c r="BI172" s="120">
        <f t="shared" si="35"/>
        <v>0</v>
      </c>
      <c r="BJ172" s="120">
        <f t="shared" si="35"/>
        <v>0</v>
      </c>
      <c r="BK172" s="120">
        <f t="shared" si="35"/>
        <v>0</v>
      </c>
      <c r="BL172" s="120">
        <f t="shared" ca="1" si="35"/>
        <v>14450926.994411474</v>
      </c>
      <c r="BM172" s="120">
        <f t="shared" si="35"/>
        <v>0</v>
      </c>
      <c r="BN172" s="120">
        <f t="shared" si="35"/>
        <v>8028502</v>
      </c>
      <c r="BO172" s="120">
        <f t="shared" si="35"/>
        <v>0</v>
      </c>
      <c r="BP172" s="120">
        <f t="shared" ca="1" si="35"/>
        <v>19879007.234826103</v>
      </c>
      <c r="BQ172" s="120">
        <f t="shared" si="35"/>
        <v>0</v>
      </c>
      <c r="BR172" s="120">
        <f t="shared" ca="1" si="35"/>
        <v>34329934.229237579</v>
      </c>
      <c r="BS172" s="120">
        <f t="shared" si="35"/>
        <v>0</v>
      </c>
      <c r="BT172" s="120">
        <f t="shared" ca="1" si="35"/>
        <v>-9357799.2292375788</v>
      </c>
      <c r="BU172" s="120">
        <f>BU170+BU161+BU152+BU150+BU148+BU142+BU138+BU131+BU124+BU122+BU120+BU118+BU116+BU168</f>
        <v>0</v>
      </c>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c r="B173" s="31"/>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c r="AJ173" s="10"/>
      <c r="AK173"/>
      <c r="AL173" s="10"/>
      <c r="AM173"/>
      <c r="AN173" s="10"/>
      <c r="AO173" s="9"/>
      <c r="AP173" s="10"/>
      <c r="AQ173" s="9"/>
      <c r="AR173" s="10"/>
      <c r="AS173" s="9"/>
      <c r="AT173" s="10"/>
      <c r="AU173" s="10"/>
      <c r="AV173" s="10"/>
      <c r="AW173" s="10"/>
      <c r="AX173" s="10"/>
      <c r="AY173" s="10"/>
      <c r="AZ173" s="10"/>
      <c r="BA173" s="10"/>
      <c r="BB173" s="10"/>
      <c r="BC173" s="10"/>
      <c r="BD173" s="10"/>
      <c r="BE173" s="10"/>
      <c r="BF173" s="10"/>
      <c r="BG173" s="10"/>
      <c r="BH173" s="10"/>
      <c r="BI173" s="10"/>
      <c r="BJ173" s="10"/>
      <c r="BK173" s="9"/>
      <c r="BL173" s="10"/>
      <c r="BM173" s="9"/>
      <c r="BN173" s="10"/>
      <c r="BO173" s="9"/>
      <c r="BP173" s="10"/>
      <c r="BQ173" s="9"/>
      <c r="BR173" s="10"/>
      <c r="BS173" s="9"/>
      <c r="BT173" s="10"/>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t="s">
        <v>190</v>
      </c>
      <c r="B174" s="31"/>
      <c r="J174" s="8"/>
      <c r="L174" s="143" t="s">
        <v>202</v>
      </c>
      <c r="M174" s="9"/>
      <c r="N174" s="9">
        <v>5395729</v>
      </c>
      <c r="O174" s="9"/>
      <c r="P174" s="9">
        <f>5463580+-N174</f>
        <v>67851</v>
      </c>
      <c r="Q174" s="9"/>
      <c r="R174" s="9">
        <v>4408071.75</v>
      </c>
      <c r="S174" s="9"/>
      <c r="T174" s="9"/>
      <c r="U174" s="9"/>
      <c r="V174" s="9"/>
      <c r="W174" s="9"/>
      <c r="X174" s="9"/>
      <c r="Y174" s="9"/>
      <c r="Z174" s="9"/>
      <c r="AA174" s="9"/>
      <c r="AB174" s="9"/>
      <c r="AC174" s="9"/>
      <c r="AD174" s="9"/>
      <c r="AE174" s="9"/>
      <c r="AF174" s="9">
        <v>0</v>
      </c>
      <c r="AG174" s="9"/>
      <c r="AH174" s="9"/>
      <c r="AI174"/>
      <c r="AJ174" s="9"/>
      <c r="AK174"/>
      <c r="AL174" s="9"/>
      <c r="AM174"/>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10">
        <f>SUM(T174:BK174)</f>
        <v>0</v>
      </c>
      <c r="BM174" s="9">
        <v>2030320</v>
      </c>
      <c r="BN174" s="9">
        <v>-4408072</v>
      </c>
      <c r="BO174" s="9">
        <v>2030320</v>
      </c>
      <c r="BP174" s="6">
        <f>IF(+R174-BL174+BN174&gt;0,R174-BL174+BN174,0)</f>
        <v>0</v>
      </c>
      <c r="BQ174" s="9">
        <v>2030320</v>
      </c>
      <c r="BR174" s="9">
        <f>+BL174+BP174</f>
        <v>0</v>
      </c>
      <c r="BS174" s="9">
        <v>2030320</v>
      </c>
      <c r="BT174" s="6">
        <f>+R174-BR174</f>
        <v>4408071.75</v>
      </c>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c r="AJ175" s="10"/>
      <c r="AK175"/>
      <c r="AL175" s="10"/>
      <c r="AM175"/>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21" customFormat="1">
      <c r="A176" s="56"/>
      <c r="B176" s="31"/>
      <c r="J176" s="8"/>
      <c r="L176" s="143"/>
      <c r="M176" s="9"/>
      <c r="N176" s="10"/>
      <c r="O176" s="9"/>
      <c r="P176" s="10"/>
      <c r="Q176" s="9"/>
      <c r="R176" s="10"/>
      <c r="S176" s="9"/>
      <c r="T176" s="10"/>
      <c r="U176" s="9"/>
      <c r="V176" s="10"/>
      <c r="W176" s="9"/>
      <c r="X176" s="10"/>
      <c r="Y176" s="9"/>
      <c r="Z176" s="10"/>
      <c r="AA176" s="9"/>
      <c r="AB176" s="10"/>
      <c r="AC176" s="9"/>
      <c r="AD176" s="10"/>
      <c r="AE176" s="9"/>
      <c r="AF176" s="10"/>
      <c r="AG176" s="9"/>
      <c r="AH176" s="10"/>
      <c r="AI176"/>
      <c r="AJ176" s="10"/>
      <c r="AK176"/>
      <c r="AL176" s="10"/>
      <c r="AM176"/>
      <c r="AN176" s="10"/>
      <c r="AO176" s="9"/>
      <c r="AP176" s="10"/>
      <c r="AQ176" s="9"/>
      <c r="AR176" s="10"/>
      <c r="AS176" s="9"/>
      <c r="AT176" s="10"/>
      <c r="AU176" s="10"/>
      <c r="AV176" s="10"/>
      <c r="AW176" s="10"/>
      <c r="AX176" s="10"/>
      <c r="AY176" s="10"/>
      <c r="AZ176" s="10"/>
      <c r="BA176" s="10"/>
      <c r="BB176" s="10"/>
      <c r="BC176" s="10"/>
      <c r="BD176" s="10"/>
      <c r="BE176" s="10"/>
      <c r="BF176" s="10"/>
      <c r="BG176" s="10"/>
      <c r="BH176" s="10"/>
      <c r="BI176" s="10"/>
      <c r="BJ176" s="10"/>
      <c r="BK176" s="9"/>
      <c r="BL176" s="10"/>
      <c r="BM176" s="9"/>
      <c r="BN176" s="10"/>
      <c r="BO176" s="9"/>
      <c r="BP176" s="10"/>
      <c r="BQ176" s="9"/>
      <c r="BR176" s="10"/>
      <c r="BS176" s="9"/>
      <c r="BT176" s="10"/>
      <c r="BU176" s="9"/>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170" customFormat="1">
      <c r="A177" s="169" t="s">
        <v>253</v>
      </c>
      <c r="J177" s="171"/>
      <c r="L177" s="172"/>
      <c r="M177" s="173"/>
      <c r="N177" s="173"/>
      <c r="O177" s="173"/>
      <c r="P177" s="173"/>
      <c r="Q177" s="173"/>
      <c r="R177" s="168">
        <f t="shared" ref="R177:AD177" si="36">R33+R98+R88+R107+R172+R174</f>
        <v>239675467.75</v>
      </c>
      <c r="S177" s="168">
        <f t="shared" si="36"/>
        <v>0</v>
      </c>
      <c r="T177" s="168">
        <f t="shared" si="36"/>
        <v>7140000</v>
      </c>
      <c r="U177" s="168">
        <f t="shared" si="36"/>
        <v>0</v>
      </c>
      <c r="V177" s="168">
        <f t="shared" si="36"/>
        <v>1297646</v>
      </c>
      <c r="W177" s="168">
        <f t="shared" si="36"/>
        <v>0</v>
      </c>
      <c r="X177" s="168">
        <f t="shared" si="36"/>
        <v>33103293</v>
      </c>
      <c r="Y177" s="168">
        <f t="shared" si="36"/>
        <v>0</v>
      </c>
      <c r="Z177" s="168">
        <f t="shared" si="36"/>
        <v>292259</v>
      </c>
      <c r="AA177" s="168">
        <f t="shared" si="36"/>
        <v>0</v>
      </c>
      <c r="AB177" s="168">
        <f t="shared" si="36"/>
        <v>1722017</v>
      </c>
      <c r="AC177" s="168">
        <f t="shared" si="36"/>
        <v>0</v>
      </c>
      <c r="AD177" s="168">
        <f t="shared" si="36"/>
        <v>18851273.829999998</v>
      </c>
      <c r="AE177" s="168"/>
      <c r="AF177" s="168">
        <f>AF33+AF98+AF88+AF107+AF172+AF174</f>
        <v>8237655.1408541668</v>
      </c>
      <c r="AG177" s="168"/>
      <c r="AH177" s="168">
        <f>AH33+AH98+AH88+AH107+AH172+AH174</f>
        <v>8871230.9374601822</v>
      </c>
      <c r="AI177"/>
      <c r="AJ177" s="168">
        <f ca="1">AJ33+AJ98+AJ88+AJ107+AJ172+AJ174</f>
        <v>6989210.1253887061</v>
      </c>
      <c r="AK177"/>
      <c r="AL177" s="168">
        <f ca="1">AL33+AL98+AL88+AL107+AL172+AL174</f>
        <v>7789231.1557027698</v>
      </c>
      <c r="AM177"/>
      <c r="AN177" s="168">
        <f t="shared" ref="AN177:BT177" si="37">AN33+AN98+AN88+AN107+AN172+AN174</f>
        <v>11600775.180000002</v>
      </c>
      <c r="AO177" s="168">
        <f t="shared" si="37"/>
        <v>0</v>
      </c>
      <c r="AP177" s="168">
        <f t="shared" ca="1" si="37"/>
        <v>17679120.913877048</v>
      </c>
      <c r="AQ177" s="168">
        <f t="shared" si="37"/>
        <v>0</v>
      </c>
      <c r="AR177" s="168">
        <f t="shared" ca="1" si="37"/>
        <v>39304333.695295267</v>
      </c>
      <c r="AS177" s="168">
        <f t="shared" si="37"/>
        <v>0</v>
      </c>
      <c r="AT177" s="168">
        <f t="shared" ca="1" si="37"/>
        <v>2943898.2559045074</v>
      </c>
      <c r="AU177" s="168">
        <f t="shared" si="37"/>
        <v>0</v>
      </c>
      <c r="AV177" s="168">
        <f t="shared" ca="1" si="37"/>
        <v>29327061.258771211</v>
      </c>
      <c r="AW177" s="168">
        <f t="shared" si="37"/>
        <v>0</v>
      </c>
      <c r="AX177" s="168">
        <f t="shared" ca="1" si="37"/>
        <v>23456763.284490943</v>
      </c>
      <c r="AY177" s="168">
        <f t="shared" si="37"/>
        <v>0</v>
      </c>
      <c r="AZ177" s="168">
        <f t="shared" si="37"/>
        <v>20522879.530000001</v>
      </c>
      <c r="BA177" s="168">
        <f t="shared" si="37"/>
        <v>0</v>
      </c>
      <c r="BB177" s="168">
        <f t="shared" si="37"/>
        <v>0</v>
      </c>
      <c r="BC177" s="168">
        <f t="shared" si="37"/>
        <v>0</v>
      </c>
      <c r="BD177" s="168">
        <f t="shared" si="37"/>
        <v>0</v>
      </c>
      <c r="BE177" s="168">
        <f t="shared" si="37"/>
        <v>0</v>
      </c>
      <c r="BF177" s="168">
        <f t="shared" si="37"/>
        <v>0</v>
      </c>
      <c r="BG177" s="168">
        <f t="shared" si="37"/>
        <v>0</v>
      </c>
      <c r="BH177" s="168">
        <f t="shared" si="37"/>
        <v>0</v>
      </c>
      <c r="BI177" s="168">
        <f t="shared" si="37"/>
        <v>0</v>
      </c>
      <c r="BJ177" s="168">
        <f t="shared" si="37"/>
        <v>0</v>
      </c>
      <c r="BK177" s="168">
        <f t="shared" si="37"/>
        <v>0</v>
      </c>
      <c r="BL177" s="168">
        <f t="shared" ca="1" si="37"/>
        <v>239128648.3077448</v>
      </c>
      <c r="BM177" s="168">
        <f t="shared" si="37"/>
        <v>2030320</v>
      </c>
      <c r="BN177" s="168">
        <f t="shared" si="37"/>
        <v>29809740</v>
      </c>
      <c r="BO177" s="168">
        <f t="shared" si="37"/>
        <v>2030320</v>
      </c>
      <c r="BP177" s="168">
        <f t="shared" ca="1" si="37"/>
        <v>33309308.361492768</v>
      </c>
      <c r="BQ177" s="168">
        <f t="shared" si="37"/>
        <v>2030320</v>
      </c>
      <c r="BR177" s="168">
        <f t="shared" ca="1" si="37"/>
        <v>257253327.66923758</v>
      </c>
      <c r="BS177" s="168">
        <f t="shared" si="37"/>
        <v>2030320</v>
      </c>
      <c r="BT177" s="168">
        <f t="shared" ca="1" si="37"/>
        <v>-31577859.919237576</v>
      </c>
      <c r="BU177" s="173"/>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t="s">
        <v>251</v>
      </c>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c r="AJ178" s="10"/>
      <c r="AK178"/>
      <c r="AL178" s="10"/>
      <c r="AM178"/>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f ca="1">BR177/B4</f>
        <v>423114.02577177231</v>
      </c>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6"/>
      <c r="B179" s="31"/>
      <c r="J179" s="8"/>
      <c r="L179" s="143"/>
      <c r="M179" s="9"/>
      <c r="N179" s="10"/>
      <c r="O179" s="9"/>
      <c r="P179" s="10"/>
      <c r="Q179" s="9"/>
      <c r="R179" s="10"/>
      <c r="S179" s="9"/>
      <c r="T179" s="10"/>
      <c r="U179" s="9"/>
      <c r="V179" s="10"/>
      <c r="W179" s="9"/>
      <c r="X179" s="10"/>
      <c r="Y179" s="9"/>
      <c r="Z179" s="10"/>
      <c r="AA179" s="9"/>
      <c r="AB179" s="10"/>
      <c r="AC179" s="9"/>
      <c r="AD179" s="10"/>
      <c r="AE179" s="9"/>
      <c r="AF179" s="10"/>
      <c r="AG179" s="9"/>
      <c r="AH179" s="10"/>
      <c r="AI179"/>
      <c r="AJ179" s="10"/>
      <c r="AK179"/>
      <c r="AL179" s="10"/>
      <c r="AM179"/>
      <c r="AN179" s="10"/>
      <c r="AO179" s="9"/>
      <c r="AP179" s="10"/>
      <c r="AQ179" s="9"/>
      <c r="AR179" s="10"/>
      <c r="AS179" s="9"/>
      <c r="AT179" s="10"/>
      <c r="AU179" s="10"/>
      <c r="AV179" s="10"/>
      <c r="AW179" s="10"/>
      <c r="AX179" s="10"/>
      <c r="AY179" s="10"/>
      <c r="AZ179" s="10"/>
      <c r="BA179" s="10"/>
      <c r="BB179" s="10"/>
      <c r="BC179" s="10"/>
      <c r="BD179" s="10"/>
      <c r="BE179" s="10"/>
      <c r="BF179" s="10"/>
      <c r="BG179" s="10"/>
      <c r="BH179" s="10"/>
      <c r="BI179" s="10"/>
      <c r="BJ179" s="10"/>
      <c r="BK179" s="9"/>
      <c r="BL179" s="10"/>
      <c r="BM179" s="9"/>
      <c r="BN179" s="10"/>
      <c r="BO179" s="9"/>
      <c r="BP179" s="10"/>
      <c r="BQ179" s="9"/>
      <c r="BR179" s="10"/>
      <c r="BS179" s="9"/>
      <c r="BT179" s="10"/>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8" t="s">
        <v>219</v>
      </c>
      <c r="B180" s="31"/>
      <c r="J180" s="8"/>
      <c r="L180" s="143" t="s">
        <v>202</v>
      </c>
      <c r="M180" s="9"/>
      <c r="N180" s="9">
        <v>0</v>
      </c>
      <c r="O180" s="9"/>
      <c r="P180" s="9">
        <f>21557+23365.91</f>
        <v>44922.91</v>
      </c>
      <c r="Q180" s="9"/>
      <c r="R180" s="9">
        <v>-6078</v>
      </c>
      <c r="S180" s="9"/>
      <c r="T180" s="9"/>
      <c r="U180" s="9"/>
      <c r="V180" s="9"/>
      <c r="W180" s="9"/>
      <c r="X180" s="9"/>
      <c r="Y180" s="9"/>
      <c r="Z180" s="9">
        <v>-21556.400000000001</v>
      </c>
      <c r="AA180" s="9"/>
      <c r="AB180" s="9">
        <f>43113+23365.91</f>
        <v>66478.91</v>
      </c>
      <c r="AC180" s="9"/>
      <c r="AD180" s="9">
        <v>-51000</v>
      </c>
      <c r="AE180" s="9"/>
      <c r="AF180" s="9"/>
      <c r="AG180" s="9"/>
      <c r="AH180" s="9"/>
      <c r="AI180"/>
      <c r="AJ180" s="9"/>
      <c r="AK180"/>
      <c r="AL180" s="9"/>
      <c r="AM180"/>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10">
        <f>SUM(T180:BK180)</f>
        <v>-6077.489999999998</v>
      </c>
      <c r="BM180" s="9"/>
      <c r="BN180" s="10">
        <v>0</v>
      </c>
      <c r="BO180" s="10"/>
      <c r="BP180" s="6">
        <f>IF(+R180-BL180+BN180&gt;0,R180-BL180+BN180,0)</f>
        <v>0</v>
      </c>
      <c r="BQ180" s="10"/>
      <c r="BR180" s="9">
        <f>+BL180+BP180</f>
        <v>-6077.489999999998</v>
      </c>
      <c r="BS180" s="10"/>
      <c r="BT180" s="9">
        <v>0</v>
      </c>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c r="B181" s="31"/>
      <c r="J181" s="8"/>
      <c r="L181" s="143"/>
      <c r="M181" s="9"/>
      <c r="N181" s="10"/>
      <c r="O181" s="9"/>
      <c r="P181" s="10"/>
      <c r="Q181" s="9"/>
      <c r="R181" s="10"/>
      <c r="S181" s="9"/>
      <c r="T181" s="10"/>
      <c r="U181" s="9"/>
      <c r="V181" s="10"/>
      <c r="W181" s="9"/>
      <c r="X181" s="10"/>
      <c r="Y181" s="9"/>
      <c r="Z181" s="10"/>
      <c r="AA181" s="9"/>
      <c r="AB181" s="10"/>
      <c r="AC181" s="9"/>
      <c r="AD181" s="10"/>
      <c r="AE181" s="9"/>
      <c r="AF181" s="10"/>
      <c r="AG181" s="9"/>
      <c r="AH181" s="10"/>
      <c r="AI181"/>
      <c r="AJ181" s="10"/>
      <c r="AK181"/>
      <c r="AL181" s="10"/>
      <c r="AM181"/>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c r="BM181" s="9"/>
      <c r="BN181" s="10"/>
      <c r="BO181" s="9"/>
      <c r="BP181" s="10"/>
      <c r="BQ181" s="9"/>
      <c r="BR181" s="10"/>
      <c r="BS181" s="9"/>
      <c r="BT181" s="10"/>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t="s">
        <v>319</v>
      </c>
      <c r="B182" s="31"/>
      <c r="J182" s="8"/>
      <c r="L182" s="143"/>
      <c r="M182" s="9"/>
      <c r="N182" s="10"/>
      <c r="O182" s="9"/>
      <c r="P182" s="10"/>
      <c r="Q182" s="9"/>
      <c r="R182" s="10">
        <v>0</v>
      </c>
      <c r="S182" s="9"/>
      <c r="T182" s="10"/>
      <c r="U182" s="9"/>
      <c r="V182" s="10"/>
      <c r="W182" s="9"/>
      <c r="X182" s="10"/>
      <c r="Y182" s="9"/>
      <c r="Z182" s="10"/>
      <c r="AA182" s="9"/>
      <c r="AB182" s="10">
        <v>0</v>
      </c>
      <c r="AC182" s="9"/>
      <c r="AD182" s="10">
        <v>100</v>
      </c>
      <c r="AE182" s="9"/>
      <c r="AF182" s="10"/>
      <c r="AG182" s="9"/>
      <c r="AH182" s="10"/>
      <c r="AI182"/>
      <c r="AJ182" s="10">
        <f>220+59</f>
        <v>279</v>
      </c>
      <c r="AK182"/>
      <c r="AL182" s="10">
        <v>10</v>
      </c>
      <c r="AM182"/>
      <c r="AN182" s="10"/>
      <c r="AO182" s="9"/>
      <c r="AP182" s="10">
        <v>800</v>
      </c>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f>SUM(T182:BK182)</f>
        <v>1189</v>
      </c>
      <c r="BM182" s="9"/>
      <c r="BN182" s="10">
        <v>0</v>
      </c>
      <c r="BO182" s="9"/>
      <c r="BP182" s="6">
        <f>IF(+R182-BL182+BN182&gt;0,R182-BL182+BN182,0)</f>
        <v>0</v>
      </c>
      <c r="BQ182" s="9"/>
      <c r="BR182" s="9">
        <f>+BL182+BP182</f>
        <v>1189</v>
      </c>
      <c r="BS182" s="9"/>
      <c r="BT182" s="10">
        <v>0</v>
      </c>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6"/>
      <c r="B183" s="31"/>
      <c r="J183" s="8"/>
      <c r="L183" s="143"/>
      <c r="M183" s="9"/>
      <c r="N183" s="10"/>
      <c r="O183" s="9"/>
      <c r="P183" s="10"/>
      <c r="Q183" s="9"/>
      <c r="R183" s="10"/>
      <c r="S183" s="9"/>
      <c r="T183" s="10"/>
      <c r="U183" s="9"/>
      <c r="V183" s="10"/>
      <c r="W183" s="9"/>
      <c r="X183" s="10"/>
      <c r="Y183" s="9"/>
      <c r="Z183" s="10"/>
      <c r="AA183" s="9"/>
      <c r="AB183" s="10"/>
      <c r="AC183" s="9"/>
      <c r="AD183" s="10"/>
      <c r="AE183" s="9"/>
      <c r="AF183" s="10"/>
      <c r="AG183" s="9"/>
      <c r="AH183" s="10"/>
      <c r="AI183"/>
      <c r="AJ183" s="10"/>
      <c r="AK183"/>
      <c r="AL183" s="10"/>
      <c r="AM183"/>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t="s">
        <v>269</v>
      </c>
      <c r="B184" s="31"/>
      <c r="J184" s="8"/>
      <c r="L184" s="143"/>
      <c r="M184" s="9"/>
      <c r="N184" s="10"/>
      <c r="O184" s="9"/>
      <c r="P184" s="10"/>
      <c r="Q184" s="9"/>
      <c r="R184" s="10">
        <v>-56499</v>
      </c>
      <c r="S184" s="9"/>
      <c r="T184" s="10"/>
      <c r="U184" s="9"/>
      <c r="V184" s="10"/>
      <c r="W184" s="9"/>
      <c r="X184" s="10"/>
      <c r="Y184" s="9"/>
      <c r="Z184" s="10"/>
      <c r="AA184" s="9"/>
      <c r="AB184" s="10">
        <v>-56500</v>
      </c>
      <c r="AC184" s="9"/>
      <c r="AD184" s="10">
        <f>1-35</f>
        <v>-34</v>
      </c>
      <c r="AE184" s="9"/>
      <c r="AF184" s="10">
        <v>-69954</v>
      </c>
      <c r="AG184" s="9"/>
      <c r="AH184" s="10">
        <v>-22011</v>
      </c>
      <c r="AI184"/>
      <c r="AJ184" s="10">
        <f>-861-98</f>
        <v>-959</v>
      </c>
      <c r="AK184"/>
      <c r="AL184" s="10">
        <v>-3</v>
      </c>
      <c r="AM184"/>
      <c r="AN184" s="10">
        <f>52264-47</f>
        <v>52217</v>
      </c>
      <c r="AO184" s="9"/>
      <c r="AP184" s="10">
        <f>-233-52264</f>
        <v>-52497</v>
      </c>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f>SUM(T184:BK184)</f>
        <v>-149741</v>
      </c>
      <c r="BM184" s="9"/>
      <c r="BN184" s="10"/>
      <c r="BO184" s="9"/>
      <c r="BP184" s="6">
        <v>0</v>
      </c>
      <c r="BQ184" s="9"/>
      <c r="BR184" s="9">
        <f>+BL184+BP184</f>
        <v>-149741</v>
      </c>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c r="B185" s="31"/>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c r="AJ185" s="10"/>
      <c r="AK185"/>
      <c r="AL185" s="10"/>
      <c r="AM185"/>
      <c r="AN185" s="10"/>
      <c r="AO185" s="9"/>
      <c r="AP185" s="10"/>
      <c r="AQ185" s="9"/>
      <c r="AR185" s="10"/>
      <c r="AS185" s="9"/>
      <c r="AT185" s="10"/>
      <c r="AU185" s="10"/>
      <c r="AV185" s="10"/>
      <c r="AW185" s="10"/>
      <c r="AX185" s="10"/>
      <c r="AY185" s="10"/>
      <c r="AZ185" s="10"/>
      <c r="BA185" s="10"/>
      <c r="BB185" s="10"/>
      <c r="BC185" s="10"/>
      <c r="BD185" s="10"/>
      <c r="BE185" s="10"/>
      <c r="BF185" s="10"/>
      <c r="BG185" s="10"/>
      <c r="BH185" s="10"/>
      <c r="BI185" s="10"/>
      <c r="BJ185" s="10"/>
      <c r="BK185" s="9"/>
      <c r="BL185" s="10"/>
      <c r="BM185" s="9"/>
      <c r="BN185" s="10"/>
      <c r="BO185" s="9"/>
      <c r="BP185" s="10"/>
      <c r="BQ185" s="9"/>
      <c r="BR185" s="10"/>
      <c r="BS185" s="9"/>
      <c r="BT185" s="10"/>
      <c r="BU185" s="9"/>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t="s">
        <v>252</v>
      </c>
      <c r="B186" s="31"/>
      <c r="J186" s="8"/>
      <c r="L186" s="143"/>
      <c r="M186" s="9"/>
      <c r="N186" s="10"/>
      <c r="O186" s="9"/>
      <c r="P186" s="10"/>
      <c r="Q186" s="9"/>
      <c r="R186" s="10">
        <f t="shared" ref="R186:BL186" si="38">R177+R180+R182+R184</f>
        <v>239612890.75</v>
      </c>
      <c r="S186" s="10">
        <f t="shared" si="38"/>
        <v>0</v>
      </c>
      <c r="T186" s="10">
        <f t="shared" si="38"/>
        <v>7140000</v>
      </c>
      <c r="U186" s="10">
        <f t="shared" si="38"/>
        <v>0</v>
      </c>
      <c r="V186" s="10">
        <f t="shared" si="38"/>
        <v>1297646</v>
      </c>
      <c r="W186" s="10">
        <f t="shared" si="38"/>
        <v>0</v>
      </c>
      <c r="X186" s="10">
        <f t="shared" si="38"/>
        <v>33103293</v>
      </c>
      <c r="Y186" s="10">
        <f t="shared" si="38"/>
        <v>0</v>
      </c>
      <c r="Z186" s="10">
        <f t="shared" si="38"/>
        <v>270702.59999999998</v>
      </c>
      <c r="AA186" s="10">
        <f t="shared" si="38"/>
        <v>0</v>
      </c>
      <c r="AB186" s="10">
        <f t="shared" si="38"/>
        <v>1731995.91</v>
      </c>
      <c r="AC186" s="10">
        <f t="shared" si="38"/>
        <v>0</v>
      </c>
      <c r="AD186" s="10">
        <f t="shared" si="38"/>
        <v>18800339.829999998</v>
      </c>
      <c r="AE186" s="10"/>
      <c r="AF186" s="10">
        <f t="shared" si="38"/>
        <v>8167701.1408541668</v>
      </c>
      <c r="AG186" s="10"/>
      <c r="AH186" s="10">
        <f t="shared" si="38"/>
        <v>8849219.9374601822</v>
      </c>
      <c r="AI186"/>
      <c r="AJ186" s="10">
        <f ca="1">AJ177+AJ180+AJ182+AJ184</f>
        <v>6988530.1253887061</v>
      </c>
      <c r="AK186"/>
      <c r="AL186" s="10">
        <f t="shared" ca="1" si="38"/>
        <v>7789238.1557027698</v>
      </c>
      <c r="AM186"/>
      <c r="AN186" s="10">
        <f t="shared" si="38"/>
        <v>11652992.180000002</v>
      </c>
      <c r="AO186" s="10">
        <f t="shared" si="38"/>
        <v>0</v>
      </c>
      <c r="AP186" s="10">
        <f t="shared" ca="1" si="38"/>
        <v>17627423.913877048</v>
      </c>
      <c r="AQ186" s="10">
        <f t="shared" si="38"/>
        <v>0</v>
      </c>
      <c r="AR186" s="10">
        <f t="shared" ca="1" si="38"/>
        <v>39304333.695295267</v>
      </c>
      <c r="AS186" s="10">
        <f t="shared" si="38"/>
        <v>0</v>
      </c>
      <c r="AT186" s="10">
        <f t="shared" ca="1" si="38"/>
        <v>2943898.2559045074</v>
      </c>
      <c r="AU186" s="10">
        <f t="shared" si="38"/>
        <v>0</v>
      </c>
      <c r="AV186" s="10">
        <f t="shared" ca="1" si="38"/>
        <v>29327061.258771211</v>
      </c>
      <c r="AW186" s="10">
        <f t="shared" si="38"/>
        <v>0</v>
      </c>
      <c r="AX186" s="10">
        <f t="shared" ca="1" si="38"/>
        <v>23456763.284490943</v>
      </c>
      <c r="AY186" s="10">
        <f t="shared" si="38"/>
        <v>0</v>
      </c>
      <c r="AZ186" s="10">
        <f t="shared" si="38"/>
        <v>20522879.530000001</v>
      </c>
      <c r="BA186" s="10">
        <f t="shared" si="38"/>
        <v>0</v>
      </c>
      <c r="BB186" s="10">
        <f t="shared" si="38"/>
        <v>0</v>
      </c>
      <c r="BC186" s="10">
        <f t="shared" si="38"/>
        <v>0</v>
      </c>
      <c r="BD186" s="10">
        <f t="shared" si="38"/>
        <v>0</v>
      </c>
      <c r="BE186" s="10">
        <f t="shared" si="38"/>
        <v>0</v>
      </c>
      <c r="BF186" s="10">
        <f t="shared" si="38"/>
        <v>0</v>
      </c>
      <c r="BG186" s="10">
        <f t="shared" si="38"/>
        <v>0</v>
      </c>
      <c r="BH186" s="10">
        <f t="shared" si="38"/>
        <v>0</v>
      </c>
      <c r="BI186" s="10">
        <f t="shared" si="38"/>
        <v>0</v>
      </c>
      <c r="BJ186" s="10">
        <f t="shared" si="38"/>
        <v>0</v>
      </c>
      <c r="BK186" s="10">
        <f t="shared" si="38"/>
        <v>0</v>
      </c>
      <c r="BL186" s="10">
        <f t="shared" ca="1" si="38"/>
        <v>238974018.81774479</v>
      </c>
      <c r="BM186" s="10">
        <f>BM177+BM180+BM182</f>
        <v>2030320</v>
      </c>
      <c r="BN186" s="10">
        <f>BN177+BN180+BN182</f>
        <v>29809740</v>
      </c>
      <c r="BO186" s="10">
        <f>BO177+BO180+BO182</f>
        <v>2030320</v>
      </c>
      <c r="BP186" s="6">
        <f ca="1">IF(+R186-BL186+BN186&gt;0,R186-BL186+BN186,0)</f>
        <v>30448611.932255208</v>
      </c>
      <c r="BQ186" s="10">
        <f>BQ177+BQ180+BQ182</f>
        <v>2030320</v>
      </c>
      <c r="BR186" s="10">
        <f ca="1">BR177+BR180+BR182+BR184</f>
        <v>257098698.17923757</v>
      </c>
      <c r="BS186" s="10">
        <f>BS177+BS180+BS182</f>
        <v>2030320</v>
      </c>
      <c r="BT186" s="10">
        <f ca="1">BT177+BT180+BT182</f>
        <v>-31577859.919237576</v>
      </c>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s="21" customFormat="1">
      <c r="A187" s="58"/>
      <c r="B187" s="31"/>
      <c r="J187" s="8"/>
      <c r="L187" s="143"/>
      <c r="M187" s="9"/>
      <c r="N187" s="10"/>
      <c r="O187" s="9"/>
      <c r="P187" s="10"/>
      <c r="Q187" s="9"/>
      <c r="R187" s="10"/>
      <c r="S187" s="9"/>
      <c r="T187" s="10"/>
      <c r="U187" s="9"/>
      <c r="V187" s="10"/>
      <c r="W187" s="9"/>
      <c r="X187" s="10"/>
      <c r="Y187" s="9"/>
      <c r="Z187" s="10"/>
      <c r="AA187" s="9"/>
      <c r="AB187" s="10"/>
      <c r="AC187" s="9"/>
      <c r="AD187" s="10"/>
      <c r="AE187" s="9"/>
      <c r="AF187" s="10"/>
      <c r="AG187" s="9"/>
      <c r="AH187" s="39"/>
      <c r="AI187"/>
      <c r="AJ187" s="10"/>
      <c r="AK187"/>
      <c r="AL187" s="10"/>
      <c r="AM187"/>
      <c r="AN187" s="10"/>
      <c r="AO187" s="9"/>
      <c r="AP187" s="10"/>
      <c r="AQ187" s="9"/>
      <c r="AR187" s="10"/>
      <c r="AS187" s="9"/>
      <c r="AT187" s="10"/>
      <c r="AU187" s="10"/>
      <c r="AV187" s="10"/>
      <c r="AW187" s="10"/>
      <c r="AX187" s="10"/>
      <c r="AY187" s="10"/>
      <c r="AZ187" s="10"/>
      <c r="BA187" s="10"/>
      <c r="BB187" s="10"/>
      <c r="BC187" s="10"/>
      <c r="BD187" s="10"/>
      <c r="BE187" s="10"/>
      <c r="BF187" s="10"/>
      <c r="BG187" s="10"/>
      <c r="BH187" s="10"/>
      <c r="BI187" s="10"/>
      <c r="BJ187" s="10"/>
      <c r="BK187" s="9"/>
      <c r="BL187" s="10"/>
      <c r="BM187" s="9"/>
      <c r="BN187" s="10"/>
      <c r="BO187" s="9"/>
      <c r="BP187" s="10"/>
      <c r="BQ187" s="9"/>
      <c r="BR187" s="10"/>
      <c r="BS187" s="9"/>
      <c r="BT187" s="10"/>
      <c r="BU187" s="9"/>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c r="C188"/>
      <c r="D188"/>
      <c r="E188"/>
      <c r="F188"/>
      <c r="G188"/>
      <c r="H188"/>
      <c r="I188"/>
      <c r="J188" s="49"/>
      <c r="K188"/>
      <c r="L188" s="134"/>
      <c r="M188" s="6"/>
      <c r="O188" s="6"/>
      <c r="Q188" s="6"/>
      <c r="S188" s="6"/>
      <c r="T188" s="6"/>
      <c r="U188" s="6"/>
      <c r="V188" s="6"/>
      <c r="X188" s="6"/>
      <c r="Z188" s="6"/>
      <c r="AB188" s="6"/>
      <c r="AD188" s="6"/>
      <c r="AH188" s="10"/>
      <c r="AI188"/>
      <c r="AJ188" s="10"/>
      <c r="BJ188" s="6"/>
      <c r="BK188" s="6"/>
      <c r="BM188" s="6"/>
      <c r="BN188" s="6"/>
      <c r="BO188" s="6"/>
      <c r="BU188" s="6"/>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ht="15.75">
      <c r="A189" s="131" t="s">
        <v>196</v>
      </c>
      <c r="B189" s="132"/>
      <c r="C189" s="119"/>
      <c r="D189" s="119"/>
      <c r="E189" s="119"/>
      <c r="F189" s="119"/>
      <c r="G189" s="119"/>
      <c r="H189" s="119"/>
      <c r="I189" s="119"/>
      <c r="J189" s="161"/>
      <c r="K189" s="119"/>
      <c r="L189" s="148"/>
      <c r="M189" s="133"/>
      <c r="N189" s="133"/>
      <c r="O189" s="133"/>
      <c r="P189" s="133"/>
      <c r="Q189" s="133"/>
      <c r="R189" s="133"/>
      <c r="S189" s="133"/>
      <c r="T189" s="133"/>
      <c r="U189" s="133"/>
      <c r="V189" s="133"/>
      <c r="W189" s="133"/>
      <c r="X189" s="133"/>
      <c r="Y189" s="133"/>
      <c r="Z189" s="133"/>
      <c r="AA189" s="133"/>
      <c r="AB189" s="133"/>
      <c r="AC189" s="133"/>
      <c r="AD189" s="133"/>
      <c r="AE189" s="133"/>
      <c r="AF189" s="133"/>
      <c r="AG189" s="133"/>
      <c r="AH189" s="133"/>
      <c r="AI189"/>
      <c r="AJ189" s="133"/>
      <c r="AL189" s="133"/>
      <c r="AN189" s="133"/>
      <c r="AO189" s="133"/>
      <c r="AP189" s="133"/>
      <c r="AQ189" s="133"/>
      <c r="AR189" s="133"/>
      <c r="AS189" s="133"/>
      <c r="AT189" s="133"/>
      <c r="AU189" s="133"/>
      <c r="AV189" s="133"/>
      <c r="AW189" s="133"/>
      <c r="AX189" s="133"/>
      <c r="AY189" s="133"/>
      <c r="AZ189" s="133"/>
      <c r="BA189" s="133"/>
      <c r="BB189" s="133"/>
      <c r="BC189" s="133"/>
      <c r="BD189" s="133"/>
      <c r="BE189" s="133"/>
      <c r="BF189" s="133"/>
      <c r="BG189" s="133"/>
      <c r="BH189" s="133"/>
      <c r="BI189" s="133"/>
      <c r="BJ189" s="133"/>
      <c r="BK189" s="133"/>
      <c r="BL189" s="133"/>
      <c r="BM189" s="133"/>
      <c r="BN189" s="133"/>
      <c r="BO189" s="133"/>
      <c r="BP189" s="133"/>
      <c r="BQ189" s="133"/>
      <c r="BR189" s="13"/>
      <c r="BS189" s="133"/>
      <c r="BT189" s="133"/>
      <c r="BU189" s="133"/>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220000</v>
      </c>
      <c r="Q190" s="6"/>
      <c r="R190" s="9"/>
      <c r="S190" s="6"/>
      <c r="T190" s="22"/>
      <c r="U190" s="6"/>
      <c r="V190" s="22"/>
      <c r="X190" s="22">
        <f>982.5+18746.43</f>
        <v>19728.93</v>
      </c>
      <c r="Z190" s="22">
        <v>0</v>
      </c>
      <c r="AB190" s="22"/>
      <c r="AD190" s="22">
        <v>12698.23</v>
      </c>
      <c r="AF190" s="22"/>
      <c r="AH190" s="22">
        <f>5134.27+591.18</f>
        <v>5725.4500000000007</v>
      </c>
      <c r="AI190"/>
      <c r="AJ190" s="22"/>
      <c r="AL190" s="22">
        <v>591.45000000000005</v>
      </c>
      <c r="AN190" s="22"/>
      <c r="AP190" s="22"/>
      <c r="AR190" s="22">
        <v>1242.3</v>
      </c>
      <c r="AT190" s="22"/>
      <c r="AU190" s="22"/>
      <c r="AV190" s="22"/>
      <c r="AW190" s="22"/>
      <c r="AX190" s="22"/>
      <c r="AY190" s="22"/>
      <c r="AZ190" s="22"/>
      <c r="BA190" s="22"/>
      <c r="BB190" s="22"/>
      <c r="BC190" s="22"/>
      <c r="BD190" s="22"/>
      <c r="BE190" s="22"/>
      <c r="BF190" s="22"/>
      <c r="BG190" s="22"/>
      <c r="BH190" s="22"/>
      <c r="BI190" s="22"/>
      <c r="BJ190" s="22"/>
      <c r="BK190" s="6"/>
      <c r="BL190" s="9">
        <f t="shared" ref="BL190:BL195" si="39">SUM(T190:BK190)</f>
        <v>39986.36</v>
      </c>
      <c r="BM190" s="6"/>
      <c r="BN190" s="22"/>
      <c r="BO190" s="6"/>
      <c r="BP190" s="6">
        <f>IF(+R190-BL190+BN190&gt;0,R190-BL190+BN190,0)</f>
        <v>0</v>
      </c>
      <c r="BR190" s="9">
        <f t="shared" ref="BR190:BR195" si="40">+BP190+BL190</f>
        <v>39986.36</v>
      </c>
      <c r="BT190" s="9">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33</v>
      </c>
      <c r="C191"/>
      <c r="D191"/>
      <c r="E191"/>
      <c r="F191"/>
      <c r="G191"/>
      <c r="H191"/>
      <c r="I191"/>
      <c r="J191" s="49"/>
      <c r="K191"/>
      <c r="L191" s="134" t="s">
        <v>203</v>
      </c>
      <c r="M191" s="6"/>
      <c r="N191" s="6">
        <v>0</v>
      </c>
      <c r="O191" s="6"/>
      <c r="P191" s="6">
        <v>30000</v>
      </c>
      <c r="Q191" s="6"/>
      <c r="R191" s="9"/>
      <c r="S191" s="6"/>
      <c r="T191" s="22"/>
      <c r="U191" s="6"/>
      <c r="V191" s="22">
        <v>1342.96</v>
      </c>
      <c r="X191" s="22">
        <f>24234.66+4681.29</f>
        <v>28915.95</v>
      </c>
      <c r="Z191" s="22">
        <f>18740.38+287.37+30.79+269.69</f>
        <v>19328.23</v>
      </c>
      <c r="AB191" s="22">
        <v>567.63</v>
      </c>
      <c r="AD191" s="22">
        <f>558.5+6000+11878.22+34085.81+15896.29</f>
        <v>68418.820000000007</v>
      </c>
      <c r="AF191" s="22"/>
      <c r="AH191" s="22"/>
      <c r="AI191"/>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 t="shared" si="39"/>
        <v>118573.59</v>
      </c>
      <c r="BM191" s="6"/>
      <c r="BN191" s="22"/>
      <c r="BO191" s="6"/>
      <c r="BP191" s="6">
        <f>IF(+R191-BL191+BN191&gt;0,R191-BL191+BN191,0)</f>
        <v>0</v>
      </c>
      <c r="BR191" s="9">
        <f t="shared" si="40"/>
        <v>118573.59</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35</v>
      </c>
      <c r="C192"/>
      <c r="D192"/>
      <c r="E192"/>
      <c r="F192"/>
      <c r="G192"/>
      <c r="H192"/>
      <c r="I192"/>
      <c r="J192" s="49"/>
      <c r="K192"/>
      <c r="L192" s="134" t="s">
        <v>203</v>
      </c>
      <c r="M192" s="6"/>
      <c r="N192" s="6">
        <v>0</v>
      </c>
      <c r="O192" s="6"/>
      <c r="P192" s="6">
        <v>35000</v>
      </c>
      <c r="Q192" s="6"/>
      <c r="R192" s="9"/>
      <c r="S192" s="6"/>
      <c r="T192" s="22">
        <v>52133</v>
      </c>
      <c r="U192" s="6"/>
      <c r="V192" s="22"/>
      <c r="X192" s="22"/>
      <c r="Z192" s="22"/>
      <c r="AB192" s="22">
        <v>1331.32</v>
      </c>
      <c r="AD192" s="22"/>
      <c r="AF192" s="22"/>
      <c r="AH192" s="22"/>
      <c r="AI19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 t="shared" si="39"/>
        <v>53464.32</v>
      </c>
      <c r="BM192" s="6"/>
      <c r="BN192" s="22"/>
      <c r="BO192" s="6"/>
      <c r="BP192" s="6">
        <f>IF(+R192-BL192+BN192&gt;0,R192-BL192+BN192,0)</f>
        <v>0</v>
      </c>
      <c r="BR192" s="9">
        <f t="shared" si="40"/>
        <v>53464.32</v>
      </c>
      <c r="BT192" s="9">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 r="A193" s="21" t="s">
        <v>198</v>
      </c>
      <c r="C193"/>
      <c r="D193"/>
      <c r="E193"/>
      <c r="F193"/>
      <c r="G193"/>
      <c r="H193"/>
      <c r="I193"/>
      <c r="J193" s="49"/>
      <c r="K193"/>
      <c r="L193" s="134" t="s">
        <v>203</v>
      </c>
      <c r="M193" s="6"/>
      <c r="N193" s="6">
        <v>0</v>
      </c>
      <c r="O193" s="6"/>
      <c r="P193" s="6">
        <v>20000</v>
      </c>
      <c r="Q193" s="6"/>
      <c r="R193" s="9"/>
      <c r="S193" s="6"/>
      <c r="T193" s="22">
        <v>87500</v>
      </c>
      <c r="U193" s="6"/>
      <c r="V193" s="22"/>
      <c r="X193" s="22"/>
      <c r="Z193" s="22"/>
      <c r="AB193" s="22"/>
      <c r="AD193" s="22"/>
      <c r="AF193" s="22"/>
      <c r="AH193" s="22"/>
      <c r="AI193"/>
      <c r="AJ193" s="22"/>
      <c r="AL193" s="22"/>
      <c r="AN193" s="22"/>
      <c r="AP193" s="22"/>
      <c r="AR193" s="22"/>
      <c r="AT193" s="22"/>
      <c r="AU193" s="22"/>
      <c r="AV193" s="22"/>
      <c r="AW193" s="22"/>
      <c r="AX193" s="22">
        <v>15000</v>
      </c>
      <c r="AY193" s="22"/>
      <c r="AZ193" s="22"/>
      <c r="BA193" s="22"/>
      <c r="BB193" s="22"/>
      <c r="BC193" s="22"/>
      <c r="BD193" s="22"/>
      <c r="BE193" s="22"/>
      <c r="BF193" s="22"/>
      <c r="BG193" s="22"/>
      <c r="BH193" s="22"/>
      <c r="BI193" s="22"/>
      <c r="BJ193" s="22"/>
      <c r="BK193" s="6"/>
      <c r="BL193" s="9">
        <f t="shared" si="39"/>
        <v>102500</v>
      </c>
      <c r="BM193" s="6"/>
      <c r="BN193" s="22"/>
      <c r="BO193" s="6"/>
      <c r="BP193" s="6">
        <f>IF(+R193-BL193+BN193&gt;0,R193-BL193+BN193,0)</f>
        <v>0</v>
      </c>
      <c r="BR193" s="9">
        <f t="shared" si="40"/>
        <v>102500</v>
      </c>
      <c r="BT193" s="9">
        <v>0</v>
      </c>
      <c r="BU193" s="6"/>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row>
    <row r="194" spans="1:122" customFormat="1">
      <c r="BP194" s="6">
        <f>IF(+R194-BL194+BN194&gt;0,R194-BL194+BN194,0)</f>
        <v>0</v>
      </c>
    </row>
    <row r="195" spans="1:122" s="105" customFormat="1" ht="13.5" thickBot="1">
      <c r="A195" s="128" t="s">
        <v>197</v>
      </c>
      <c r="B195" s="54"/>
      <c r="J195" s="158"/>
      <c r="L195" s="144"/>
      <c r="M195" s="13"/>
      <c r="N195" s="121">
        <f>SUM(N190:N194)</f>
        <v>0</v>
      </c>
      <c r="O195" s="13"/>
      <c r="P195" s="121">
        <f>SUM(P190:P194)</f>
        <v>305000</v>
      </c>
      <c r="Q195" s="13"/>
      <c r="R195" s="121">
        <f>SUM(R190:R194)</f>
        <v>0</v>
      </c>
      <c r="S195" s="13"/>
      <c r="T195" s="121">
        <f>SUM(T190:T194)</f>
        <v>139633</v>
      </c>
      <c r="U195" s="120"/>
      <c r="V195" s="121">
        <f>SUM(V190:V194)</f>
        <v>1342.96</v>
      </c>
      <c r="W195" s="120"/>
      <c r="X195" s="121">
        <f>SUM(X190:X194)</f>
        <v>48644.880000000005</v>
      </c>
      <c r="Y195" s="120"/>
      <c r="Z195" s="121">
        <f>SUM(Z190:Z194)</f>
        <v>19328.23</v>
      </c>
      <c r="AA195" s="121">
        <f>SUM(AA190:AA194)</f>
        <v>0</v>
      </c>
      <c r="AB195" s="121">
        <f>SUM(AB190:AB194)</f>
        <v>1898.9499999999998</v>
      </c>
      <c r="AC195" s="121">
        <f>SUM(AC190:AC194)</f>
        <v>0</v>
      </c>
      <c r="AD195" s="121">
        <f>SUM(AD190:AD194)</f>
        <v>81117.05</v>
      </c>
      <c r="AE195" s="121"/>
      <c r="AF195" s="121">
        <f t="shared" ref="AF195:BK195" si="41">SUM(AF190:AF194)</f>
        <v>0</v>
      </c>
      <c r="AG195" s="121"/>
      <c r="AH195" s="121">
        <f t="shared" si="41"/>
        <v>5725.4500000000007</v>
      </c>
      <c r="AI195" s="121"/>
      <c r="AJ195" s="121">
        <f t="shared" si="41"/>
        <v>0</v>
      </c>
      <c r="AK195"/>
      <c r="AL195" s="121">
        <f t="shared" si="41"/>
        <v>591.45000000000005</v>
      </c>
      <c r="AM195"/>
      <c r="AN195" s="121">
        <f t="shared" si="41"/>
        <v>0</v>
      </c>
      <c r="AO195" s="121">
        <f t="shared" si="41"/>
        <v>0</v>
      </c>
      <c r="AP195" s="121">
        <f t="shared" si="41"/>
        <v>0</v>
      </c>
      <c r="AQ195" s="121">
        <f t="shared" si="41"/>
        <v>0</v>
      </c>
      <c r="AR195" s="121">
        <f t="shared" si="41"/>
        <v>1242.3</v>
      </c>
      <c r="AS195" s="121">
        <f t="shared" si="41"/>
        <v>0</v>
      </c>
      <c r="AT195" s="121">
        <f t="shared" si="41"/>
        <v>0</v>
      </c>
      <c r="AU195" s="121">
        <f t="shared" si="41"/>
        <v>0</v>
      </c>
      <c r="AV195" s="121">
        <f t="shared" si="41"/>
        <v>0</v>
      </c>
      <c r="AW195" s="121">
        <f t="shared" si="41"/>
        <v>0</v>
      </c>
      <c r="AX195" s="121">
        <f t="shared" si="41"/>
        <v>15000</v>
      </c>
      <c r="AY195" s="121">
        <f t="shared" si="41"/>
        <v>0</v>
      </c>
      <c r="AZ195" s="121">
        <f t="shared" si="41"/>
        <v>0</v>
      </c>
      <c r="BA195" s="121">
        <f t="shared" si="41"/>
        <v>0</v>
      </c>
      <c r="BB195" s="121">
        <f t="shared" si="41"/>
        <v>0</v>
      </c>
      <c r="BC195" s="121">
        <f t="shared" si="41"/>
        <v>0</v>
      </c>
      <c r="BD195" s="121">
        <f t="shared" si="41"/>
        <v>0</v>
      </c>
      <c r="BE195" s="121">
        <f t="shared" si="41"/>
        <v>0</v>
      </c>
      <c r="BF195" s="121">
        <f t="shared" si="41"/>
        <v>0</v>
      </c>
      <c r="BG195" s="121">
        <f t="shared" si="41"/>
        <v>0</v>
      </c>
      <c r="BH195" s="121">
        <f t="shared" si="41"/>
        <v>0</v>
      </c>
      <c r="BI195" s="121">
        <f t="shared" si="41"/>
        <v>0</v>
      </c>
      <c r="BJ195" s="121">
        <f t="shared" si="41"/>
        <v>0</v>
      </c>
      <c r="BK195" s="121">
        <f t="shared" si="41"/>
        <v>0</v>
      </c>
      <c r="BL195" s="121">
        <f t="shared" si="39"/>
        <v>314524.27</v>
      </c>
      <c r="BM195" s="13"/>
      <c r="BN195" s="121"/>
      <c r="BO195" s="13"/>
      <c r="BP195" s="121">
        <f>SUM(BP189:BP194)</f>
        <v>0</v>
      </c>
      <c r="BQ195" s="13"/>
      <c r="BR195" s="121">
        <f t="shared" si="40"/>
        <v>314524.27</v>
      </c>
      <c r="BS195" s="13"/>
      <c r="BT195" s="121">
        <v>0</v>
      </c>
      <c r="BU195" s="120"/>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ht="13.5" thickTop="1">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58"/>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9"/>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c r="C198"/>
      <c r="D198"/>
      <c r="E198"/>
      <c r="F198"/>
      <c r="G198"/>
      <c r="H198"/>
      <c r="I198"/>
      <c r="J198" s="49"/>
      <c r="K198"/>
      <c r="L198" s="134"/>
      <c r="M198" s="6"/>
      <c r="O198" s="6"/>
      <c r="Q198" s="6"/>
      <c r="S198" s="6"/>
      <c r="T198" s="22"/>
      <c r="U198" s="6"/>
      <c r="V198" s="22"/>
      <c r="X198" s="22"/>
      <c r="Z198" s="22"/>
      <c r="AB198" s="22"/>
      <c r="AD198" s="22"/>
      <c r="AF198" s="22"/>
      <c r="AH198" s="22"/>
      <c r="AJ198" s="22"/>
      <c r="AL198" s="22"/>
      <c r="AN198" s="22"/>
      <c r="AP198" s="22"/>
      <c r="AR198" s="22"/>
      <c r="AT198" s="22"/>
      <c r="AU198" s="22"/>
      <c r="AV198" s="22"/>
      <c r="AW198" s="22"/>
      <c r="AX198" s="22"/>
      <c r="AY198" s="22"/>
      <c r="AZ198" s="22"/>
      <c r="BA198" s="22"/>
      <c r="BB198" s="22"/>
      <c r="BC198" s="22"/>
      <c r="BD198" s="22"/>
      <c r="BE198" s="22"/>
      <c r="BF198" s="22"/>
      <c r="BG198" s="22"/>
      <c r="BH198" s="22"/>
      <c r="BI198" s="22"/>
      <c r="BJ198" s="22"/>
      <c r="BK198" s="6"/>
      <c r="BL198" s="22"/>
      <c r="BM198" s="6"/>
      <c r="BN198" s="22"/>
      <c r="BO198" s="6"/>
      <c r="BR198" s="22"/>
      <c r="BU198" s="6"/>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533</v>
      </c>
      <c r="C200" s="119"/>
      <c r="D200" s="119"/>
      <c r="E200" s="119"/>
      <c r="F200" s="119"/>
      <c r="G200" s="119"/>
      <c r="H200" s="119"/>
      <c r="I200" s="119"/>
      <c r="J200" s="161"/>
      <c r="K200" s="119"/>
      <c r="L200" s="148"/>
      <c r="M200" s="133"/>
      <c r="N200" s="121" t="e">
        <f>#REF!+N197</f>
        <v>#REF!</v>
      </c>
      <c r="O200" s="121"/>
      <c r="P200" s="121" t="e">
        <f>#REF!+P197</f>
        <v>#REF!</v>
      </c>
      <c r="Q200" s="121"/>
      <c r="R200" s="121">
        <f>R186+R195</f>
        <v>239612890.75</v>
      </c>
      <c r="S200" s="121">
        <f t="shared" ref="S200:BT200" si="42">S186+S195</f>
        <v>0</v>
      </c>
      <c r="T200" s="121">
        <f t="shared" si="42"/>
        <v>7279633</v>
      </c>
      <c r="U200" s="121">
        <f t="shared" si="42"/>
        <v>0</v>
      </c>
      <c r="V200" s="121">
        <f t="shared" si="42"/>
        <v>1298988.96</v>
      </c>
      <c r="W200" s="121">
        <f t="shared" si="42"/>
        <v>0</v>
      </c>
      <c r="X200" s="121">
        <f t="shared" si="42"/>
        <v>33151937.879999999</v>
      </c>
      <c r="Y200" s="121">
        <f t="shared" si="42"/>
        <v>0</v>
      </c>
      <c r="Z200" s="121">
        <f t="shared" si="42"/>
        <v>290030.82999999996</v>
      </c>
      <c r="AA200" s="121">
        <f t="shared" si="42"/>
        <v>0</v>
      </c>
      <c r="AB200" s="121">
        <f t="shared" si="42"/>
        <v>1733894.8599999999</v>
      </c>
      <c r="AC200" s="121">
        <f t="shared" si="42"/>
        <v>0</v>
      </c>
      <c r="AD200" s="121">
        <f t="shared" si="42"/>
        <v>18881456.879999999</v>
      </c>
      <c r="AE200" s="121"/>
      <c r="AF200" s="121">
        <f t="shared" si="42"/>
        <v>8167701.1408541668</v>
      </c>
      <c r="AG200" s="121"/>
      <c r="AH200" s="121">
        <f t="shared" si="42"/>
        <v>8854945.3874601815</v>
      </c>
      <c r="AI200" s="121"/>
      <c r="AJ200" s="121">
        <f t="shared" ca="1" si="42"/>
        <v>6988530.1253887061</v>
      </c>
      <c r="AK200"/>
      <c r="AL200" s="121">
        <f t="shared" ca="1" si="42"/>
        <v>7789829.6057027699</v>
      </c>
      <c r="AM200"/>
      <c r="AN200" s="121">
        <f t="shared" si="42"/>
        <v>11652992.180000002</v>
      </c>
      <c r="AO200" s="121">
        <f t="shared" si="42"/>
        <v>0</v>
      </c>
      <c r="AP200" s="121">
        <f t="shared" ca="1" si="42"/>
        <v>17627423.913877048</v>
      </c>
      <c r="AQ200" s="121">
        <f t="shared" si="42"/>
        <v>0</v>
      </c>
      <c r="AR200" s="121">
        <f t="shared" ca="1" si="42"/>
        <v>39305575.995295264</v>
      </c>
      <c r="AS200" s="121">
        <f t="shared" si="42"/>
        <v>0</v>
      </c>
      <c r="AT200" s="121">
        <f t="shared" ca="1" si="42"/>
        <v>2943898.2559045074</v>
      </c>
      <c r="AU200" s="121">
        <f t="shared" si="42"/>
        <v>0</v>
      </c>
      <c r="AV200" s="121">
        <f t="shared" ca="1" si="42"/>
        <v>29327061.258771211</v>
      </c>
      <c r="AW200" s="121">
        <f t="shared" si="42"/>
        <v>0</v>
      </c>
      <c r="AX200" s="121">
        <f t="shared" ca="1" si="42"/>
        <v>23471763.284490943</v>
      </c>
      <c r="AY200" s="121">
        <f t="shared" si="42"/>
        <v>0</v>
      </c>
      <c r="AZ200" s="121">
        <f t="shared" si="42"/>
        <v>20522879.530000001</v>
      </c>
      <c r="BA200" s="121">
        <f t="shared" si="42"/>
        <v>0</v>
      </c>
      <c r="BB200" s="121">
        <f t="shared" si="42"/>
        <v>0</v>
      </c>
      <c r="BC200" s="121">
        <f t="shared" si="42"/>
        <v>0</v>
      </c>
      <c r="BD200" s="121">
        <f t="shared" si="42"/>
        <v>0</v>
      </c>
      <c r="BE200" s="121">
        <f t="shared" si="42"/>
        <v>0</v>
      </c>
      <c r="BF200" s="121">
        <f t="shared" si="42"/>
        <v>0</v>
      </c>
      <c r="BG200" s="121">
        <f t="shared" si="42"/>
        <v>0</v>
      </c>
      <c r="BH200" s="121">
        <f t="shared" si="42"/>
        <v>0</v>
      </c>
      <c r="BI200" s="121">
        <f t="shared" si="42"/>
        <v>0</v>
      </c>
      <c r="BJ200" s="121">
        <f t="shared" si="42"/>
        <v>0</v>
      </c>
      <c r="BK200" s="121">
        <f t="shared" si="42"/>
        <v>0</v>
      </c>
      <c r="BL200" s="121">
        <f t="shared" ca="1" si="42"/>
        <v>239288543.0877448</v>
      </c>
      <c r="BM200" s="121">
        <f t="shared" si="42"/>
        <v>2030320</v>
      </c>
      <c r="BN200" s="121">
        <f t="shared" si="42"/>
        <v>29809740</v>
      </c>
      <c r="BO200" s="121">
        <f t="shared" si="42"/>
        <v>2030320</v>
      </c>
      <c r="BP200" s="121">
        <f t="shared" ca="1" si="42"/>
        <v>30448611.932255208</v>
      </c>
      <c r="BQ200" s="121">
        <f t="shared" si="42"/>
        <v>2030320</v>
      </c>
      <c r="BR200" s="121">
        <f t="shared" ca="1" si="42"/>
        <v>257413222.44923759</v>
      </c>
      <c r="BS200" s="121">
        <f t="shared" si="42"/>
        <v>2030320</v>
      </c>
      <c r="BT200" s="121">
        <f t="shared" ca="1" si="42"/>
        <v>-31577859.919237576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 right="0" top="0.51" bottom="0.25" header="0" footer="0"/>
  <pageSetup scale="40" fitToWidth="2" fitToHeight="2" orientation="portrait"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T269"/>
  <sheetViews>
    <sheetView zoomScale="85" zoomScaleNormal="75" workbookViewId="0">
      <pane xSplit="19" ySplit="8" topLeftCell="AO203" activePane="bottomRight" state="frozen"/>
      <selection activeCell="K27" sqref="K27"/>
      <selection pane="topRight" activeCell="K27" sqref="K27"/>
      <selection pane="bottomLeft" activeCell="K27" sqref="K27"/>
      <selection pane="bottomRight" activeCell="K27" sqref="K27"/>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140625" style="6" customWidth="1"/>
    <col min="19" max="19" width="2.42578125" style="4" hidden="1" customWidth="1"/>
    <col min="20" max="20" width="19.140625" style="65" hidden="1" customWidth="1"/>
    <col min="21" max="21" width="0.85546875" style="97" hidden="1" customWidth="1"/>
    <col min="22" max="22" width="17.85546875" style="65" hidden="1" customWidth="1"/>
    <col min="23" max="23" width="0.85546875" style="6" hidden="1" customWidth="1"/>
    <col min="24" max="24" width="0.140625" style="65" hidden="1" customWidth="1"/>
    <col min="25" max="25" width="0.85546875" style="6" hidden="1" customWidth="1"/>
    <col min="26" max="26" width="17.85546875" style="65" hidden="1" customWidth="1"/>
    <col min="27" max="27" width="0.85546875" style="6" hidden="1" customWidth="1"/>
    <col min="28" max="28" width="0.140625"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2" style="6" hidden="1" customWidth="1"/>
    <col min="36" max="36" width="17.85546875" style="6" hidden="1" customWidth="1"/>
    <col min="37" max="37" width="0.85546875" style="6" hidden="1" customWidth="1"/>
    <col min="38" max="38" width="17.85546875" style="6" hidden="1" customWidth="1"/>
    <col min="39" max="39" width="0.85546875" style="6" hidden="1" customWidth="1"/>
    <col min="40" max="40" width="17.85546875" style="6" hidden="1" customWidth="1"/>
    <col min="41" max="41" width="0.85546875" style="6"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0.14062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6"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bestFit="1"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customWidth="1"/>
    <col min="77" max="16384" width="9.140625" style="4"/>
  </cols>
  <sheetData>
    <row r="1" spans="1:76" s="18" customFormat="1" ht="15.75">
      <c r="A1" s="66" t="str">
        <f ca="1">+Summary!A1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 ca="1">+Summary!A2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- 050300.xls]Wilton</v>
      </c>
    </row>
    <row r="3" spans="1:76" s="18" customFormat="1" ht="15.75">
      <c r="A3" s="99" t="s">
        <v>193</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36651.54237210648</v>
      </c>
      <c r="BT3" s="23"/>
      <c r="BV3" s="78" t="str">
        <f ca="1">Summary!A5</f>
        <v>Revision # 56</v>
      </c>
    </row>
    <row r="4" spans="1:76" s="18" customFormat="1" ht="15.75">
      <c r="A4" s="94"/>
      <c r="B4" s="19">
        <f ca="1">Summary!C13</f>
        <v>509</v>
      </c>
      <c r="C4"/>
      <c r="G4" s="67"/>
      <c r="J4" s="478"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287</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e">
        <f ca="1">+Summary!#REF!</f>
        <v>#REF!</v>
      </c>
      <c r="O7" s="129"/>
      <c r="P7" s="69"/>
      <c r="R7" s="82" t="str">
        <f ca="1">+Summary!E9</f>
        <v>as of 7/22/99</v>
      </c>
      <c r="T7" s="82" t="str">
        <f ca="1">+Summary!$O$4</f>
        <v xml:space="preserve"> As of 4/28/00</v>
      </c>
      <c r="U7" s="96"/>
      <c r="V7" s="82" t="str">
        <f ca="1">+Summary!$O$4</f>
        <v xml:space="preserve"> As of 4/28/00</v>
      </c>
      <c r="W7" s="69"/>
      <c r="X7" s="82" t="str">
        <f ca="1">+Summary!$O$4</f>
        <v xml:space="preserve"> As of 4/28/00</v>
      </c>
      <c r="Y7" s="69"/>
      <c r="Z7" s="82" t="str">
        <f ca="1">+Summary!$O$4</f>
        <v xml:space="preserve"> As of 4/28/00</v>
      </c>
      <c r="AA7" s="69"/>
      <c r="AB7" s="82" t="str">
        <f ca="1">+Summary!$O$4</f>
        <v xml:space="preserve"> As of 4/28/00</v>
      </c>
      <c r="AC7" s="69"/>
      <c r="AD7" s="82" t="str">
        <f ca="1">+Summary!$O$4</f>
        <v xml:space="preserve"> As of 4/28/00</v>
      </c>
      <c r="AE7" s="69"/>
      <c r="AF7" s="82" t="str">
        <f ca="1">+Summary!$O$4</f>
        <v xml:space="preserve"> As of 4/28/00</v>
      </c>
      <c r="AG7" s="69"/>
      <c r="AH7" s="82" t="str">
        <f ca="1">+Summary!$O$4</f>
        <v xml:space="preserve"> As of 4/28/00</v>
      </c>
      <c r="AI7" s="69"/>
      <c r="AJ7" s="82" t="str">
        <f ca="1">+Summary!$O$4</f>
        <v xml:space="preserve"> As of 4/28/00</v>
      </c>
      <c r="AK7" s="69"/>
      <c r="AL7" s="82" t="str">
        <f ca="1">+Summary!$O$4</f>
        <v xml:space="preserve"> As of 4/28/00</v>
      </c>
      <c r="AM7" s="69"/>
      <c r="AN7" s="82" t="str">
        <f ca="1">+Summary!$O$4</f>
        <v xml:space="preserve"> As of 4/28/00</v>
      </c>
      <c r="AO7" s="69"/>
      <c r="AP7" s="82" t="str">
        <f ca="1">+Summary!$O$4</f>
        <v xml:space="preserve"> As of 4/28/00</v>
      </c>
      <c r="AQ7" s="69"/>
      <c r="AR7" s="82" t="str">
        <f ca="1">+Summary!$O$4</f>
        <v xml:space="preserve"> As of 4/28/00</v>
      </c>
      <c r="AS7" s="69"/>
      <c r="AT7" s="82" t="str">
        <f ca="1">+Summary!$O$4</f>
        <v xml:space="preserve"> As of 4/28/00</v>
      </c>
      <c r="AU7" s="69"/>
      <c r="AV7" s="82" t="str">
        <f ca="1">+Summary!$O$4</f>
        <v xml:space="preserve"> As of 4/28/00</v>
      </c>
      <c r="AW7" s="82"/>
      <c r="AX7" s="82" t="str">
        <f ca="1">+Summary!$O$4</f>
        <v xml:space="preserve"> As of 4/28/00</v>
      </c>
      <c r="AY7" s="82"/>
      <c r="AZ7" s="82" t="str">
        <f ca="1">+Summary!$O$4</f>
        <v xml:space="preserve"> As of 4/28/00</v>
      </c>
      <c r="BA7" s="82"/>
      <c r="BB7" s="82" t="str">
        <f ca="1">+Summary!$O$4</f>
        <v xml:space="preserve"> As of 4/28/00</v>
      </c>
      <c r="BC7" s="82"/>
      <c r="BD7" s="82" t="str">
        <f ca="1">+Summary!$O$4</f>
        <v xml:space="preserve"> As of 4/28/00</v>
      </c>
      <c r="BE7" s="82"/>
      <c r="BF7" s="82" t="str">
        <f ca="1">+Summary!$O$4</f>
        <v xml:space="preserve"> As of 4/28/00</v>
      </c>
      <c r="BG7" s="82"/>
      <c r="BH7" s="82" t="str">
        <f ca="1">+Summary!$O$4</f>
        <v xml:space="preserve"> As of 4/28/00</v>
      </c>
      <c r="BI7" s="82"/>
      <c r="BJ7" s="82" t="str">
        <f ca="1">+Summary!$O$4</f>
        <v xml:space="preserve"> As of 4/28/00</v>
      </c>
      <c r="BK7" s="82"/>
      <c r="BL7" s="82" t="str">
        <f ca="1">+Summary!$O$4</f>
        <v xml:space="preserve"> As of 4/28/00</v>
      </c>
      <c r="BN7" s="71" t="str">
        <f ca="1">+Summary!$O$4</f>
        <v xml:space="preserve"> As of 4/28/00</v>
      </c>
      <c r="BP7" s="64" t="str">
        <f ca="1">+Summary!$O$4</f>
        <v xml:space="preserve"> As of 4/28/00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0</v>
      </c>
      <c r="S9" s="6"/>
      <c r="T9" s="6">
        <f>6170900+3056200+2997700</f>
        <v>12224800</v>
      </c>
      <c r="U9" s="6"/>
      <c r="V9" s="6">
        <f>31276400</f>
        <v>31276400</v>
      </c>
      <c r="X9" s="6">
        <f>3107550</f>
        <v>3107550</v>
      </c>
      <c r="Z9" s="6">
        <v>0</v>
      </c>
      <c r="AB9" s="6">
        <v>3107250</v>
      </c>
      <c r="AD9" s="6">
        <f>6240218.71</f>
        <v>6240218.71</v>
      </c>
      <c r="AF9" s="6">
        <v>0</v>
      </c>
      <c r="AH9" s="6">
        <v>0</v>
      </c>
      <c r="AJ9" s="6">
        <v>393210.9</v>
      </c>
      <c r="AL9" s="6">
        <v>-56349430</v>
      </c>
      <c r="AN9" s="6">
        <v>0</v>
      </c>
      <c r="AP9" s="6">
        <v>0</v>
      </c>
      <c r="AR9" s="6">
        <v>0</v>
      </c>
      <c r="AT9" s="6">
        <v>0</v>
      </c>
      <c r="AV9" s="6">
        <v>0</v>
      </c>
      <c r="AX9" s="6">
        <v>0</v>
      </c>
      <c r="AZ9" s="6">
        <v>0</v>
      </c>
      <c r="BB9" s="6">
        <v>0</v>
      </c>
      <c r="BD9" s="6">
        <v>0</v>
      </c>
      <c r="BF9" s="6">
        <v>0</v>
      </c>
      <c r="BH9" s="6">
        <v>0</v>
      </c>
      <c r="BJ9" s="6">
        <v>0</v>
      </c>
      <c r="BL9" s="6">
        <v>0</v>
      </c>
      <c r="BM9" s="6"/>
      <c r="BN9" s="6">
        <f t="shared" ref="BN9:BN14" si="0">SUM(T9:BM9)</f>
        <v>-0.39000000059604645</v>
      </c>
      <c r="BO9" s="6"/>
      <c r="BP9" s="6">
        <v>0</v>
      </c>
      <c r="BQ9" s="6"/>
      <c r="BR9" s="6">
        <f>IF(+R9-BN9+BP9&gt;0,R9-BN9+BP9,0)</f>
        <v>0.39000000059604645</v>
      </c>
      <c r="BT9" s="6">
        <f t="shared" ref="BT9:BT14" si="1">+BN9+BR9</f>
        <v>0</v>
      </c>
      <c r="BV9" s="6">
        <f t="shared" ref="BV9:BV15" si="2">+R9-BT9</f>
        <v>0</v>
      </c>
      <c r="BW9" s="6"/>
    </row>
    <row r="10" spans="1:76">
      <c r="A10" s="93"/>
      <c r="B10" s="17" t="s">
        <v>192</v>
      </c>
      <c r="C10"/>
      <c r="D10"/>
      <c r="E10"/>
      <c r="F10"/>
      <c r="G10"/>
      <c r="H10"/>
      <c r="I10"/>
      <c r="J10" s="49" t="s">
        <v>0</v>
      </c>
      <c r="K10"/>
      <c r="L10" s="134" t="s">
        <v>202</v>
      </c>
      <c r="M10" s="6"/>
      <c r="N10" s="6">
        <v>0</v>
      </c>
      <c r="O10" s="6"/>
      <c r="P10" s="6">
        <v>0</v>
      </c>
      <c r="Q10" s="6"/>
      <c r="R10" s="6">
        <v>0</v>
      </c>
      <c r="S10" s="6"/>
      <c r="T10" s="6">
        <f>6237000+3030000+7884750</f>
        <v>17151750</v>
      </c>
      <c r="U10" s="6"/>
      <c r="V10" s="6">
        <v>12474000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SUM(T10:BM10)</f>
        <v>0</v>
      </c>
      <c r="BO10" s="6"/>
      <c r="BP10" s="6">
        <v>0</v>
      </c>
      <c r="BQ10" s="6"/>
      <c r="BR10" s="6">
        <f t="shared" ref="BR10:BR15" si="3">IF(+R10-BN10+BP10&gt;0,R10-BN10+BP10,0)</f>
        <v>0</v>
      </c>
      <c r="BT10" s="6">
        <f t="shared" si="1"/>
        <v>0</v>
      </c>
      <c r="BV10" s="6">
        <f t="shared" si="2"/>
        <v>0</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3"/>
        <v>0</v>
      </c>
      <c r="BT11" s="6">
        <f t="shared" si="1"/>
        <v>0</v>
      </c>
      <c r="BV11" s="6">
        <f t="shared" si="2"/>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3"/>
        <v>0</v>
      </c>
      <c r="BT12" s="6">
        <f t="shared" si="1"/>
        <v>0</v>
      </c>
      <c r="BV12" s="6">
        <f t="shared" si="2"/>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3"/>
        <v>0</v>
      </c>
      <c r="BT13" s="6">
        <f t="shared" si="1"/>
        <v>0</v>
      </c>
      <c r="BV13" s="6">
        <f t="shared" si="2"/>
        <v>0</v>
      </c>
      <c r="BW13" s="6"/>
    </row>
    <row r="14" spans="1:76">
      <c r="A14" s="93"/>
      <c r="B14" s="17" t="s">
        <v>121</v>
      </c>
      <c r="C14"/>
      <c r="D14"/>
      <c r="E14"/>
      <c r="F14"/>
      <c r="G14"/>
      <c r="H14"/>
      <c r="I14"/>
      <c r="J14" s="49" t="s">
        <v>0</v>
      </c>
      <c r="K14"/>
      <c r="L14" s="134" t="s">
        <v>202</v>
      </c>
      <c r="M14" s="6"/>
      <c r="N14" s="6">
        <v>93330000</v>
      </c>
      <c r="O14" s="6"/>
      <c r="P14" s="6">
        <v>0</v>
      </c>
      <c r="Q14" s="6"/>
      <c r="R14" s="6">
        <v>0</v>
      </c>
      <c r="S14" s="6"/>
      <c r="T14" s="6">
        <v>0</v>
      </c>
      <c r="U14" s="6"/>
      <c r="V14" s="6">
        <v>0</v>
      </c>
      <c r="X14" s="6">
        <v>0</v>
      </c>
      <c r="Z14" s="6">
        <v>0</v>
      </c>
      <c r="AB14" s="6">
        <v>0</v>
      </c>
      <c r="AD14" s="6">
        <v>0</v>
      </c>
      <c r="AF14" s="6">
        <v>0</v>
      </c>
      <c r="AH14" s="6">
        <v>107199.47</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0.47000000000116415</v>
      </c>
      <c r="BO14" s="6"/>
      <c r="BP14" s="6">
        <v>0</v>
      </c>
      <c r="BQ14" s="6"/>
      <c r="BR14" s="6">
        <f t="shared" si="3"/>
        <v>0</v>
      </c>
      <c r="BT14" s="6">
        <f t="shared" si="1"/>
        <v>0.47000000000116415</v>
      </c>
      <c r="BV14" s="6">
        <f t="shared" si="2"/>
        <v>-0.47000000000116415</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3"/>
        <v>0</v>
      </c>
      <c r="BT15" s="12"/>
      <c r="BV15" s="6">
        <f t="shared" si="2"/>
        <v>0</v>
      </c>
      <c r="BW15" s="6"/>
    </row>
    <row r="16" spans="1:76">
      <c r="A16" s="93"/>
      <c r="B16" s="17" t="s">
        <v>195</v>
      </c>
      <c r="C16"/>
      <c r="D16"/>
      <c r="E16"/>
      <c r="F16"/>
      <c r="G16"/>
      <c r="H16"/>
      <c r="I16"/>
      <c r="J16" s="49"/>
      <c r="K16"/>
      <c r="L16" s="134"/>
      <c r="M16" s="6"/>
      <c r="N16" s="101">
        <f>SUM(N9:N15)</f>
        <v>93330000</v>
      </c>
      <c r="O16" s="6"/>
      <c r="P16" s="101">
        <f>SUM(P9:P15)</f>
        <v>0</v>
      </c>
      <c r="Q16" s="6"/>
      <c r="R16" s="101">
        <f>SUM(R9:R15)</f>
        <v>0</v>
      </c>
      <c r="S16" s="6"/>
      <c r="T16" s="101">
        <f>SUM(T9:T15)</f>
        <v>29376550</v>
      </c>
      <c r="U16" s="6"/>
      <c r="V16" s="101">
        <f>SUM(V9:V15)</f>
        <v>43750400</v>
      </c>
      <c r="X16" s="101">
        <f>SUM(X9:X15)</f>
        <v>3107550</v>
      </c>
      <c r="Z16" s="101">
        <f>SUM(Z9:Z15)</f>
        <v>0</v>
      </c>
      <c r="AB16" s="101">
        <f>SUM(AB9:AB15)</f>
        <v>3107250</v>
      </c>
      <c r="AD16" s="101">
        <f>SUM(AD9:AD15)</f>
        <v>6240218.71</v>
      </c>
      <c r="AF16" s="101">
        <f>SUM(AF9:AF15)</f>
        <v>0</v>
      </c>
      <c r="AH16" s="101">
        <f>SUM(AH9:AH15)</f>
        <v>107199.47</v>
      </c>
      <c r="AJ16" s="101">
        <f>SUM(AJ9:AJ15)</f>
        <v>393210.9</v>
      </c>
      <c r="AL16" s="101">
        <f>SUM(AL9:AL15)</f>
        <v>-86082379</v>
      </c>
      <c r="AM16" s="101"/>
      <c r="AN16" s="101">
        <f>SUM(AN9:AN15)</f>
        <v>0</v>
      </c>
      <c r="AP16" s="101">
        <f>SUM(AP9:AP15)</f>
        <v>0</v>
      </c>
      <c r="AR16" s="101">
        <f>SUM(AR9:AR15)</f>
        <v>0</v>
      </c>
      <c r="AT16" s="101">
        <f>SUM(AT9:AT15)</f>
        <v>0</v>
      </c>
      <c r="AV16" s="101">
        <f>SUM(AV9:AV15)</f>
        <v>0</v>
      </c>
      <c r="AW16" s="12"/>
      <c r="AX16" s="101">
        <f>SUM(AX9:AX15)</f>
        <v>0</v>
      </c>
      <c r="AY16" s="12"/>
      <c r="AZ16" s="101">
        <f>SUM(AZ9:AZ15)</f>
        <v>0</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7.9999999405117705E-2</v>
      </c>
      <c r="BO16" s="6"/>
      <c r="BP16" s="101">
        <f>SUM(BP9:BP15)</f>
        <v>0</v>
      </c>
      <c r="BQ16" s="6"/>
      <c r="BR16" s="101">
        <f>SUM(BR9:BR15)</f>
        <v>0.39000000059604645</v>
      </c>
      <c r="BT16" s="101">
        <f>SUM(BT9:BT15)</f>
        <v>0.47000000000116415</v>
      </c>
      <c r="BV16" s="101">
        <f>SUM(BV9:BV15)</f>
        <v>-0.47000000000116415</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 t="shared" ref="R18:R32" si="4">+N18+P18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 t="shared" ref="BN18:BN33" si="5">SUM(T18:BM18)</f>
        <v>0</v>
      </c>
      <c r="BO18" s="6"/>
      <c r="BP18" s="6">
        <v>0</v>
      </c>
      <c r="BQ18" s="6"/>
      <c r="BR18" s="6">
        <f>+R18-BN18+BP18</f>
        <v>0</v>
      </c>
      <c r="BT18" s="6">
        <f>+BN18+BR18</f>
        <v>0</v>
      </c>
      <c r="BV18" s="6">
        <f>+R18-BT18</f>
        <v>0</v>
      </c>
      <c r="BW18" s="6"/>
    </row>
    <row r="19" spans="1:75">
      <c r="A19" s="57"/>
      <c r="B19" s="17" t="s">
        <v>221</v>
      </c>
      <c r="C19"/>
      <c r="D19"/>
      <c r="E19"/>
      <c r="F19"/>
      <c r="G19"/>
      <c r="H19"/>
      <c r="I19"/>
      <c r="J19" s="49" t="s">
        <v>0</v>
      </c>
      <c r="K19"/>
      <c r="L19" s="134" t="s">
        <v>202</v>
      </c>
      <c r="M19" s="6"/>
      <c r="N19" s="6">
        <v>0</v>
      </c>
      <c r="O19" s="6"/>
      <c r="P19" s="6">
        <v>0</v>
      </c>
      <c r="Q19" s="6"/>
      <c r="R19" s="6">
        <v>0</v>
      </c>
      <c r="S19" s="6"/>
      <c r="T19" s="6">
        <v>0</v>
      </c>
      <c r="U19" s="6"/>
      <c r="V19" s="6">
        <v>0</v>
      </c>
      <c r="X19" s="6">
        <v>0</v>
      </c>
      <c r="Z19" s="6">
        <v>0</v>
      </c>
      <c r="AB19" s="6">
        <v>0</v>
      </c>
      <c r="AD19" s="6">
        <v>0</v>
      </c>
      <c r="AF19" s="6">
        <v>0</v>
      </c>
      <c r="AH19" s="6">
        <v>293460.55</v>
      </c>
      <c r="AJ19" s="6">
        <v>883701.65</v>
      </c>
      <c r="AL19" s="6">
        <v>-1177162</v>
      </c>
      <c r="AN19" s="6">
        <v>0</v>
      </c>
      <c r="AP19" s="6">
        <v>0</v>
      </c>
      <c r="AR19" s="6">
        <v>0</v>
      </c>
      <c r="AT19" s="6">
        <v>0</v>
      </c>
      <c r="AV19" s="6">
        <v>0</v>
      </c>
      <c r="AX19" s="6">
        <v>0</v>
      </c>
      <c r="AZ19" s="6">
        <v>0</v>
      </c>
      <c r="BB19" s="6">
        <v>0</v>
      </c>
      <c r="BD19" s="6">
        <v>0</v>
      </c>
      <c r="BF19" s="6">
        <v>0</v>
      </c>
      <c r="BH19" s="6">
        <v>0</v>
      </c>
      <c r="BJ19" s="6">
        <v>0</v>
      </c>
      <c r="BL19" s="6">
        <v>0</v>
      </c>
      <c r="BM19" s="6"/>
      <c r="BN19" s="6">
        <f t="shared" si="5"/>
        <v>0.19999999995343387</v>
      </c>
      <c r="BO19" s="6"/>
      <c r="BP19" s="6">
        <v>0</v>
      </c>
      <c r="BQ19" s="6"/>
      <c r="BR19" s="6">
        <f t="shared" ref="BR19:BR34" si="6">IF(+R19-BN19+BP19&gt;0,R19-BN19+BP19,0)</f>
        <v>0</v>
      </c>
      <c r="BT19" s="6">
        <f>+BN19+BR19</f>
        <v>0.19999999995343387</v>
      </c>
      <c r="BV19" s="6">
        <f>+R19-BT19</f>
        <v>-0.19999999995343387</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O20" s="6"/>
      <c r="BP20" s="6"/>
      <c r="BQ20" s="6"/>
      <c r="BR20" s="6">
        <f t="shared" si="6"/>
        <v>0</v>
      </c>
      <c r="BT20" s="6">
        <f t="shared" ref="BT20:BT34" si="7">+BN20+BR20</f>
        <v>0</v>
      </c>
      <c r="BV20" s="6">
        <f t="shared" ref="BV20:BV34" si="8">+R20-BT20</f>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O21" s="6"/>
      <c r="BP21" s="6"/>
      <c r="BQ21" s="6"/>
      <c r="BR21" s="6">
        <f t="shared" si="6"/>
        <v>0</v>
      </c>
      <c r="BT21" s="6">
        <f t="shared" si="7"/>
        <v>0</v>
      </c>
      <c r="BV21" s="6">
        <f t="shared" si="8"/>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O22" s="6"/>
      <c r="BP22" s="6"/>
      <c r="BQ22" s="6"/>
      <c r="BR22" s="6">
        <f t="shared" si="6"/>
        <v>0</v>
      </c>
      <c r="BT22" s="6">
        <f t="shared" si="7"/>
        <v>0</v>
      </c>
      <c r="BV22" s="6">
        <f t="shared" si="8"/>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O23" s="6"/>
      <c r="BP23" s="6"/>
      <c r="BQ23" s="6"/>
      <c r="BR23" s="6">
        <f t="shared" si="6"/>
        <v>0</v>
      </c>
      <c r="BT23" s="6">
        <f t="shared" si="7"/>
        <v>0</v>
      </c>
      <c r="BV23" s="6">
        <f t="shared" si="8"/>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O24" s="6"/>
      <c r="BP24" s="6"/>
      <c r="BQ24" s="6"/>
      <c r="BR24" s="6">
        <f t="shared" si="6"/>
        <v>0</v>
      </c>
      <c r="BT24" s="6">
        <f t="shared" si="7"/>
        <v>0</v>
      </c>
      <c r="BV24" s="6">
        <f t="shared" si="8"/>
        <v>0</v>
      </c>
      <c r="BW24" s="6"/>
    </row>
    <row r="25" spans="1:75" hidden="1">
      <c r="A25" s="57"/>
      <c r="B25" s="17" t="s">
        <v>7</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5"/>
        <v>0</v>
      </c>
      <c r="BO25" s="6"/>
      <c r="BP25" s="6">
        <v>0</v>
      </c>
      <c r="BQ25" s="6"/>
      <c r="BR25" s="6">
        <f t="shared" si="6"/>
        <v>0</v>
      </c>
      <c r="BT25" s="6">
        <f t="shared" si="7"/>
        <v>0</v>
      </c>
      <c r="BV25" s="6">
        <f t="shared" si="8"/>
        <v>0</v>
      </c>
      <c r="BW25" s="6"/>
    </row>
    <row r="26" spans="1:75" hidden="1">
      <c r="A26" s="57"/>
      <c r="B26" s="17" t="s">
        <v>8</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5"/>
        <v>0</v>
      </c>
      <c r="BO26" s="6"/>
      <c r="BP26" s="6">
        <v>0</v>
      </c>
      <c r="BQ26" s="6"/>
      <c r="BR26" s="6">
        <f t="shared" si="6"/>
        <v>0</v>
      </c>
      <c r="BT26" s="6">
        <f t="shared" si="7"/>
        <v>0</v>
      </c>
      <c r="BV26" s="6">
        <f t="shared" si="8"/>
        <v>0</v>
      </c>
      <c r="BW26" s="6"/>
    </row>
    <row r="27" spans="1:75" hidden="1">
      <c r="A27" s="57"/>
      <c r="B27" s="17" t="s">
        <v>9</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5"/>
        <v>0</v>
      </c>
      <c r="BO27" s="6"/>
      <c r="BP27" s="6">
        <v>0</v>
      </c>
      <c r="BQ27" s="6"/>
      <c r="BR27" s="6">
        <f t="shared" si="6"/>
        <v>0</v>
      </c>
      <c r="BT27" s="6">
        <f t="shared" si="7"/>
        <v>0</v>
      </c>
      <c r="BV27" s="6">
        <f t="shared" si="8"/>
        <v>0</v>
      </c>
      <c r="BW27" s="6"/>
    </row>
    <row r="28" spans="1:75" hidden="1">
      <c r="A28" s="57"/>
      <c r="B28" s="17" t="s">
        <v>10</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5"/>
        <v>0</v>
      </c>
      <c r="BO28" s="6"/>
      <c r="BP28" s="6">
        <v>0</v>
      </c>
      <c r="BQ28" s="6"/>
      <c r="BR28" s="6">
        <f t="shared" si="6"/>
        <v>0</v>
      </c>
      <c r="BT28" s="6">
        <f t="shared" si="7"/>
        <v>0</v>
      </c>
      <c r="BV28" s="6">
        <f t="shared" si="8"/>
        <v>0</v>
      </c>
      <c r="BW28" s="6"/>
    </row>
    <row r="29" spans="1:75" hidden="1">
      <c r="A29" s="57"/>
      <c r="B29" s="17" t="s">
        <v>11</v>
      </c>
      <c r="C29"/>
      <c r="D29"/>
      <c r="E29"/>
      <c r="F29"/>
      <c r="G29"/>
      <c r="H29"/>
      <c r="I29"/>
      <c r="J29" s="49" t="s">
        <v>0</v>
      </c>
      <c r="K29"/>
      <c r="L29" s="134" t="s">
        <v>202</v>
      </c>
      <c r="M29" s="6"/>
      <c r="N29" s="6">
        <v>0</v>
      </c>
      <c r="O29" s="6"/>
      <c r="P29" s="6">
        <v>0</v>
      </c>
      <c r="Q29" s="6"/>
      <c r="R29" s="6">
        <f t="shared" si="4"/>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5"/>
        <v>0</v>
      </c>
      <c r="BO29" s="6"/>
      <c r="BP29" s="6">
        <v>0</v>
      </c>
      <c r="BQ29" s="6"/>
      <c r="BR29" s="6">
        <f t="shared" si="6"/>
        <v>0</v>
      </c>
      <c r="BT29" s="6">
        <f t="shared" si="7"/>
        <v>0</v>
      </c>
      <c r="BV29" s="6">
        <f t="shared" si="8"/>
        <v>0</v>
      </c>
      <c r="BW29" s="6"/>
    </row>
    <row r="30" spans="1:75" hidden="1">
      <c r="A30" s="59"/>
      <c r="B30" s="17" t="s">
        <v>12</v>
      </c>
      <c r="C30"/>
      <c r="D30"/>
      <c r="E30"/>
      <c r="F30"/>
      <c r="G30"/>
      <c r="H30"/>
      <c r="I30"/>
      <c r="J30" s="49" t="s">
        <v>0</v>
      </c>
      <c r="K30"/>
      <c r="L30" s="134" t="s">
        <v>202</v>
      </c>
      <c r="M30" s="6"/>
      <c r="N30" s="6">
        <v>0</v>
      </c>
      <c r="O30" s="6"/>
      <c r="P30" s="6">
        <v>0</v>
      </c>
      <c r="Q30" s="6"/>
      <c r="R30" s="6">
        <f t="shared" si="4"/>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5"/>
        <v>0</v>
      </c>
      <c r="BO30" s="6"/>
      <c r="BP30" s="6">
        <v>0</v>
      </c>
      <c r="BQ30" s="6"/>
      <c r="BR30" s="6">
        <f t="shared" si="6"/>
        <v>0</v>
      </c>
      <c r="BT30" s="6">
        <f t="shared" si="7"/>
        <v>0</v>
      </c>
      <c r="BV30" s="6">
        <f t="shared" si="8"/>
        <v>0</v>
      </c>
      <c r="BW30" s="6"/>
    </row>
    <row r="31" spans="1:75" hidden="1">
      <c r="A31" s="59"/>
      <c r="B31" s="17" t="s">
        <v>13</v>
      </c>
      <c r="C31"/>
      <c r="D31"/>
      <c r="E31"/>
      <c r="F31"/>
      <c r="G31"/>
      <c r="H31"/>
      <c r="I31"/>
      <c r="J31" s="49" t="s">
        <v>0</v>
      </c>
      <c r="K31"/>
      <c r="L31" s="134" t="s">
        <v>202</v>
      </c>
      <c r="M31" s="6"/>
      <c r="N31" s="6">
        <v>0</v>
      </c>
      <c r="O31" s="6"/>
      <c r="P31" s="6">
        <v>0</v>
      </c>
      <c r="Q31" s="6"/>
      <c r="R31" s="6">
        <f t="shared" si="4"/>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5"/>
        <v>0</v>
      </c>
      <c r="BO31" s="6"/>
      <c r="BP31" s="6">
        <v>0</v>
      </c>
      <c r="BQ31" s="6"/>
      <c r="BR31" s="6">
        <f t="shared" si="6"/>
        <v>0</v>
      </c>
      <c r="BT31" s="6">
        <f t="shared" si="7"/>
        <v>0</v>
      </c>
      <c r="BV31" s="6">
        <f t="shared" si="8"/>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4"/>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12">
        <f t="shared" si="5"/>
        <v>0</v>
      </c>
      <c r="BO32" s="12"/>
      <c r="BP32" s="12">
        <v>0</v>
      </c>
      <c r="BQ32" s="12"/>
      <c r="BR32" s="6">
        <f t="shared" si="6"/>
        <v>0</v>
      </c>
      <c r="BS32" s="12"/>
      <c r="BT32" s="6">
        <f t="shared" si="7"/>
        <v>0</v>
      </c>
      <c r="BU32" s="12"/>
      <c r="BV32" s="6">
        <f t="shared" si="8"/>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0</v>
      </c>
      <c r="AU33" s="12"/>
      <c r="AV33" s="12">
        <v>0</v>
      </c>
      <c r="AW33" s="12"/>
      <c r="AX33" s="12">
        <v>0</v>
      </c>
      <c r="AY33" s="12"/>
      <c r="AZ33" s="12">
        <v>0</v>
      </c>
      <c r="BA33" s="12"/>
      <c r="BB33" s="12">
        <v>0</v>
      </c>
      <c r="BC33" s="12"/>
      <c r="BD33" s="12">
        <v>0</v>
      </c>
      <c r="BE33" s="12"/>
      <c r="BF33" s="12">
        <v>0</v>
      </c>
      <c r="BG33" s="12"/>
      <c r="BH33" s="12">
        <v>0</v>
      </c>
      <c r="BI33" s="12"/>
      <c r="BJ33" s="12">
        <v>0</v>
      </c>
      <c r="BK33" s="12"/>
      <c r="BL33" s="12">
        <v>0</v>
      </c>
      <c r="BM33" s="6"/>
      <c r="BN33" s="12">
        <f t="shared" si="5"/>
        <v>0</v>
      </c>
      <c r="BO33" s="6"/>
      <c r="BP33" s="12">
        <v>0</v>
      </c>
      <c r="BQ33" s="6"/>
      <c r="BR33" s="6">
        <f t="shared" si="6"/>
        <v>0</v>
      </c>
      <c r="BT33" s="6">
        <f t="shared" si="7"/>
        <v>0</v>
      </c>
      <c r="BV33" s="6">
        <f t="shared" si="8"/>
        <v>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7"/>
        <v>0</v>
      </c>
      <c r="BV34" s="6">
        <f t="shared" si="8"/>
        <v>0</v>
      </c>
      <c r="BW34" s="12"/>
    </row>
    <row r="35" spans="1:75">
      <c r="A35" s="57"/>
      <c r="B35" s="17" t="s">
        <v>226</v>
      </c>
      <c r="C35"/>
      <c r="D35"/>
      <c r="E35"/>
      <c r="F35"/>
      <c r="G35"/>
      <c r="H35"/>
      <c r="I35"/>
      <c r="J35" s="49"/>
      <c r="K35"/>
      <c r="L35" s="134"/>
      <c r="M35" s="6"/>
      <c r="N35" s="101">
        <f>SUM(N18:N34)</f>
        <v>0</v>
      </c>
      <c r="O35" s="6"/>
      <c r="P35" s="101">
        <f>SUM(P18:P34)</f>
        <v>0</v>
      </c>
      <c r="Q35" s="6"/>
      <c r="R35" s="101">
        <f>SUM(R18:R34)</f>
        <v>0</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293460.55</v>
      </c>
      <c r="AI35" s="12"/>
      <c r="AJ35" s="101">
        <f>SUM(AJ18:AJ34)</f>
        <v>883701.65</v>
      </c>
      <c r="AK35" s="12"/>
      <c r="AL35" s="101">
        <f>SUM(AL18:AL34)</f>
        <v>-1177162</v>
      </c>
      <c r="AM35" s="101"/>
      <c r="AN35" s="101">
        <f>SUM(AN18:AN34)</f>
        <v>0</v>
      </c>
      <c r="AO35" s="12"/>
      <c r="AP35" s="101">
        <f>SUM(AP18:AP34)</f>
        <v>0</v>
      </c>
      <c r="AQ35" s="12"/>
      <c r="AR35" s="101">
        <f>SUM(AR18:AR34)</f>
        <v>0</v>
      </c>
      <c r="AS35" s="12"/>
      <c r="AT35" s="101">
        <f>SUM(AT18:AT34)</f>
        <v>0</v>
      </c>
      <c r="AU35" s="12"/>
      <c r="AV35" s="101">
        <f>SUM(AV18:AV34)</f>
        <v>0</v>
      </c>
      <c r="AW35" s="12"/>
      <c r="AX35" s="101">
        <f>SUM(AX18:AX34)</f>
        <v>0</v>
      </c>
      <c r="AY35" s="12"/>
      <c r="AZ35" s="101">
        <f>SUM(AZ18:AZ34)</f>
        <v>0</v>
      </c>
      <c r="BA35" s="12"/>
      <c r="BB35" s="101">
        <f>SUM(BB18:BB34)</f>
        <v>0</v>
      </c>
      <c r="BC35" s="12"/>
      <c r="BD35" s="101">
        <f>SUM(BD18:BD34)</f>
        <v>0</v>
      </c>
      <c r="BE35" s="12"/>
      <c r="BF35" s="101">
        <f>SUM(BF18:BF34)</f>
        <v>0</v>
      </c>
      <c r="BG35" s="12"/>
      <c r="BH35" s="101">
        <f>SUM(BH18:BH34)</f>
        <v>0</v>
      </c>
      <c r="BI35" s="12"/>
      <c r="BJ35" s="101">
        <f>SUM(BJ18:BJ34)</f>
        <v>0</v>
      </c>
      <c r="BK35" s="12"/>
      <c r="BL35" s="101">
        <f>SUM(BL18:BL34)</f>
        <v>0</v>
      </c>
      <c r="BM35" s="6"/>
      <c r="BN35" s="101">
        <f>SUM(BN18:BN34)</f>
        <v>0.19999999995343387</v>
      </c>
      <c r="BO35" s="6"/>
      <c r="BP35" s="101">
        <f>SUM(BP18:BP34)</f>
        <v>0</v>
      </c>
      <c r="BQ35" s="6"/>
      <c r="BR35" s="101">
        <f>SUM(BR18:BR34)</f>
        <v>0</v>
      </c>
      <c r="BT35" s="101">
        <f>SUM(BT18:BT34)</f>
        <v>0.19999999995343387</v>
      </c>
      <c r="BV35" s="101">
        <f>SUM(BV18:BV34)</f>
        <v>-0.19999999995343387</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0</v>
      </c>
      <c r="S37" s="115"/>
      <c r="T37" s="115">
        <f>+T35+T16</f>
        <v>29376550</v>
      </c>
      <c r="U37" s="115"/>
      <c r="V37" s="115">
        <f>+V35+V16</f>
        <v>43750400</v>
      </c>
      <c r="W37" s="115"/>
      <c r="X37" s="115">
        <f>+X35+X16</f>
        <v>3107550</v>
      </c>
      <c r="Y37" s="115"/>
      <c r="Z37" s="115">
        <f>+Z35+Z16</f>
        <v>0</v>
      </c>
      <c r="AA37" s="115"/>
      <c r="AB37" s="115">
        <f>+AB35+AB16</f>
        <v>3107250</v>
      </c>
      <c r="AC37" s="115"/>
      <c r="AD37" s="115">
        <f>+AD35+AD16</f>
        <v>6240218.71</v>
      </c>
      <c r="AE37" s="115"/>
      <c r="AF37" s="115">
        <f>+AF35+AF16</f>
        <v>0</v>
      </c>
      <c r="AG37" s="115"/>
      <c r="AH37" s="115">
        <f>+AH35+AH16</f>
        <v>400660.02</v>
      </c>
      <c r="AI37" s="115"/>
      <c r="AJ37" s="115">
        <f>+AJ35+AJ16</f>
        <v>1276912.55</v>
      </c>
      <c r="AK37" s="115"/>
      <c r="AL37" s="115">
        <f>+AL35+AL16</f>
        <v>-87259541</v>
      </c>
      <c r="AM37" s="115"/>
      <c r="AN37" s="115">
        <f>+AN35+AN16</f>
        <v>0</v>
      </c>
      <c r="AO37" s="115"/>
      <c r="AP37" s="115">
        <f>+AP35+AP16</f>
        <v>0</v>
      </c>
      <c r="AQ37" s="115"/>
      <c r="AR37" s="115">
        <f>+AR35+AR16</f>
        <v>0</v>
      </c>
      <c r="AS37" s="115"/>
      <c r="AT37" s="115">
        <f>+AT35+AT16</f>
        <v>0</v>
      </c>
      <c r="AU37" s="115"/>
      <c r="AV37" s="115">
        <f>+AV35+AV16</f>
        <v>0</v>
      </c>
      <c r="AW37" s="115"/>
      <c r="AX37" s="115">
        <f>+AX35+AX16</f>
        <v>0</v>
      </c>
      <c r="AY37" s="115"/>
      <c r="AZ37" s="115">
        <f>+AZ35+AZ16</f>
        <v>0</v>
      </c>
      <c r="BA37" s="115"/>
      <c r="BB37" s="115">
        <f>+BB35+BB16</f>
        <v>0</v>
      </c>
      <c r="BC37" s="115"/>
      <c r="BD37" s="115">
        <f>+BD35+BD16</f>
        <v>0</v>
      </c>
      <c r="BE37" s="115"/>
      <c r="BF37" s="115">
        <f>+BF35+BF16</f>
        <v>0</v>
      </c>
      <c r="BG37" s="115"/>
      <c r="BH37" s="115">
        <f>+BH35+BH16</f>
        <v>0</v>
      </c>
      <c r="BI37" s="115"/>
      <c r="BJ37" s="115">
        <f>+BJ35+BJ16</f>
        <v>0</v>
      </c>
      <c r="BK37" s="115"/>
      <c r="BL37" s="115">
        <f>+BL35+BL16</f>
        <v>0</v>
      </c>
      <c r="BM37" s="115"/>
      <c r="BN37" s="115">
        <f>+BN35+BN16</f>
        <v>0.27999999935855158</v>
      </c>
      <c r="BO37" s="115"/>
      <c r="BP37" s="115">
        <f>+BP35+BP16</f>
        <v>0</v>
      </c>
      <c r="BQ37" s="115"/>
      <c r="BR37" s="115">
        <f>+BR35+BR16</f>
        <v>0.39000000059604645</v>
      </c>
      <c r="BS37" s="115"/>
      <c r="BT37" s="115">
        <f>+BT35+BT16</f>
        <v>0.66999999995459802</v>
      </c>
      <c r="BU37" s="115"/>
      <c r="BV37" s="115">
        <f>+BV35+BV16</f>
        <v>-0.66999999995459802</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BL40" s="6"/>
      <c r="BM40" s="6"/>
      <c r="BO40" s="6"/>
      <c r="BP40" s="6"/>
      <c r="BQ40" s="6"/>
      <c r="BW40" s="6"/>
    </row>
    <row r="41" spans="1:75">
      <c r="A41" s="57"/>
      <c r="B41" s="17" t="s">
        <v>235</v>
      </c>
      <c r="C41"/>
      <c r="D41"/>
      <c r="E41"/>
      <c r="F41"/>
      <c r="G41"/>
      <c r="H41"/>
      <c r="I41"/>
      <c r="J41" s="49" t="s">
        <v>229</v>
      </c>
      <c r="K41"/>
      <c r="L41" s="134" t="s">
        <v>202</v>
      </c>
      <c r="M41" s="6"/>
      <c r="N41" s="6">
        <v>0</v>
      </c>
      <c r="O41" s="6"/>
      <c r="P41" s="6">
        <v>0</v>
      </c>
      <c r="Q41" s="6"/>
      <c r="R41" s="6">
        <v>0</v>
      </c>
      <c r="S41" s="6"/>
      <c r="T41" s="6">
        <v>0</v>
      </c>
      <c r="U41" s="6"/>
      <c r="V41" s="6">
        <v>0</v>
      </c>
      <c r="X41" s="6">
        <v>0</v>
      </c>
      <c r="Z41" s="6">
        <v>0</v>
      </c>
      <c r="AB41" s="6">
        <v>0</v>
      </c>
      <c r="AD41" s="6">
        <v>0</v>
      </c>
      <c r="AF41" s="6">
        <v>0</v>
      </c>
      <c r="AH41" s="6">
        <v>0</v>
      </c>
      <c r="AJ41" s="6">
        <v>0</v>
      </c>
      <c r="AN41" s="6">
        <v>0</v>
      </c>
      <c r="AP41" s="6">
        <v>0</v>
      </c>
      <c r="AR41" s="6">
        <v>0</v>
      </c>
      <c r="AT41" s="6">
        <v>0</v>
      </c>
      <c r="AV41" s="6">
        <v>0</v>
      </c>
      <c r="AX41" s="6">
        <v>0</v>
      </c>
      <c r="AZ41" s="6">
        <v>0</v>
      </c>
      <c r="BB41" s="6">
        <v>0</v>
      </c>
      <c r="BD41" s="6">
        <v>0</v>
      </c>
      <c r="BF41" s="6">
        <v>0</v>
      </c>
      <c r="BH41" s="6">
        <v>0</v>
      </c>
      <c r="BJ41" s="6">
        <v>0</v>
      </c>
      <c r="BL41" s="6">
        <v>0</v>
      </c>
      <c r="BM41" s="6"/>
      <c r="BN41" s="6">
        <f t="shared" ref="BN41:BN68" si="9">SUM(T41:BM41)</f>
        <v>0</v>
      </c>
      <c r="BO41" s="6"/>
      <c r="BP41" s="6">
        <v>0</v>
      </c>
      <c r="BQ41" s="6"/>
      <c r="BR41" s="6">
        <f t="shared" ref="BR41:BR69" si="10">IF(+R41-BN41+BP41&gt;0,R41-BN41+BP41,0)</f>
        <v>0</v>
      </c>
      <c r="BT41" s="6">
        <f>+BN41+BR41</f>
        <v>0</v>
      </c>
      <c r="BV41" s="6">
        <f>+R41-BT41</f>
        <v>0</v>
      </c>
      <c r="BW41" s="6"/>
    </row>
    <row r="42" spans="1:75">
      <c r="A42" s="57"/>
      <c r="B42" s="17" t="s">
        <v>237</v>
      </c>
      <c r="C42"/>
      <c r="D42"/>
      <c r="E42"/>
      <c r="F42"/>
      <c r="G42"/>
      <c r="H42"/>
      <c r="I42"/>
      <c r="J42" s="49" t="s">
        <v>229</v>
      </c>
      <c r="K42"/>
      <c r="L42" s="134" t="s">
        <v>202</v>
      </c>
      <c r="M42" s="6"/>
      <c r="O42" s="6"/>
      <c r="Q42" s="6"/>
      <c r="R42" s="6">
        <v>0</v>
      </c>
      <c r="S42" s="6"/>
      <c r="T42" s="6"/>
      <c r="U42" s="6"/>
      <c r="V42" s="6"/>
      <c r="X42" s="6"/>
      <c r="Z42" s="6"/>
      <c r="AB42" s="6"/>
      <c r="AD42" s="6"/>
      <c r="BL42" s="6"/>
      <c r="BM42" s="6"/>
      <c r="BN42" s="6">
        <f t="shared" si="9"/>
        <v>0</v>
      </c>
      <c r="BO42" s="6"/>
      <c r="BP42" s="6">
        <v>0</v>
      </c>
      <c r="BQ42" s="6"/>
      <c r="BR42" s="6">
        <f t="shared" si="10"/>
        <v>0</v>
      </c>
      <c r="BT42" s="6">
        <f t="shared" ref="BT42:BT69" si="11">+BN42+BR42</f>
        <v>0</v>
      </c>
      <c r="BV42" s="6">
        <f t="shared" ref="BV42:BV69" si="12">+R42-BT42</f>
        <v>0</v>
      </c>
      <c r="BW42" s="6"/>
    </row>
    <row r="43" spans="1:75">
      <c r="A43" s="57"/>
      <c r="B43" s="17" t="s">
        <v>238</v>
      </c>
      <c r="C43"/>
      <c r="D43"/>
      <c r="E43"/>
      <c r="F43"/>
      <c r="G43"/>
      <c r="H43"/>
      <c r="I43"/>
      <c r="J43" s="49" t="s">
        <v>229</v>
      </c>
      <c r="K43"/>
      <c r="L43" s="134" t="s">
        <v>202</v>
      </c>
      <c r="M43" s="6"/>
      <c r="O43" s="6"/>
      <c r="Q43" s="6"/>
      <c r="R43" s="6">
        <v>0</v>
      </c>
      <c r="S43" s="6"/>
      <c r="T43" s="6"/>
      <c r="U43" s="6"/>
      <c r="V43" s="6"/>
      <c r="X43" s="6"/>
      <c r="Z43" s="6"/>
      <c r="AB43" s="6"/>
      <c r="AD43" s="6"/>
      <c r="BL43" s="6"/>
      <c r="BM43" s="6"/>
      <c r="BN43" s="6">
        <f t="shared" si="9"/>
        <v>0</v>
      </c>
      <c r="BO43" s="6"/>
      <c r="BP43" s="6">
        <v>0</v>
      </c>
      <c r="BQ43" s="6"/>
      <c r="BR43" s="6">
        <f t="shared" si="10"/>
        <v>0</v>
      </c>
      <c r="BT43" s="6">
        <f t="shared" si="11"/>
        <v>0</v>
      </c>
      <c r="BV43" s="6">
        <f t="shared" si="12"/>
        <v>0</v>
      </c>
      <c r="BW43" s="6"/>
    </row>
    <row r="44" spans="1:75">
      <c r="A44" s="57"/>
      <c r="B44" s="17" t="s">
        <v>22</v>
      </c>
      <c r="C44"/>
      <c r="D44"/>
      <c r="E44"/>
      <c r="F44"/>
      <c r="G44"/>
      <c r="H44"/>
      <c r="I44"/>
      <c r="J44" s="49" t="s">
        <v>229</v>
      </c>
      <c r="K44"/>
      <c r="L44" s="134" t="s">
        <v>202</v>
      </c>
      <c r="M44" s="6"/>
      <c r="O44" s="6"/>
      <c r="Q44" s="6"/>
      <c r="R44" s="6">
        <v>0</v>
      </c>
      <c r="S44" s="6"/>
      <c r="T44" s="6"/>
      <c r="U44" s="6"/>
      <c r="V44" s="6"/>
      <c r="X44" s="6"/>
      <c r="Z44" s="6"/>
      <c r="AB44" s="6"/>
      <c r="AD44" s="6"/>
      <c r="BL44" s="6"/>
      <c r="BM44" s="6"/>
      <c r="BN44" s="6">
        <f t="shared" si="9"/>
        <v>0</v>
      </c>
      <c r="BO44" s="6"/>
      <c r="BP44" s="6">
        <v>0</v>
      </c>
      <c r="BQ44" s="6"/>
      <c r="BR44" s="6">
        <f t="shared" si="10"/>
        <v>0</v>
      </c>
      <c r="BT44" s="6">
        <f t="shared" si="11"/>
        <v>0</v>
      </c>
      <c r="BV44" s="6">
        <f t="shared" si="12"/>
        <v>0</v>
      </c>
      <c r="BW44" s="6"/>
    </row>
    <row r="45" spans="1:75">
      <c r="A45" s="57"/>
      <c r="B45" s="17" t="s">
        <v>239</v>
      </c>
      <c r="C45"/>
      <c r="D45"/>
      <c r="E45"/>
      <c r="F45"/>
      <c r="G45"/>
      <c r="H45"/>
      <c r="I45"/>
      <c r="J45" s="49" t="s">
        <v>229</v>
      </c>
      <c r="K45"/>
      <c r="L45" s="134" t="s">
        <v>202</v>
      </c>
      <c r="M45" s="6"/>
      <c r="O45" s="6"/>
      <c r="Q45" s="6"/>
      <c r="R45" s="6">
        <v>0</v>
      </c>
      <c r="S45" s="6"/>
      <c r="T45" s="6"/>
      <c r="U45" s="6"/>
      <c r="V45" s="6"/>
      <c r="X45" s="6"/>
      <c r="Z45" s="6"/>
      <c r="AB45" s="6"/>
      <c r="AD45" s="6"/>
      <c r="BL45" s="6"/>
      <c r="BM45" s="6"/>
      <c r="BN45" s="6">
        <f t="shared" si="9"/>
        <v>0</v>
      </c>
      <c r="BO45" s="6"/>
      <c r="BP45" s="6">
        <v>0</v>
      </c>
      <c r="BQ45" s="6"/>
      <c r="BR45" s="6">
        <f t="shared" si="10"/>
        <v>0</v>
      </c>
      <c r="BT45" s="6">
        <f t="shared" si="11"/>
        <v>0</v>
      </c>
      <c r="BV45" s="6">
        <f t="shared" si="12"/>
        <v>0</v>
      </c>
      <c r="BW45" s="6"/>
    </row>
    <row r="46" spans="1:75">
      <c r="A46" s="57"/>
      <c r="B46" s="17" t="s">
        <v>240</v>
      </c>
      <c r="C46"/>
      <c r="D46"/>
      <c r="E46"/>
      <c r="F46"/>
      <c r="G46"/>
      <c r="H46"/>
      <c r="I46"/>
      <c r="J46" s="49" t="s">
        <v>229</v>
      </c>
      <c r="K46"/>
      <c r="L46" s="134" t="s">
        <v>202</v>
      </c>
      <c r="M46" s="6"/>
      <c r="O46" s="6"/>
      <c r="Q46" s="6"/>
      <c r="R46" s="6">
        <v>0</v>
      </c>
      <c r="S46" s="6"/>
      <c r="T46" s="6"/>
      <c r="U46" s="6"/>
      <c r="V46" s="6"/>
      <c r="X46" s="6"/>
      <c r="Z46" s="6"/>
      <c r="AB46" s="6"/>
      <c r="AD46" s="6"/>
      <c r="BL46" s="6"/>
      <c r="BM46" s="6"/>
      <c r="BN46" s="6">
        <f t="shared" si="9"/>
        <v>0</v>
      </c>
      <c r="BO46" s="6"/>
      <c r="BP46" s="6">
        <v>0</v>
      </c>
      <c r="BQ46" s="6"/>
      <c r="BR46" s="6">
        <f t="shared" si="10"/>
        <v>0</v>
      </c>
      <c r="BT46" s="6">
        <f t="shared" si="11"/>
        <v>0</v>
      </c>
      <c r="BV46" s="6">
        <f t="shared" si="12"/>
        <v>0</v>
      </c>
      <c r="BW46" s="6"/>
    </row>
    <row r="47" spans="1:75">
      <c r="A47" s="57"/>
      <c r="B47" s="17" t="s">
        <v>241</v>
      </c>
      <c r="C47"/>
      <c r="D47"/>
      <c r="E47"/>
      <c r="F47"/>
      <c r="G47"/>
      <c r="H47"/>
      <c r="I47"/>
      <c r="J47" s="49" t="s">
        <v>229</v>
      </c>
      <c r="K47"/>
      <c r="L47" s="134" t="s">
        <v>202</v>
      </c>
      <c r="M47" s="6"/>
      <c r="O47" s="6"/>
      <c r="Q47" s="6"/>
      <c r="R47" s="6">
        <v>0</v>
      </c>
      <c r="S47" s="6"/>
      <c r="T47" s="6"/>
      <c r="U47" s="6"/>
      <c r="V47" s="6"/>
      <c r="X47" s="6"/>
      <c r="Z47" s="6"/>
      <c r="AB47" s="6"/>
      <c r="AD47" s="6"/>
      <c r="BL47" s="6"/>
      <c r="BM47" s="6"/>
      <c r="BN47" s="6">
        <f t="shared" si="9"/>
        <v>0</v>
      </c>
      <c r="BO47" s="6"/>
      <c r="BP47" s="6">
        <v>0</v>
      </c>
      <c r="BQ47" s="6"/>
      <c r="BR47" s="6">
        <f t="shared" si="10"/>
        <v>0</v>
      </c>
      <c r="BT47" s="6">
        <f t="shared" si="11"/>
        <v>0</v>
      </c>
      <c r="BV47" s="6">
        <f t="shared" si="12"/>
        <v>0</v>
      </c>
      <c r="BW47" s="6"/>
    </row>
    <row r="48" spans="1:75">
      <c r="A48" s="57"/>
      <c r="B48" s="17" t="s">
        <v>67</v>
      </c>
      <c r="C48"/>
      <c r="D48"/>
      <c r="E48"/>
      <c r="F48"/>
      <c r="G48"/>
      <c r="H48"/>
      <c r="I48"/>
      <c r="J48" s="49" t="s">
        <v>229</v>
      </c>
      <c r="K48"/>
      <c r="L48" s="134" t="s">
        <v>202</v>
      </c>
      <c r="M48" s="6"/>
      <c r="O48" s="6"/>
      <c r="Q48" s="6"/>
      <c r="R48" s="6">
        <v>0</v>
      </c>
      <c r="S48" s="6"/>
      <c r="T48" s="6"/>
      <c r="U48" s="6"/>
      <c r="V48" s="6"/>
      <c r="X48" s="6">
        <v>0</v>
      </c>
      <c r="Z48" s="6"/>
      <c r="AB48" s="6"/>
      <c r="AD48" s="6"/>
      <c r="BL48" s="6"/>
      <c r="BM48" s="6"/>
      <c r="BN48" s="6">
        <f t="shared" si="9"/>
        <v>0</v>
      </c>
      <c r="BO48" s="6"/>
      <c r="BP48" s="6">
        <v>0</v>
      </c>
      <c r="BQ48" s="6"/>
      <c r="BR48" s="6">
        <f t="shared" si="10"/>
        <v>0</v>
      </c>
      <c r="BT48" s="6">
        <f t="shared" si="11"/>
        <v>0</v>
      </c>
      <c r="BV48" s="6">
        <f t="shared" si="12"/>
        <v>0</v>
      </c>
      <c r="BW48" s="6"/>
    </row>
    <row r="49" spans="1:75">
      <c r="A49" s="57"/>
      <c r="B49" s="17" t="s">
        <v>223</v>
      </c>
      <c r="C49"/>
      <c r="D49"/>
      <c r="E49"/>
      <c r="F49"/>
      <c r="G49"/>
      <c r="H49"/>
      <c r="I49"/>
      <c r="J49" s="49" t="s">
        <v>229</v>
      </c>
      <c r="K49"/>
      <c r="L49" s="134" t="s">
        <v>202</v>
      </c>
      <c r="M49" s="6"/>
      <c r="O49" s="6"/>
      <c r="Q49" s="6"/>
      <c r="R49" s="6">
        <v>0</v>
      </c>
      <c r="S49" s="6"/>
      <c r="T49" s="6"/>
      <c r="U49" s="6"/>
      <c r="V49" s="6"/>
      <c r="X49" s="6"/>
      <c r="Z49" s="6"/>
      <c r="AB49" s="6"/>
      <c r="AD49" s="6"/>
      <c r="BL49" s="6"/>
      <c r="BM49" s="6"/>
      <c r="BN49" s="6">
        <f t="shared" si="9"/>
        <v>0</v>
      </c>
      <c r="BO49" s="6"/>
      <c r="BP49" s="6">
        <v>0</v>
      </c>
      <c r="BQ49" s="6"/>
      <c r="BR49" s="6">
        <f t="shared" si="10"/>
        <v>0</v>
      </c>
      <c r="BT49" s="6">
        <f t="shared" si="11"/>
        <v>0</v>
      </c>
      <c r="BV49" s="6">
        <f t="shared" si="12"/>
        <v>0</v>
      </c>
      <c r="BW49" s="6"/>
    </row>
    <row r="50" spans="1:75">
      <c r="A50" s="57"/>
      <c r="B50" s="17" t="s">
        <v>280</v>
      </c>
      <c r="C50"/>
      <c r="D50"/>
      <c r="E50"/>
      <c r="F50"/>
      <c r="G50"/>
      <c r="H50"/>
      <c r="I50"/>
      <c r="J50" s="49" t="s">
        <v>229</v>
      </c>
      <c r="K50"/>
      <c r="L50" s="134" t="s">
        <v>202</v>
      </c>
      <c r="M50" s="6"/>
      <c r="N50" s="6">
        <v>0</v>
      </c>
      <c r="O50" s="6"/>
      <c r="P50" s="6">
        <v>0</v>
      </c>
      <c r="Q50" s="6"/>
      <c r="R50" s="6">
        <v>0</v>
      </c>
      <c r="S50" s="6"/>
      <c r="T50" s="6">
        <v>0</v>
      </c>
      <c r="U50" s="6"/>
      <c r="V50" s="6">
        <v>0</v>
      </c>
      <c r="X50" s="6">
        <v>0</v>
      </c>
      <c r="Z50" s="6">
        <v>0</v>
      </c>
      <c r="AB50" s="6">
        <v>0</v>
      </c>
      <c r="AD50" s="6">
        <v>0</v>
      </c>
      <c r="AF50" s="6">
        <v>0</v>
      </c>
      <c r="AH50" s="6">
        <v>0</v>
      </c>
      <c r="AJ50" s="6">
        <v>0</v>
      </c>
      <c r="AN50" s="6">
        <v>0</v>
      </c>
      <c r="AP50" s="6">
        <v>0</v>
      </c>
      <c r="AR50" s="6">
        <v>0</v>
      </c>
      <c r="AT50" s="6">
        <v>0</v>
      </c>
      <c r="AV50" s="6">
        <v>0</v>
      </c>
      <c r="AX50" s="6">
        <v>0</v>
      </c>
      <c r="AZ50" s="6">
        <v>0</v>
      </c>
      <c r="BB50" s="6">
        <v>0</v>
      </c>
      <c r="BD50" s="6">
        <v>0</v>
      </c>
      <c r="BF50" s="6">
        <v>0</v>
      </c>
      <c r="BH50" s="6">
        <v>0</v>
      </c>
      <c r="BJ50" s="6">
        <v>0</v>
      </c>
      <c r="BL50" s="6">
        <v>0</v>
      </c>
      <c r="BM50" s="6"/>
      <c r="BN50" s="6">
        <f t="shared" si="9"/>
        <v>0</v>
      </c>
      <c r="BO50" s="6"/>
      <c r="BP50" s="6">
        <v>0</v>
      </c>
      <c r="BQ50" s="6"/>
      <c r="BR50" s="6">
        <f t="shared" si="10"/>
        <v>0</v>
      </c>
      <c r="BT50" s="6">
        <f t="shared" si="11"/>
        <v>0</v>
      </c>
      <c r="BV50" s="6">
        <f t="shared" si="12"/>
        <v>0</v>
      </c>
      <c r="BW50" s="6"/>
    </row>
    <row r="51" spans="1:75" hidden="1">
      <c r="A51" s="57"/>
      <c r="B51" s="17" t="s">
        <v>146</v>
      </c>
      <c r="C51"/>
      <c r="D51"/>
      <c r="E51"/>
      <c r="F51"/>
      <c r="G51"/>
      <c r="H51"/>
      <c r="I51"/>
      <c r="J51" s="49" t="s">
        <v>229</v>
      </c>
      <c r="K51"/>
      <c r="L51" s="134" t="s">
        <v>202</v>
      </c>
      <c r="M51" s="6"/>
      <c r="N51" s="6">
        <v>0</v>
      </c>
      <c r="O51" s="6"/>
      <c r="P51" s="6">
        <v>0</v>
      </c>
      <c r="Q51" s="6"/>
      <c r="R51" s="6">
        <f t="shared" ref="R51:R68" si="13">+N51+P51</f>
        <v>0</v>
      </c>
      <c r="S51" s="6"/>
      <c r="T51" s="6">
        <v>0</v>
      </c>
      <c r="U51" s="6"/>
      <c r="V51" s="6">
        <v>0</v>
      </c>
      <c r="X51" s="6">
        <v>0</v>
      </c>
      <c r="Z51" s="6">
        <v>0</v>
      </c>
      <c r="AB51" s="6">
        <v>0</v>
      </c>
      <c r="AD51" s="6">
        <v>0</v>
      </c>
      <c r="AF51" s="6">
        <v>0</v>
      </c>
      <c r="AH51" s="6">
        <v>0</v>
      </c>
      <c r="AJ51" s="6">
        <v>0</v>
      </c>
      <c r="AN51" s="6">
        <v>0</v>
      </c>
      <c r="AP51" s="6">
        <v>0</v>
      </c>
      <c r="AR51" s="6">
        <v>0</v>
      </c>
      <c r="AT51" s="6">
        <v>0</v>
      </c>
      <c r="AV51" s="6">
        <v>0</v>
      </c>
      <c r="AX51" s="6">
        <v>0</v>
      </c>
      <c r="AZ51" s="6">
        <v>0</v>
      </c>
      <c r="BB51" s="6">
        <v>0</v>
      </c>
      <c r="BD51" s="6">
        <v>0</v>
      </c>
      <c r="BF51" s="6">
        <v>0</v>
      </c>
      <c r="BH51" s="6">
        <v>0</v>
      </c>
      <c r="BJ51" s="6">
        <v>0</v>
      </c>
      <c r="BL51" s="6">
        <v>0</v>
      </c>
      <c r="BM51" s="6"/>
      <c r="BN51" s="6">
        <f t="shared" si="9"/>
        <v>0</v>
      </c>
      <c r="BO51" s="6"/>
      <c r="BP51" s="6">
        <v>0</v>
      </c>
      <c r="BQ51" s="6"/>
      <c r="BR51" s="6">
        <f t="shared" si="10"/>
        <v>0</v>
      </c>
      <c r="BT51" s="6">
        <f t="shared" si="11"/>
        <v>0</v>
      </c>
      <c r="BV51" s="6">
        <f t="shared" si="12"/>
        <v>0</v>
      </c>
      <c r="BW51" s="6"/>
    </row>
    <row r="52" spans="1:75" hidden="1">
      <c r="A52" s="57"/>
      <c r="B52" s="17" t="s">
        <v>147</v>
      </c>
      <c r="C52"/>
      <c r="D52"/>
      <c r="E52"/>
      <c r="F52"/>
      <c r="G52"/>
      <c r="H52"/>
      <c r="I52"/>
      <c r="J52" s="49" t="s">
        <v>229</v>
      </c>
      <c r="K52"/>
      <c r="L52" s="134" t="s">
        <v>202</v>
      </c>
      <c r="M52" s="6"/>
      <c r="N52" s="6">
        <v>0</v>
      </c>
      <c r="O52" s="6"/>
      <c r="P52" s="6">
        <v>0</v>
      </c>
      <c r="Q52" s="6"/>
      <c r="R52" s="6">
        <f t="shared" si="13"/>
        <v>0</v>
      </c>
      <c r="S52" s="6"/>
      <c r="T52" s="6">
        <v>0</v>
      </c>
      <c r="U52" s="6"/>
      <c r="V52" s="6">
        <v>0</v>
      </c>
      <c r="X52" s="6">
        <v>0</v>
      </c>
      <c r="Z52" s="6">
        <v>0</v>
      </c>
      <c r="AB52" s="6">
        <v>0</v>
      </c>
      <c r="AD52" s="6">
        <v>0</v>
      </c>
      <c r="AF52" s="6">
        <v>0</v>
      </c>
      <c r="AH52" s="6">
        <v>0</v>
      </c>
      <c r="AJ52" s="6">
        <v>0</v>
      </c>
      <c r="AN52" s="6">
        <v>0</v>
      </c>
      <c r="AP52" s="6">
        <v>0</v>
      </c>
      <c r="AR52" s="6">
        <v>0</v>
      </c>
      <c r="AT52" s="6">
        <v>0</v>
      </c>
      <c r="AV52" s="6">
        <v>0</v>
      </c>
      <c r="AX52" s="6">
        <v>0</v>
      </c>
      <c r="AZ52" s="6">
        <v>0</v>
      </c>
      <c r="BB52" s="6">
        <v>0</v>
      </c>
      <c r="BD52" s="6">
        <v>0</v>
      </c>
      <c r="BF52" s="6">
        <v>0</v>
      </c>
      <c r="BH52" s="6">
        <v>0</v>
      </c>
      <c r="BJ52" s="6">
        <v>0</v>
      </c>
      <c r="BL52" s="6">
        <v>0</v>
      </c>
      <c r="BM52" s="6"/>
      <c r="BN52" s="6">
        <f t="shared" si="9"/>
        <v>0</v>
      </c>
      <c r="BO52" s="6"/>
      <c r="BP52" s="6">
        <v>0</v>
      </c>
      <c r="BQ52" s="6"/>
      <c r="BR52" s="6">
        <f t="shared" si="10"/>
        <v>0</v>
      </c>
      <c r="BT52" s="6">
        <f t="shared" si="11"/>
        <v>0</v>
      </c>
      <c r="BV52" s="6">
        <f t="shared" si="12"/>
        <v>0</v>
      </c>
      <c r="BW52" s="6"/>
    </row>
    <row r="53" spans="1:75" hidden="1">
      <c r="A53" s="57"/>
      <c r="B53" s="17" t="s">
        <v>58</v>
      </c>
      <c r="C53"/>
      <c r="D53"/>
      <c r="E53"/>
      <c r="F53"/>
      <c r="G53"/>
      <c r="H53"/>
      <c r="I53"/>
      <c r="J53" s="49" t="s">
        <v>229</v>
      </c>
      <c r="K53"/>
      <c r="L53" s="134" t="s">
        <v>202</v>
      </c>
      <c r="M53" s="6"/>
      <c r="N53" s="6">
        <v>0</v>
      </c>
      <c r="O53" s="6"/>
      <c r="P53" s="6">
        <v>0</v>
      </c>
      <c r="Q53" s="6"/>
      <c r="R53" s="6">
        <f t="shared" si="13"/>
        <v>0</v>
      </c>
      <c r="S53" s="6"/>
      <c r="T53" s="6">
        <v>0</v>
      </c>
      <c r="U53" s="6"/>
      <c r="V53" s="6">
        <v>0</v>
      </c>
      <c r="X53" s="6">
        <v>0</v>
      </c>
      <c r="Z53" s="6">
        <v>0</v>
      </c>
      <c r="AB53" s="6">
        <v>0</v>
      </c>
      <c r="AD53" s="6">
        <v>0</v>
      </c>
      <c r="AF53" s="6">
        <v>0</v>
      </c>
      <c r="AH53" s="6">
        <v>0</v>
      </c>
      <c r="AJ53" s="6">
        <v>0</v>
      </c>
      <c r="AN53" s="6">
        <v>0</v>
      </c>
      <c r="AP53" s="6">
        <v>0</v>
      </c>
      <c r="AR53" s="6">
        <v>0</v>
      </c>
      <c r="AT53" s="6">
        <v>0</v>
      </c>
      <c r="AV53" s="6">
        <v>0</v>
      </c>
      <c r="AX53" s="6">
        <v>0</v>
      </c>
      <c r="AZ53" s="6">
        <v>0</v>
      </c>
      <c r="BB53" s="6">
        <v>0</v>
      </c>
      <c r="BD53" s="6">
        <v>0</v>
      </c>
      <c r="BF53" s="6">
        <v>0</v>
      </c>
      <c r="BH53" s="6">
        <v>0</v>
      </c>
      <c r="BJ53" s="6">
        <v>0</v>
      </c>
      <c r="BL53" s="6">
        <v>0</v>
      </c>
      <c r="BM53" s="6"/>
      <c r="BN53" s="6">
        <f t="shared" si="9"/>
        <v>0</v>
      </c>
      <c r="BO53" s="6"/>
      <c r="BP53" s="6">
        <v>0</v>
      </c>
      <c r="BQ53" s="6"/>
      <c r="BR53" s="6">
        <f t="shared" si="10"/>
        <v>0</v>
      </c>
      <c r="BT53" s="6">
        <f t="shared" si="11"/>
        <v>0</v>
      </c>
      <c r="BV53" s="6">
        <f t="shared" si="12"/>
        <v>0</v>
      </c>
      <c r="BW53" s="6"/>
    </row>
    <row r="54" spans="1:75" hidden="1">
      <c r="A54" s="57"/>
      <c r="B54" s="17" t="s">
        <v>148</v>
      </c>
      <c r="C54"/>
      <c r="D54"/>
      <c r="E54"/>
      <c r="F54"/>
      <c r="G54"/>
      <c r="H54"/>
      <c r="I54"/>
      <c r="J54" s="49" t="s">
        <v>229</v>
      </c>
      <c r="K54"/>
      <c r="L54" s="134" t="s">
        <v>202</v>
      </c>
      <c r="M54" s="6"/>
      <c r="N54" s="6">
        <v>0</v>
      </c>
      <c r="O54" s="6"/>
      <c r="P54" s="6">
        <v>0</v>
      </c>
      <c r="Q54" s="6"/>
      <c r="R54" s="6">
        <f t="shared" si="13"/>
        <v>0</v>
      </c>
      <c r="S54" s="6"/>
      <c r="T54" s="6">
        <v>0</v>
      </c>
      <c r="U54" s="6"/>
      <c r="V54" s="6">
        <v>0</v>
      </c>
      <c r="X54" s="6">
        <v>0</v>
      </c>
      <c r="Z54" s="6">
        <v>0</v>
      </c>
      <c r="AB54" s="6">
        <v>0</v>
      </c>
      <c r="AD54" s="6">
        <v>0</v>
      </c>
      <c r="AF54" s="6">
        <v>0</v>
      </c>
      <c r="AH54" s="6">
        <v>0</v>
      </c>
      <c r="AJ54" s="6">
        <v>0</v>
      </c>
      <c r="AN54" s="6">
        <v>0</v>
      </c>
      <c r="AP54" s="6">
        <v>0</v>
      </c>
      <c r="AR54" s="6">
        <v>0</v>
      </c>
      <c r="AT54" s="6">
        <v>0</v>
      </c>
      <c r="AV54" s="6">
        <v>0</v>
      </c>
      <c r="AX54" s="6">
        <v>0</v>
      </c>
      <c r="AZ54" s="6">
        <v>0</v>
      </c>
      <c r="BB54" s="6">
        <v>0</v>
      </c>
      <c r="BD54" s="6">
        <v>0</v>
      </c>
      <c r="BF54" s="6">
        <v>0</v>
      </c>
      <c r="BH54" s="6">
        <v>0</v>
      </c>
      <c r="BJ54" s="6">
        <v>0</v>
      </c>
      <c r="BL54" s="6">
        <v>0</v>
      </c>
      <c r="BM54" s="6"/>
      <c r="BN54" s="6">
        <f t="shared" si="9"/>
        <v>0</v>
      </c>
      <c r="BO54" s="6"/>
      <c r="BP54" s="6">
        <v>0</v>
      </c>
      <c r="BQ54" s="6"/>
      <c r="BR54" s="6">
        <f t="shared" si="10"/>
        <v>0</v>
      </c>
      <c r="BT54" s="6">
        <f t="shared" si="11"/>
        <v>0</v>
      </c>
      <c r="BV54" s="6">
        <f t="shared" si="12"/>
        <v>0</v>
      </c>
      <c r="BW54" s="6"/>
    </row>
    <row r="55" spans="1:75" hidden="1">
      <c r="A55" s="57"/>
      <c r="B55" s="17" t="s">
        <v>52</v>
      </c>
      <c r="C55"/>
      <c r="D55"/>
      <c r="E55"/>
      <c r="F55"/>
      <c r="G55"/>
      <c r="H55"/>
      <c r="I55"/>
      <c r="J55" s="49" t="s">
        <v>229</v>
      </c>
      <c r="K55"/>
      <c r="L55" s="134" t="s">
        <v>202</v>
      </c>
      <c r="M55" s="6"/>
      <c r="N55" s="6">
        <v>0</v>
      </c>
      <c r="O55" s="6"/>
      <c r="P55" s="6">
        <v>0</v>
      </c>
      <c r="Q55" s="6"/>
      <c r="R55" s="6">
        <f t="shared" si="13"/>
        <v>0</v>
      </c>
      <c r="S55" s="6"/>
      <c r="T55" s="6">
        <v>0</v>
      </c>
      <c r="U55" s="6"/>
      <c r="V55" s="6">
        <v>0</v>
      </c>
      <c r="X55" s="6">
        <v>0</v>
      </c>
      <c r="Z55" s="6">
        <v>0</v>
      </c>
      <c r="AB55" s="6">
        <v>0</v>
      </c>
      <c r="AD55" s="6">
        <v>0</v>
      </c>
      <c r="AF55" s="6">
        <v>0</v>
      </c>
      <c r="AH55" s="6">
        <v>0</v>
      </c>
      <c r="AJ55" s="6">
        <v>0</v>
      </c>
      <c r="AN55" s="6">
        <v>0</v>
      </c>
      <c r="AP55" s="6">
        <v>0</v>
      </c>
      <c r="AR55" s="6">
        <v>0</v>
      </c>
      <c r="AT55" s="6">
        <v>0</v>
      </c>
      <c r="AV55" s="6">
        <v>0</v>
      </c>
      <c r="AX55" s="6">
        <v>0</v>
      </c>
      <c r="AZ55" s="6">
        <v>0</v>
      </c>
      <c r="BB55" s="6">
        <v>0</v>
      </c>
      <c r="BD55" s="6">
        <v>0</v>
      </c>
      <c r="BF55" s="6">
        <v>0</v>
      </c>
      <c r="BH55" s="6">
        <v>0</v>
      </c>
      <c r="BJ55" s="6">
        <v>0</v>
      </c>
      <c r="BL55" s="6">
        <v>0</v>
      </c>
      <c r="BM55" s="6"/>
      <c r="BN55" s="6">
        <f t="shared" si="9"/>
        <v>0</v>
      </c>
      <c r="BO55" s="6"/>
      <c r="BP55" s="6">
        <v>0</v>
      </c>
      <c r="BQ55" s="6"/>
      <c r="BR55" s="6">
        <f t="shared" si="10"/>
        <v>0</v>
      </c>
      <c r="BT55" s="6">
        <f t="shared" si="11"/>
        <v>0</v>
      </c>
      <c r="BV55" s="6">
        <f t="shared" si="12"/>
        <v>0</v>
      </c>
      <c r="BW55" s="6"/>
    </row>
    <row r="56" spans="1:75" hidden="1">
      <c r="A56" s="57"/>
      <c r="B56" s="17" t="s">
        <v>53</v>
      </c>
      <c r="C56"/>
      <c r="D56"/>
      <c r="E56"/>
      <c r="F56"/>
      <c r="G56"/>
      <c r="H56"/>
      <c r="I56"/>
      <c r="J56" s="49" t="s">
        <v>229</v>
      </c>
      <c r="K56"/>
      <c r="L56" s="134" t="s">
        <v>202</v>
      </c>
      <c r="M56" s="6"/>
      <c r="N56" s="6">
        <v>0</v>
      </c>
      <c r="O56" s="6"/>
      <c r="P56" s="6">
        <v>0</v>
      </c>
      <c r="Q56" s="6"/>
      <c r="R56" s="6">
        <f t="shared" si="13"/>
        <v>0</v>
      </c>
      <c r="S56" s="6"/>
      <c r="T56" s="6">
        <v>0</v>
      </c>
      <c r="U56" s="6"/>
      <c r="V56" s="6">
        <v>0</v>
      </c>
      <c r="X56" s="6">
        <v>0</v>
      </c>
      <c r="Z56" s="6">
        <v>0</v>
      </c>
      <c r="AB56" s="6">
        <v>0</v>
      </c>
      <c r="AD56" s="6">
        <v>0</v>
      </c>
      <c r="AF56" s="6">
        <v>0</v>
      </c>
      <c r="AH56" s="6">
        <v>0</v>
      </c>
      <c r="AJ56" s="6">
        <v>0</v>
      </c>
      <c r="AN56" s="6">
        <v>0</v>
      </c>
      <c r="AP56" s="6">
        <v>0</v>
      </c>
      <c r="AR56" s="6">
        <v>0</v>
      </c>
      <c r="AT56" s="6">
        <v>0</v>
      </c>
      <c r="AV56" s="6">
        <v>0</v>
      </c>
      <c r="AX56" s="6">
        <v>0</v>
      </c>
      <c r="AZ56" s="6">
        <v>0</v>
      </c>
      <c r="BB56" s="6">
        <v>0</v>
      </c>
      <c r="BD56" s="6">
        <v>0</v>
      </c>
      <c r="BF56" s="6">
        <v>0</v>
      </c>
      <c r="BH56" s="6">
        <v>0</v>
      </c>
      <c r="BJ56" s="6">
        <v>0</v>
      </c>
      <c r="BL56" s="6">
        <v>0</v>
      </c>
      <c r="BM56" s="6"/>
      <c r="BN56" s="6">
        <f t="shared" si="9"/>
        <v>0</v>
      </c>
      <c r="BO56" s="6"/>
      <c r="BP56" s="6">
        <v>0</v>
      </c>
      <c r="BQ56" s="6"/>
      <c r="BR56" s="6">
        <f t="shared" si="10"/>
        <v>0</v>
      </c>
      <c r="BT56" s="6">
        <f t="shared" si="11"/>
        <v>0</v>
      </c>
      <c r="BV56" s="6">
        <f t="shared" si="12"/>
        <v>0</v>
      </c>
      <c r="BW56" s="6"/>
    </row>
    <row r="57" spans="1:75" hidden="1">
      <c r="A57" s="57"/>
      <c r="B57" s="17" t="s">
        <v>54</v>
      </c>
      <c r="C57"/>
      <c r="D57"/>
      <c r="E57"/>
      <c r="F57"/>
      <c r="G57"/>
      <c r="H57"/>
      <c r="I57"/>
      <c r="J57" s="49" t="s">
        <v>229</v>
      </c>
      <c r="K57"/>
      <c r="L57" s="134" t="s">
        <v>202</v>
      </c>
      <c r="M57" s="6"/>
      <c r="N57" s="6">
        <v>0</v>
      </c>
      <c r="O57" s="6"/>
      <c r="P57" s="6">
        <v>0</v>
      </c>
      <c r="Q57" s="6"/>
      <c r="R57" s="6">
        <f t="shared" si="13"/>
        <v>0</v>
      </c>
      <c r="S57" s="6"/>
      <c r="T57" s="6">
        <v>0</v>
      </c>
      <c r="U57" s="6"/>
      <c r="V57" s="6">
        <v>0</v>
      </c>
      <c r="X57" s="6">
        <v>0</v>
      </c>
      <c r="Z57" s="6">
        <v>0</v>
      </c>
      <c r="AB57" s="6">
        <v>0</v>
      </c>
      <c r="AD57" s="6">
        <v>0</v>
      </c>
      <c r="AF57" s="6">
        <v>0</v>
      </c>
      <c r="AH57" s="6">
        <v>0</v>
      </c>
      <c r="AJ57" s="6">
        <v>0</v>
      </c>
      <c r="AN57" s="6">
        <v>0</v>
      </c>
      <c r="AP57" s="6">
        <v>0</v>
      </c>
      <c r="AR57" s="6">
        <v>0</v>
      </c>
      <c r="AT57" s="6">
        <v>0</v>
      </c>
      <c r="AV57" s="6">
        <v>0</v>
      </c>
      <c r="AX57" s="6">
        <v>0</v>
      </c>
      <c r="AZ57" s="6">
        <v>0</v>
      </c>
      <c r="BB57" s="6">
        <v>0</v>
      </c>
      <c r="BD57" s="6">
        <v>0</v>
      </c>
      <c r="BF57" s="6">
        <v>0</v>
      </c>
      <c r="BH57" s="6">
        <v>0</v>
      </c>
      <c r="BJ57" s="6">
        <v>0</v>
      </c>
      <c r="BL57" s="6">
        <v>0</v>
      </c>
      <c r="BM57" s="6"/>
      <c r="BN57" s="6">
        <f t="shared" si="9"/>
        <v>0</v>
      </c>
      <c r="BO57" s="6"/>
      <c r="BP57" s="6">
        <v>0</v>
      </c>
      <c r="BQ57" s="6"/>
      <c r="BR57" s="6">
        <f t="shared" si="10"/>
        <v>0</v>
      </c>
      <c r="BT57" s="6">
        <f t="shared" si="11"/>
        <v>0</v>
      </c>
      <c r="BV57" s="6">
        <f t="shared" si="12"/>
        <v>0</v>
      </c>
      <c r="BW57" s="6"/>
    </row>
    <row r="58" spans="1:75" hidden="1">
      <c r="A58" s="57"/>
      <c r="B58" s="17" t="s">
        <v>149</v>
      </c>
      <c r="C58"/>
      <c r="D58"/>
      <c r="E58"/>
      <c r="F58"/>
      <c r="G58"/>
      <c r="H58"/>
      <c r="I58"/>
      <c r="J58" s="49" t="s">
        <v>229</v>
      </c>
      <c r="K58"/>
      <c r="L58" s="134" t="s">
        <v>202</v>
      </c>
      <c r="M58" s="6"/>
      <c r="N58" s="6">
        <v>0</v>
      </c>
      <c r="O58" s="6"/>
      <c r="P58" s="6">
        <v>0</v>
      </c>
      <c r="Q58" s="6"/>
      <c r="R58" s="6">
        <f t="shared" si="13"/>
        <v>0</v>
      </c>
      <c r="S58" s="6"/>
      <c r="T58" s="6">
        <v>0</v>
      </c>
      <c r="U58" s="6"/>
      <c r="V58" s="6">
        <v>0</v>
      </c>
      <c r="X58" s="6">
        <v>0</v>
      </c>
      <c r="Z58" s="6">
        <v>0</v>
      </c>
      <c r="AB58" s="6">
        <v>0</v>
      </c>
      <c r="AD58" s="6">
        <v>0</v>
      </c>
      <c r="AF58" s="6">
        <v>0</v>
      </c>
      <c r="AH58" s="6">
        <v>0</v>
      </c>
      <c r="AJ58" s="6">
        <v>0</v>
      </c>
      <c r="AN58" s="6">
        <v>0</v>
      </c>
      <c r="AP58" s="6">
        <v>0</v>
      </c>
      <c r="AR58" s="6">
        <v>0</v>
      </c>
      <c r="AT58" s="6">
        <v>0</v>
      </c>
      <c r="AV58" s="6">
        <v>0</v>
      </c>
      <c r="AX58" s="6">
        <v>0</v>
      </c>
      <c r="AZ58" s="6">
        <v>0</v>
      </c>
      <c r="BB58" s="6">
        <v>0</v>
      </c>
      <c r="BD58" s="6">
        <v>0</v>
      </c>
      <c r="BF58" s="6">
        <v>0</v>
      </c>
      <c r="BH58" s="6">
        <v>0</v>
      </c>
      <c r="BJ58" s="6">
        <v>0</v>
      </c>
      <c r="BL58" s="6">
        <v>0</v>
      </c>
      <c r="BM58" s="6"/>
      <c r="BN58" s="6">
        <f t="shared" si="9"/>
        <v>0</v>
      </c>
      <c r="BO58" s="6"/>
      <c r="BP58" s="6">
        <v>0</v>
      </c>
      <c r="BQ58" s="6"/>
      <c r="BR58" s="6">
        <f t="shared" si="10"/>
        <v>0</v>
      </c>
      <c r="BT58" s="6">
        <f t="shared" si="11"/>
        <v>0</v>
      </c>
      <c r="BV58" s="6">
        <f t="shared" si="12"/>
        <v>0</v>
      </c>
      <c r="BW58" s="6"/>
    </row>
    <row r="59" spans="1:75" hidden="1">
      <c r="A59" s="57"/>
      <c r="B59" s="17" t="s">
        <v>55</v>
      </c>
      <c r="C59"/>
      <c r="D59"/>
      <c r="E59"/>
      <c r="F59"/>
      <c r="G59"/>
      <c r="H59"/>
      <c r="I59"/>
      <c r="J59" s="49" t="s">
        <v>229</v>
      </c>
      <c r="K59"/>
      <c r="L59" s="134" t="s">
        <v>202</v>
      </c>
      <c r="M59" s="6"/>
      <c r="N59" s="6">
        <v>0</v>
      </c>
      <c r="O59" s="6"/>
      <c r="P59" s="6">
        <v>0</v>
      </c>
      <c r="Q59" s="6"/>
      <c r="R59" s="6">
        <f t="shared" si="13"/>
        <v>0</v>
      </c>
      <c r="S59" s="6"/>
      <c r="T59" s="6">
        <v>0</v>
      </c>
      <c r="U59" s="6"/>
      <c r="V59" s="6">
        <v>0</v>
      </c>
      <c r="X59" s="6">
        <v>0</v>
      </c>
      <c r="Z59" s="6">
        <v>0</v>
      </c>
      <c r="AB59" s="6">
        <v>0</v>
      </c>
      <c r="AD59" s="6">
        <v>0</v>
      </c>
      <c r="AF59" s="6">
        <v>0</v>
      </c>
      <c r="AH59" s="6">
        <v>0</v>
      </c>
      <c r="AJ59" s="6">
        <v>0</v>
      </c>
      <c r="AN59" s="6">
        <v>0</v>
      </c>
      <c r="AP59" s="6">
        <v>0</v>
      </c>
      <c r="AR59" s="6">
        <v>0</v>
      </c>
      <c r="AT59" s="6">
        <v>0</v>
      </c>
      <c r="AV59" s="6">
        <v>0</v>
      </c>
      <c r="AX59" s="6">
        <v>0</v>
      </c>
      <c r="AZ59" s="6">
        <v>0</v>
      </c>
      <c r="BB59" s="6">
        <v>0</v>
      </c>
      <c r="BD59" s="6">
        <v>0</v>
      </c>
      <c r="BF59" s="6">
        <v>0</v>
      </c>
      <c r="BH59" s="6">
        <v>0</v>
      </c>
      <c r="BJ59" s="6">
        <v>0</v>
      </c>
      <c r="BL59" s="6">
        <v>0</v>
      </c>
      <c r="BM59" s="6"/>
      <c r="BN59" s="6">
        <f t="shared" si="9"/>
        <v>0</v>
      </c>
      <c r="BO59" s="6"/>
      <c r="BP59" s="6">
        <v>0</v>
      </c>
      <c r="BQ59" s="6"/>
      <c r="BR59" s="6">
        <f t="shared" si="10"/>
        <v>0</v>
      </c>
      <c r="BT59" s="6">
        <f t="shared" si="11"/>
        <v>0</v>
      </c>
      <c r="BV59" s="6">
        <f t="shared" si="12"/>
        <v>0</v>
      </c>
      <c r="BW59" s="6"/>
    </row>
    <row r="60" spans="1:75" hidden="1">
      <c r="A60" s="57"/>
      <c r="B60" s="17" t="s">
        <v>56</v>
      </c>
      <c r="C60"/>
      <c r="D60"/>
      <c r="E60"/>
      <c r="F60"/>
      <c r="G60"/>
      <c r="H60"/>
      <c r="I60"/>
      <c r="J60" s="49" t="s">
        <v>229</v>
      </c>
      <c r="K60"/>
      <c r="L60" s="134" t="s">
        <v>202</v>
      </c>
      <c r="M60" s="6"/>
      <c r="N60" s="6">
        <v>0</v>
      </c>
      <c r="O60" s="6"/>
      <c r="P60" s="6">
        <v>0</v>
      </c>
      <c r="Q60" s="6"/>
      <c r="R60" s="6">
        <f t="shared" si="13"/>
        <v>0</v>
      </c>
      <c r="S60" s="6"/>
      <c r="T60" s="6">
        <v>0</v>
      </c>
      <c r="U60" s="6"/>
      <c r="V60" s="6">
        <v>0</v>
      </c>
      <c r="X60" s="6">
        <v>0</v>
      </c>
      <c r="Z60" s="6">
        <v>0</v>
      </c>
      <c r="AB60" s="6">
        <v>0</v>
      </c>
      <c r="AD60" s="6">
        <v>0</v>
      </c>
      <c r="AF60" s="6">
        <v>0</v>
      </c>
      <c r="AH60" s="6">
        <v>0</v>
      </c>
      <c r="AJ60" s="6">
        <v>0</v>
      </c>
      <c r="AN60" s="6">
        <v>0</v>
      </c>
      <c r="AP60" s="6">
        <v>0</v>
      </c>
      <c r="AR60" s="6">
        <v>0</v>
      </c>
      <c r="AT60" s="6">
        <v>0</v>
      </c>
      <c r="AV60" s="6">
        <v>0</v>
      </c>
      <c r="AX60" s="6">
        <v>0</v>
      </c>
      <c r="AZ60" s="6">
        <v>0</v>
      </c>
      <c r="BB60" s="6">
        <v>0</v>
      </c>
      <c r="BD60" s="6">
        <v>0</v>
      </c>
      <c r="BF60" s="6">
        <v>0</v>
      </c>
      <c r="BH60" s="6">
        <v>0</v>
      </c>
      <c r="BJ60" s="6">
        <v>0</v>
      </c>
      <c r="BL60" s="6">
        <v>0</v>
      </c>
      <c r="BM60" s="6"/>
      <c r="BN60" s="6">
        <f t="shared" si="9"/>
        <v>0</v>
      </c>
      <c r="BO60" s="6"/>
      <c r="BP60" s="6">
        <v>0</v>
      </c>
      <c r="BQ60" s="6"/>
      <c r="BR60" s="6">
        <f t="shared" si="10"/>
        <v>0</v>
      </c>
      <c r="BT60" s="6">
        <f t="shared" si="11"/>
        <v>0</v>
      </c>
      <c r="BV60" s="6">
        <f t="shared" si="12"/>
        <v>0</v>
      </c>
      <c r="BW60" s="6"/>
    </row>
    <row r="61" spans="1:75" hidden="1">
      <c r="A61" s="57"/>
      <c r="B61" s="17" t="s">
        <v>57</v>
      </c>
      <c r="C61"/>
      <c r="D61"/>
      <c r="E61"/>
      <c r="F61"/>
      <c r="G61"/>
      <c r="H61"/>
      <c r="I61"/>
      <c r="J61" s="49" t="s">
        <v>229</v>
      </c>
      <c r="K61"/>
      <c r="L61" s="134" t="s">
        <v>202</v>
      </c>
      <c r="M61" s="6"/>
      <c r="N61" s="6">
        <v>0</v>
      </c>
      <c r="O61" s="6"/>
      <c r="P61" s="6">
        <v>0</v>
      </c>
      <c r="Q61" s="6"/>
      <c r="R61" s="6">
        <f t="shared" si="13"/>
        <v>0</v>
      </c>
      <c r="S61" s="6"/>
      <c r="T61" s="6">
        <v>0</v>
      </c>
      <c r="U61" s="6"/>
      <c r="V61" s="6">
        <v>0</v>
      </c>
      <c r="X61" s="6">
        <v>0</v>
      </c>
      <c r="Z61" s="6">
        <v>0</v>
      </c>
      <c r="AB61" s="6">
        <v>0</v>
      </c>
      <c r="AD61" s="6">
        <v>0</v>
      </c>
      <c r="AF61" s="6">
        <v>0</v>
      </c>
      <c r="AH61" s="6">
        <v>0</v>
      </c>
      <c r="AJ61" s="6">
        <v>0</v>
      </c>
      <c r="AN61" s="6">
        <v>0</v>
      </c>
      <c r="AP61" s="6">
        <v>0</v>
      </c>
      <c r="AR61" s="6">
        <v>0</v>
      </c>
      <c r="AT61" s="6">
        <v>0</v>
      </c>
      <c r="AV61" s="6">
        <v>0</v>
      </c>
      <c r="AX61" s="6">
        <v>0</v>
      </c>
      <c r="AZ61" s="6">
        <v>0</v>
      </c>
      <c r="BB61" s="6">
        <v>0</v>
      </c>
      <c r="BD61" s="6">
        <v>0</v>
      </c>
      <c r="BF61" s="6">
        <v>0</v>
      </c>
      <c r="BH61" s="6">
        <v>0</v>
      </c>
      <c r="BJ61" s="6">
        <v>0</v>
      </c>
      <c r="BL61" s="6">
        <v>0</v>
      </c>
      <c r="BM61" s="6"/>
      <c r="BN61" s="6">
        <f t="shared" si="9"/>
        <v>0</v>
      </c>
      <c r="BO61" s="6"/>
      <c r="BP61" s="6">
        <v>0</v>
      </c>
      <c r="BQ61" s="6"/>
      <c r="BR61" s="6">
        <f t="shared" si="10"/>
        <v>0</v>
      </c>
      <c r="BT61" s="6">
        <f t="shared" si="11"/>
        <v>0</v>
      </c>
      <c r="BV61" s="6">
        <f t="shared" si="12"/>
        <v>0</v>
      </c>
      <c r="BW61" s="6"/>
    </row>
    <row r="62" spans="1:75" hidden="1">
      <c r="A62" s="57"/>
      <c r="B62" s="17" t="s">
        <v>150</v>
      </c>
      <c r="C62"/>
      <c r="D62"/>
      <c r="E62"/>
      <c r="F62"/>
      <c r="G62"/>
      <c r="H62"/>
      <c r="I62"/>
      <c r="J62" s="49" t="s">
        <v>229</v>
      </c>
      <c r="K62"/>
      <c r="L62" s="134" t="s">
        <v>202</v>
      </c>
      <c r="M62" s="6"/>
      <c r="N62" s="6">
        <v>0</v>
      </c>
      <c r="O62" s="6"/>
      <c r="P62" s="6">
        <v>0</v>
      </c>
      <c r="Q62" s="6"/>
      <c r="R62" s="6">
        <f t="shared" si="13"/>
        <v>0</v>
      </c>
      <c r="S62" s="6"/>
      <c r="T62" s="6">
        <v>0</v>
      </c>
      <c r="U62" s="6"/>
      <c r="V62" s="6">
        <v>0</v>
      </c>
      <c r="X62" s="6">
        <v>0</v>
      </c>
      <c r="Z62" s="6">
        <v>0</v>
      </c>
      <c r="AB62" s="6">
        <v>0</v>
      </c>
      <c r="AD62" s="6">
        <v>0</v>
      </c>
      <c r="AF62" s="6">
        <v>0</v>
      </c>
      <c r="AH62" s="6">
        <v>0</v>
      </c>
      <c r="AJ62" s="6">
        <v>0</v>
      </c>
      <c r="AN62" s="6">
        <v>0</v>
      </c>
      <c r="AP62" s="6">
        <v>0</v>
      </c>
      <c r="AR62" s="6">
        <v>0</v>
      </c>
      <c r="AT62" s="6">
        <v>0</v>
      </c>
      <c r="AV62" s="6">
        <v>0</v>
      </c>
      <c r="AX62" s="6">
        <v>0</v>
      </c>
      <c r="AZ62" s="6">
        <v>0</v>
      </c>
      <c r="BB62" s="6">
        <v>0</v>
      </c>
      <c r="BD62" s="6">
        <v>0</v>
      </c>
      <c r="BF62" s="6">
        <v>0</v>
      </c>
      <c r="BH62" s="6">
        <v>0</v>
      </c>
      <c r="BJ62" s="6">
        <v>0</v>
      </c>
      <c r="BL62" s="6">
        <v>0</v>
      </c>
      <c r="BM62" s="6"/>
      <c r="BN62" s="6">
        <f t="shared" si="9"/>
        <v>0</v>
      </c>
      <c r="BO62" s="6"/>
      <c r="BP62" s="6">
        <v>0</v>
      </c>
      <c r="BQ62" s="6"/>
      <c r="BR62" s="6">
        <f t="shared" si="10"/>
        <v>0</v>
      </c>
      <c r="BT62" s="6">
        <f t="shared" si="11"/>
        <v>0</v>
      </c>
      <c r="BV62" s="6">
        <f t="shared" si="12"/>
        <v>0</v>
      </c>
      <c r="BW62" s="6"/>
    </row>
    <row r="63" spans="1:75" hidden="1">
      <c r="A63" s="57"/>
      <c r="B63" s="17" t="s">
        <v>151</v>
      </c>
      <c r="C63"/>
      <c r="D63"/>
      <c r="E63"/>
      <c r="F63"/>
      <c r="G63"/>
      <c r="H63"/>
      <c r="I63"/>
      <c r="J63" s="49" t="s">
        <v>229</v>
      </c>
      <c r="K63"/>
      <c r="L63" s="134" t="s">
        <v>202</v>
      </c>
      <c r="M63" s="6"/>
      <c r="N63" s="6">
        <v>0</v>
      </c>
      <c r="O63" s="6"/>
      <c r="P63" s="6">
        <v>0</v>
      </c>
      <c r="Q63" s="6"/>
      <c r="R63" s="6">
        <f t="shared" si="13"/>
        <v>0</v>
      </c>
      <c r="S63" s="6"/>
      <c r="T63" s="6">
        <v>0</v>
      </c>
      <c r="U63" s="6"/>
      <c r="V63" s="6">
        <v>0</v>
      </c>
      <c r="X63" s="6">
        <v>0</v>
      </c>
      <c r="Z63" s="6">
        <v>0</v>
      </c>
      <c r="AB63" s="6">
        <v>0</v>
      </c>
      <c r="AD63" s="6">
        <v>0</v>
      </c>
      <c r="AF63" s="6">
        <v>0</v>
      </c>
      <c r="AH63" s="6">
        <v>0</v>
      </c>
      <c r="AJ63" s="6">
        <v>0</v>
      </c>
      <c r="AN63" s="6">
        <v>0</v>
      </c>
      <c r="AP63" s="6">
        <v>0</v>
      </c>
      <c r="AR63" s="6">
        <v>0</v>
      </c>
      <c r="AT63" s="6">
        <v>0</v>
      </c>
      <c r="AV63" s="6">
        <v>0</v>
      </c>
      <c r="AX63" s="6">
        <v>0</v>
      </c>
      <c r="AZ63" s="6">
        <v>0</v>
      </c>
      <c r="BB63" s="6">
        <v>0</v>
      </c>
      <c r="BD63" s="6">
        <v>0</v>
      </c>
      <c r="BF63" s="6">
        <v>0</v>
      </c>
      <c r="BH63" s="6">
        <v>0</v>
      </c>
      <c r="BJ63" s="6">
        <v>0</v>
      </c>
      <c r="BL63" s="6">
        <v>0</v>
      </c>
      <c r="BM63" s="6"/>
      <c r="BN63" s="6">
        <f t="shared" si="9"/>
        <v>0</v>
      </c>
      <c r="BO63" s="6"/>
      <c r="BP63" s="6">
        <v>0</v>
      </c>
      <c r="BQ63" s="6"/>
      <c r="BR63" s="6">
        <f t="shared" si="10"/>
        <v>0</v>
      </c>
      <c r="BT63" s="6">
        <f t="shared" si="11"/>
        <v>0</v>
      </c>
      <c r="BV63" s="6">
        <f t="shared" si="12"/>
        <v>0</v>
      </c>
      <c r="BW63" s="6"/>
    </row>
    <row r="64" spans="1:75" hidden="1">
      <c r="A64" s="57"/>
      <c r="B64" s="17" t="s">
        <v>152</v>
      </c>
      <c r="C64"/>
      <c r="D64"/>
      <c r="E64"/>
      <c r="F64"/>
      <c r="G64"/>
      <c r="H64"/>
      <c r="I64"/>
      <c r="J64" s="49" t="s">
        <v>229</v>
      </c>
      <c r="K64"/>
      <c r="L64" s="134" t="s">
        <v>202</v>
      </c>
      <c r="M64" s="6"/>
      <c r="N64" s="6">
        <v>0</v>
      </c>
      <c r="O64" s="6"/>
      <c r="P64" s="6">
        <v>0</v>
      </c>
      <c r="Q64" s="6"/>
      <c r="R64" s="6">
        <f t="shared" si="13"/>
        <v>0</v>
      </c>
      <c r="S64" s="6"/>
      <c r="T64" s="6">
        <v>0</v>
      </c>
      <c r="U64" s="6"/>
      <c r="V64" s="6">
        <v>0</v>
      </c>
      <c r="X64" s="6">
        <v>0</v>
      </c>
      <c r="Z64" s="6">
        <v>0</v>
      </c>
      <c r="AB64" s="6">
        <v>0</v>
      </c>
      <c r="AD64" s="6">
        <v>0</v>
      </c>
      <c r="AF64" s="6">
        <v>0</v>
      </c>
      <c r="AH64" s="6">
        <v>0</v>
      </c>
      <c r="AJ64" s="6">
        <v>0</v>
      </c>
      <c r="AN64" s="6">
        <v>0</v>
      </c>
      <c r="AP64" s="6">
        <v>0</v>
      </c>
      <c r="AR64" s="6">
        <v>0</v>
      </c>
      <c r="AT64" s="6">
        <v>0</v>
      </c>
      <c r="AV64" s="6">
        <v>0</v>
      </c>
      <c r="AX64" s="6">
        <v>0</v>
      </c>
      <c r="AZ64" s="6">
        <v>0</v>
      </c>
      <c r="BB64" s="6">
        <v>0</v>
      </c>
      <c r="BD64" s="6">
        <v>0</v>
      </c>
      <c r="BF64" s="6">
        <v>0</v>
      </c>
      <c r="BH64" s="6">
        <v>0</v>
      </c>
      <c r="BJ64" s="6">
        <v>0</v>
      </c>
      <c r="BL64" s="6">
        <v>0</v>
      </c>
      <c r="BM64" s="6"/>
      <c r="BN64" s="6">
        <f t="shared" si="9"/>
        <v>0</v>
      </c>
      <c r="BO64" s="6"/>
      <c r="BP64" s="6">
        <v>0</v>
      </c>
      <c r="BQ64" s="6"/>
      <c r="BR64" s="6">
        <f t="shared" si="10"/>
        <v>0</v>
      </c>
      <c r="BT64" s="6">
        <f t="shared" si="11"/>
        <v>0</v>
      </c>
      <c r="BV64" s="6">
        <f t="shared" si="12"/>
        <v>0</v>
      </c>
      <c r="BW64" s="6"/>
    </row>
    <row r="65" spans="1:75" hidden="1">
      <c r="A65" s="57"/>
      <c r="B65" s="17" t="s">
        <v>153</v>
      </c>
      <c r="C65"/>
      <c r="D65"/>
      <c r="E65"/>
      <c r="F65"/>
      <c r="G65"/>
      <c r="H65"/>
      <c r="I65"/>
      <c r="J65" s="49" t="s">
        <v>229</v>
      </c>
      <c r="K65"/>
      <c r="L65" s="134" t="s">
        <v>202</v>
      </c>
      <c r="M65" s="6"/>
      <c r="N65" s="6">
        <v>0</v>
      </c>
      <c r="O65" s="6"/>
      <c r="P65" s="6">
        <v>0</v>
      </c>
      <c r="Q65" s="6"/>
      <c r="R65" s="6">
        <f t="shared" si="13"/>
        <v>0</v>
      </c>
      <c r="S65" s="6"/>
      <c r="T65" s="6">
        <v>0</v>
      </c>
      <c r="U65" s="6"/>
      <c r="V65" s="6">
        <v>0</v>
      </c>
      <c r="X65" s="6">
        <v>0</v>
      </c>
      <c r="Z65" s="6">
        <v>0</v>
      </c>
      <c r="AB65" s="6">
        <v>0</v>
      </c>
      <c r="AD65" s="6">
        <v>0</v>
      </c>
      <c r="AF65" s="6">
        <v>0</v>
      </c>
      <c r="AH65" s="6">
        <v>0</v>
      </c>
      <c r="AJ65" s="6">
        <v>0</v>
      </c>
      <c r="AN65" s="6">
        <v>0</v>
      </c>
      <c r="AP65" s="6">
        <v>0</v>
      </c>
      <c r="AR65" s="6">
        <v>0</v>
      </c>
      <c r="AT65" s="6">
        <v>0</v>
      </c>
      <c r="AV65" s="6">
        <v>0</v>
      </c>
      <c r="AX65" s="6">
        <v>0</v>
      </c>
      <c r="AZ65" s="6">
        <v>0</v>
      </c>
      <c r="BB65" s="6">
        <v>0</v>
      </c>
      <c r="BD65" s="6">
        <v>0</v>
      </c>
      <c r="BF65" s="6">
        <v>0</v>
      </c>
      <c r="BH65" s="6">
        <v>0</v>
      </c>
      <c r="BJ65" s="6">
        <v>0</v>
      </c>
      <c r="BL65" s="6">
        <v>0</v>
      </c>
      <c r="BM65" s="6"/>
      <c r="BN65" s="6">
        <f t="shared" si="9"/>
        <v>0</v>
      </c>
      <c r="BO65" s="6"/>
      <c r="BP65" s="6">
        <v>0</v>
      </c>
      <c r="BQ65" s="6"/>
      <c r="BR65" s="6">
        <f t="shared" si="10"/>
        <v>0</v>
      </c>
      <c r="BT65" s="6">
        <f t="shared" si="11"/>
        <v>0</v>
      </c>
      <c r="BV65" s="6">
        <f t="shared" si="12"/>
        <v>0</v>
      </c>
      <c r="BW65" s="6"/>
    </row>
    <row r="66" spans="1:75" hidden="1">
      <c r="A66" s="57"/>
      <c r="B66" s="17" t="s">
        <v>59</v>
      </c>
      <c r="C66"/>
      <c r="D66"/>
      <c r="E66"/>
      <c r="F66"/>
      <c r="G66"/>
      <c r="H66"/>
      <c r="I66"/>
      <c r="J66" s="49" t="s">
        <v>229</v>
      </c>
      <c r="K66"/>
      <c r="L66" s="134" t="s">
        <v>202</v>
      </c>
      <c r="M66" s="6"/>
      <c r="N66" s="6">
        <v>0</v>
      </c>
      <c r="O66" s="6"/>
      <c r="P66" s="6">
        <v>0</v>
      </c>
      <c r="Q66" s="6"/>
      <c r="R66" s="6">
        <f t="shared" si="13"/>
        <v>0</v>
      </c>
      <c r="S66" s="6"/>
      <c r="T66" s="6">
        <v>0</v>
      </c>
      <c r="U66" s="6"/>
      <c r="V66" s="6">
        <v>0</v>
      </c>
      <c r="X66" s="6">
        <v>0</v>
      </c>
      <c r="Z66" s="6">
        <v>0</v>
      </c>
      <c r="AB66" s="6">
        <v>0</v>
      </c>
      <c r="AD66" s="6">
        <v>0</v>
      </c>
      <c r="AF66" s="6">
        <v>0</v>
      </c>
      <c r="AH66" s="6">
        <v>0</v>
      </c>
      <c r="AJ66" s="6">
        <v>0</v>
      </c>
      <c r="AN66" s="6">
        <v>0</v>
      </c>
      <c r="AP66" s="6">
        <v>0</v>
      </c>
      <c r="AR66" s="6">
        <v>0</v>
      </c>
      <c r="AT66" s="6">
        <v>0</v>
      </c>
      <c r="AV66" s="6">
        <v>0</v>
      </c>
      <c r="AX66" s="6">
        <v>0</v>
      </c>
      <c r="AZ66" s="6">
        <v>0</v>
      </c>
      <c r="BB66" s="6">
        <v>0</v>
      </c>
      <c r="BD66" s="6">
        <v>0</v>
      </c>
      <c r="BF66" s="6">
        <v>0</v>
      </c>
      <c r="BH66" s="6">
        <v>0</v>
      </c>
      <c r="BJ66" s="6">
        <v>0</v>
      </c>
      <c r="BL66" s="6">
        <v>0</v>
      </c>
      <c r="BM66" s="6"/>
      <c r="BN66" s="6">
        <f t="shared" si="9"/>
        <v>0</v>
      </c>
      <c r="BO66" s="6"/>
      <c r="BP66" s="6">
        <v>0</v>
      </c>
      <c r="BQ66" s="6"/>
      <c r="BR66" s="6">
        <f t="shared" si="10"/>
        <v>0</v>
      </c>
      <c r="BT66" s="6">
        <f t="shared" si="11"/>
        <v>0</v>
      </c>
      <c r="BV66" s="6">
        <f t="shared" si="12"/>
        <v>0</v>
      </c>
      <c r="BW66" s="6"/>
    </row>
    <row r="67" spans="1:75" hidden="1">
      <c r="A67" s="57"/>
      <c r="B67" s="17" t="s">
        <v>174</v>
      </c>
      <c r="C67"/>
      <c r="D67"/>
      <c r="E67"/>
      <c r="F67"/>
      <c r="G67"/>
      <c r="H67"/>
      <c r="I67"/>
      <c r="J67" s="49" t="s">
        <v>229</v>
      </c>
      <c r="K67"/>
      <c r="L67" s="134" t="s">
        <v>202</v>
      </c>
      <c r="M67" s="6"/>
      <c r="N67" s="6">
        <v>0</v>
      </c>
      <c r="O67" s="6"/>
      <c r="P67" s="6">
        <v>0</v>
      </c>
      <c r="Q67" s="6"/>
      <c r="R67" s="6">
        <f t="shared" si="13"/>
        <v>0</v>
      </c>
      <c r="S67" s="6"/>
      <c r="T67" s="6">
        <v>0</v>
      </c>
      <c r="U67" s="6"/>
      <c r="V67" s="6">
        <v>0</v>
      </c>
      <c r="X67" s="6">
        <v>0</v>
      </c>
      <c r="Z67" s="6">
        <v>0</v>
      </c>
      <c r="AB67" s="6">
        <v>0</v>
      </c>
      <c r="AD67" s="6">
        <v>0</v>
      </c>
      <c r="AF67" s="6">
        <v>0</v>
      </c>
      <c r="AH67" s="6">
        <v>0</v>
      </c>
      <c r="AJ67" s="6">
        <v>0</v>
      </c>
      <c r="AN67" s="6">
        <v>0</v>
      </c>
      <c r="AP67" s="6">
        <v>0</v>
      </c>
      <c r="AR67" s="6">
        <v>0</v>
      </c>
      <c r="AT67" s="6">
        <v>0</v>
      </c>
      <c r="AV67" s="6">
        <v>0</v>
      </c>
      <c r="AX67" s="6">
        <v>0</v>
      </c>
      <c r="AZ67" s="6">
        <v>0</v>
      </c>
      <c r="BB67" s="6">
        <v>0</v>
      </c>
      <c r="BD67" s="6">
        <v>0</v>
      </c>
      <c r="BF67" s="6">
        <v>0</v>
      </c>
      <c r="BH67" s="6">
        <v>0</v>
      </c>
      <c r="BJ67" s="6">
        <v>0</v>
      </c>
      <c r="BL67" s="6">
        <v>0</v>
      </c>
      <c r="BM67" s="6"/>
      <c r="BN67" s="6">
        <f t="shared" si="9"/>
        <v>0</v>
      </c>
      <c r="BO67" s="6"/>
      <c r="BP67" s="6">
        <v>0</v>
      </c>
      <c r="BQ67" s="6"/>
      <c r="BR67" s="6">
        <f t="shared" si="10"/>
        <v>0</v>
      </c>
      <c r="BT67" s="6">
        <f t="shared" si="11"/>
        <v>0</v>
      </c>
      <c r="BV67" s="6">
        <f t="shared" si="12"/>
        <v>0</v>
      </c>
      <c r="BW67" s="6"/>
    </row>
    <row r="68" spans="1:75">
      <c r="A68" s="57"/>
      <c r="B68" s="17" t="s">
        <v>121</v>
      </c>
      <c r="C68"/>
      <c r="D68"/>
      <c r="E68"/>
      <c r="F68"/>
      <c r="G68"/>
      <c r="H68"/>
      <c r="I68"/>
      <c r="J68" s="49" t="s">
        <v>229</v>
      </c>
      <c r="K68"/>
      <c r="L68" s="134" t="s">
        <v>202</v>
      </c>
      <c r="M68" s="6"/>
      <c r="N68" s="6">
        <v>0</v>
      </c>
      <c r="O68" s="6"/>
      <c r="P68" s="6">
        <v>0</v>
      </c>
      <c r="Q68" s="6"/>
      <c r="R68" s="6">
        <f t="shared" si="13"/>
        <v>0</v>
      </c>
      <c r="S68" s="6"/>
      <c r="T68" s="6">
        <v>0</v>
      </c>
      <c r="U68" s="6"/>
      <c r="V68" s="6">
        <v>0</v>
      </c>
      <c r="X68" s="6">
        <v>0</v>
      </c>
      <c r="Z68" s="6">
        <v>0</v>
      </c>
      <c r="AB68" s="6">
        <v>0</v>
      </c>
      <c r="AD68" s="6">
        <v>0</v>
      </c>
      <c r="AF68" s="6">
        <v>0</v>
      </c>
      <c r="AH68" s="6">
        <v>0</v>
      </c>
      <c r="AJ68" s="6">
        <v>0</v>
      </c>
      <c r="AN68" s="6">
        <v>0</v>
      </c>
      <c r="AP68" s="6">
        <v>0</v>
      </c>
      <c r="AR68" s="6">
        <v>0</v>
      </c>
      <c r="AT68" s="6">
        <v>0</v>
      </c>
      <c r="AV68" s="6">
        <v>0</v>
      </c>
      <c r="AX68" s="6">
        <v>0</v>
      </c>
      <c r="AZ68" s="6">
        <v>0</v>
      </c>
      <c r="BB68" s="6">
        <v>0</v>
      </c>
      <c r="BD68" s="6">
        <v>0</v>
      </c>
      <c r="BF68" s="6">
        <v>0</v>
      </c>
      <c r="BH68" s="6">
        <v>0</v>
      </c>
      <c r="BJ68" s="6">
        <v>0</v>
      </c>
      <c r="BL68" s="6">
        <v>0</v>
      </c>
      <c r="BM68" s="6"/>
      <c r="BN68" s="6">
        <f t="shared" si="9"/>
        <v>0</v>
      </c>
      <c r="BO68" s="6"/>
      <c r="BP68" s="6">
        <v>0</v>
      </c>
      <c r="BQ68" s="6"/>
      <c r="BR68" s="6">
        <f t="shared" si="10"/>
        <v>0</v>
      </c>
      <c r="BT68" s="6">
        <f t="shared" si="11"/>
        <v>0</v>
      </c>
      <c r="BV68" s="6">
        <f t="shared" si="12"/>
        <v>0</v>
      </c>
      <c r="BW68" s="6"/>
    </row>
    <row r="69" spans="1:75" s="11" customFormat="1">
      <c r="A69" s="100"/>
      <c r="B69" s="17"/>
      <c r="C69" s="30"/>
      <c r="D69" s="30"/>
      <c r="E69" s="30"/>
      <c r="F69" s="30"/>
      <c r="G69" s="30"/>
      <c r="H69" s="30"/>
      <c r="I69" s="30"/>
      <c r="J69" s="156"/>
      <c r="K69" s="30"/>
      <c r="L69" s="141"/>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c r="BM69" s="12"/>
      <c r="BN69" s="12"/>
      <c r="BO69" s="12"/>
      <c r="BP69" s="12"/>
      <c r="BQ69" s="12"/>
      <c r="BR69" s="6">
        <f t="shared" si="10"/>
        <v>0</v>
      </c>
      <c r="BS69" s="12"/>
      <c r="BT69" s="6">
        <f t="shared" si="11"/>
        <v>0</v>
      </c>
      <c r="BU69" s="12"/>
      <c r="BV69" s="6">
        <f t="shared" si="12"/>
        <v>0</v>
      </c>
      <c r="BW69" s="12"/>
    </row>
    <row r="70" spans="1:75" s="21" customFormat="1">
      <c r="A70" s="107"/>
      <c r="B70" s="77" t="s">
        <v>243</v>
      </c>
      <c r="J70" s="8"/>
      <c r="L70" s="143"/>
      <c r="M70" s="9"/>
      <c r="N70" s="108">
        <f>SUM(N41:N69)</f>
        <v>0</v>
      </c>
      <c r="O70" s="16"/>
      <c r="P70" s="108">
        <f>SUM(P41:P69)</f>
        <v>0</v>
      </c>
      <c r="Q70" s="16"/>
      <c r="R70" s="108">
        <f>SUM(R41:R69)</f>
        <v>0</v>
      </c>
      <c r="S70" s="9"/>
      <c r="T70" s="108">
        <f>SUM(T41:T69)</f>
        <v>0</v>
      </c>
      <c r="U70" s="9"/>
      <c r="V70" s="108">
        <f>SUM(V41:V69)</f>
        <v>0</v>
      </c>
      <c r="W70" s="9"/>
      <c r="X70" s="108">
        <f>SUM(X41:X69)</f>
        <v>0</v>
      </c>
      <c r="Y70" s="9"/>
      <c r="Z70" s="108">
        <f>SUM(Z41:Z69)</f>
        <v>0</v>
      </c>
      <c r="AA70" s="9"/>
      <c r="AB70" s="108">
        <f>SUM(AB41:AB69)</f>
        <v>0</v>
      </c>
      <c r="AC70" s="9"/>
      <c r="AD70" s="108">
        <f>SUM(AD41:AD69)</f>
        <v>0</v>
      </c>
      <c r="AE70" s="9"/>
      <c r="AF70" s="108">
        <f>SUM(AF41:AF69)</f>
        <v>0</v>
      </c>
      <c r="AG70" s="9"/>
      <c r="AH70" s="108">
        <f>SUM(AH41:AH69)</f>
        <v>0</v>
      </c>
      <c r="AI70" s="9"/>
      <c r="AJ70" s="108">
        <f>SUM(AJ41:AJ69)</f>
        <v>0</v>
      </c>
      <c r="AK70" s="9"/>
      <c r="AL70" s="108">
        <f>SUM(AL41:AL69)</f>
        <v>0</v>
      </c>
      <c r="AM70" s="108"/>
      <c r="AN70" s="108">
        <f>SUM(AN41:AN69)</f>
        <v>0</v>
      </c>
      <c r="AO70" s="9"/>
      <c r="AP70" s="108">
        <f>SUM(AP41:AP69)</f>
        <v>0</v>
      </c>
      <c r="AQ70" s="9"/>
      <c r="AR70" s="108">
        <f>SUM(AR41:AR69)</f>
        <v>0</v>
      </c>
      <c r="AS70" s="9"/>
      <c r="AT70" s="108">
        <f>SUM(AT41:AT69)</f>
        <v>0</v>
      </c>
      <c r="AU70" s="9"/>
      <c r="AV70" s="108">
        <f>SUM(AV41:AV69)</f>
        <v>0</v>
      </c>
      <c r="AW70" s="103"/>
      <c r="AX70" s="108">
        <f>SUM(AX41:AX69)</f>
        <v>0</v>
      </c>
      <c r="AY70" s="103"/>
      <c r="AZ70" s="108">
        <f>SUM(AZ41:AZ69)</f>
        <v>0</v>
      </c>
      <c r="BA70" s="103"/>
      <c r="BB70" s="108">
        <f>SUM(BB41:BB69)</f>
        <v>0</v>
      </c>
      <c r="BC70" s="103"/>
      <c r="BD70" s="108">
        <f>SUM(BD41:BD69)</f>
        <v>0</v>
      </c>
      <c r="BE70" s="103"/>
      <c r="BF70" s="108">
        <f>SUM(BF41:BF69)</f>
        <v>0</v>
      </c>
      <c r="BG70" s="103"/>
      <c r="BH70" s="108">
        <f>SUM(BH41:BH69)</f>
        <v>0</v>
      </c>
      <c r="BI70" s="103"/>
      <c r="BJ70" s="108">
        <f>SUM(BJ41:BJ69)</f>
        <v>0</v>
      </c>
      <c r="BK70" s="103"/>
      <c r="BL70" s="108">
        <f>SUM(BL41:BL69)</f>
        <v>0</v>
      </c>
      <c r="BM70" s="9"/>
      <c r="BN70" s="108">
        <f>SUM(BN41:BN69)</f>
        <v>0</v>
      </c>
      <c r="BO70" s="9"/>
      <c r="BP70" s="108">
        <f>SUM(BP41:BP69)</f>
        <v>0</v>
      </c>
      <c r="BQ70" s="9"/>
      <c r="BR70" s="108">
        <f>SUM(BR41:BR69)</f>
        <v>0</v>
      </c>
      <c r="BS70" s="9"/>
      <c r="BT70" s="108">
        <f>SUM(BT41:BT69)</f>
        <v>0</v>
      </c>
      <c r="BU70" s="9"/>
      <c r="BV70" s="108">
        <f>SUM(BV41:BV69)</f>
        <v>0</v>
      </c>
      <c r="BW70" s="9"/>
    </row>
    <row r="71" spans="1:75">
      <c r="A71" s="57"/>
      <c r="B71" s="17"/>
      <c r="C71"/>
      <c r="D71"/>
      <c r="E71"/>
      <c r="F71"/>
      <c r="G71"/>
      <c r="H71"/>
      <c r="I71"/>
      <c r="J71" s="49"/>
      <c r="K71"/>
      <c r="L71" s="134"/>
      <c r="M71" s="6"/>
      <c r="O71" s="6"/>
      <c r="Q71" s="6"/>
      <c r="S71" s="6"/>
      <c r="T71" s="6"/>
      <c r="U71" s="6"/>
      <c r="V71" s="6"/>
      <c r="X71" s="6"/>
      <c r="Z71" s="6"/>
      <c r="AB71" s="6"/>
      <c r="AD71" s="6"/>
      <c r="BL71" s="6"/>
      <c r="BM71" s="6"/>
      <c r="BO71" s="6"/>
      <c r="BP71" s="6"/>
      <c r="BQ71" s="6"/>
      <c r="BW71" s="6"/>
    </row>
    <row r="72" spans="1:75">
      <c r="A72" s="56" t="s">
        <v>227</v>
      </c>
      <c r="B72" s="11"/>
      <c r="C72"/>
      <c r="D72"/>
      <c r="E72"/>
      <c r="F72"/>
      <c r="G72"/>
      <c r="H72"/>
      <c r="I72"/>
      <c r="J72" s="49"/>
      <c r="K72"/>
      <c r="L72" s="134"/>
      <c r="M72" s="6"/>
      <c r="O72" s="6"/>
      <c r="Q72" s="6"/>
      <c r="S72" s="6"/>
      <c r="T72" s="6"/>
      <c r="U72" s="6"/>
      <c r="V72" s="6"/>
      <c r="X72" s="6"/>
      <c r="Z72" s="6"/>
      <c r="AB72" s="6"/>
      <c r="AD72" s="6"/>
      <c r="BL72" s="6"/>
      <c r="BM72" s="6"/>
      <c r="BO72" s="6"/>
      <c r="BP72" s="6"/>
      <c r="BQ72" s="6"/>
      <c r="BW72" s="6"/>
    </row>
    <row r="73" spans="1:75">
      <c r="A73" s="61"/>
      <c r="B73" s="17" t="s">
        <v>228</v>
      </c>
      <c r="C73"/>
      <c r="D73"/>
      <c r="E73"/>
      <c r="F73"/>
      <c r="G73"/>
      <c r="H73"/>
      <c r="I73"/>
      <c r="J73" s="49" t="s">
        <v>236</v>
      </c>
      <c r="K73"/>
      <c r="L73" s="134" t="s">
        <v>202</v>
      </c>
      <c r="M73" s="6"/>
      <c r="N73" s="6">
        <v>0</v>
      </c>
      <c r="O73" s="6"/>
      <c r="P73" s="6">
        <v>0</v>
      </c>
      <c r="Q73" s="6"/>
      <c r="R73" s="6">
        <v>0</v>
      </c>
      <c r="S73" s="6"/>
      <c r="T73" s="6">
        <v>0</v>
      </c>
      <c r="U73" s="22"/>
      <c r="V73" s="6">
        <v>0</v>
      </c>
      <c r="W73" s="22"/>
      <c r="X73" s="6">
        <v>0</v>
      </c>
      <c r="Y73" s="22"/>
      <c r="Z73" s="6">
        <v>0</v>
      </c>
      <c r="AA73" s="22"/>
      <c r="AB73" s="6">
        <v>0</v>
      </c>
      <c r="AC73" s="22"/>
      <c r="AD73" s="6">
        <v>0</v>
      </c>
      <c r="AE73" s="22"/>
      <c r="AF73" s="6">
        <v>0</v>
      </c>
      <c r="AG73" s="22"/>
      <c r="AH73" s="6">
        <f>929800/12</f>
        <v>77483.333333333328</v>
      </c>
      <c r="AI73" s="22"/>
      <c r="AJ73" s="6">
        <v>77483.33</v>
      </c>
      <c r="AK73" s="22"/>
      <c r="AL73" s="6">
        <v>-232450</v>
      </c>
      <c r="AM73" s="22"/>
      <c r="AN73" s="6">
        <v>77483.34</v>
      </c>
      <c r="AO73" s="22"/>
      <c r="AP73" s="6">
        <v>0</v>
      </c>
      <c r="AQ73" s="22"/>
      <c r="AR73" s="6">
        <v>0</v>
      </c>
      <c r="AS73" s="22"/>
      <c r="AT73" s="6">
        <v>0</v>
      </c>
      <c r="AU73" s="22"/>
      <c r="AV73" s="6">
        <v>0</v>
      </c>
      <c r="AX73" s="6">
        <v>0</v>
      </c>
      <c r="AZ73" s="6">
        <v>0</v>
      </c>
      <c r="BB73" s="6">
        <v>0</v>
      </c>
      <c r="BD73" s="6">
        <v>0</v>
      </c>
      <c r="BF73" s="6">
        <v>0</v>
      </c>
      <c r="BH73" s="6">
        <v>0</v>
      </c>
      <c r="BJ73" s="6">
        <v>0</v>
      </c>
      <c r="BL73" s="6">
        <v>0</v>
      </c>
      <c r="BM73" s="6"/>
      <c r="BN73" s="6">
        <f t="shared" ref="BN73:BN78" si="14">SUM(T73:BM73)</f>
        <v>3.3333333267364651E-3</v>
      </c>
      <c r="BO73" s="6"/>
      <c r="BP73" s="6">
        <v>0</v>
      </c>
      <c r="BQ73" s="6"/>
      <c r="BR73" s="6">
        <f t="shared" ref="BR73:BR79" si="15">IF(+R73-BN73+BP73&gt;0,R73-BN73+BP73,0)</f>
        <v>0</v>
      </c>
      <c r="BT73" s="6">
        <f t="shared" ref="BT73:BT78" si="16">+BN73+BR73</f>
        <v>3.3333333267364651E-3</v>
      </c>
      <c r="BV73" s="6">
        <f t="shared" ref="BV73:BV78" si="17">+R73-BT73</f>
        <v>-3.3333333267364651E-3</v>
      </c>
      <c r="BW73" s="6"/>
    </row>
    <row r="74" spans="1:75">
      <c r="A74" s="61"/>
      <c r="B74" s="17" t="s">
        <v>230</v>
      </c>
      <c r="C74"/>
      <c r="D74"/>
      <c r="E74"/>
      <c r="F74"/>
      <c r="G74"/>
      <c r="H74"/>
      <c r="I74"/>
      <c r="J74" s="49" t="s">
        <v>230</v>
      </c>
      <c r="K74"/>
      <c r="L74" s="134" t="s">
        <v>202</v>
      </c>
      <c r="M74" s="6"/>
      <c r="N74" s="6">
        <v>0</v>
      </c>
      <c r="O74" s="6"/>
      <c r="P74" s="6">
        <v>0</v>
      </c>
      <c r="Q74" s="6"/>
      <c r="R74" s="6">
        <v>0</v>
      </c>
      <c r="S74" s="6"/>
      <c r="T74" s="6">
        <v>0</v>
      </c>
      <c r="U74" s="22"/>
      <c r="V74" s="6">
        <v>0</v>
      </c>
      <c r="W74" s="22"/>
      <c r="X74" s="6">
        <v>0</v>
      </c>
      <c r="Y74" s="22"/>
      <c r="Z74" s="6">
        <v>0</v>
      </c>
      <c r="AA74" s="22"/>
      <c r="AB74" s="6">
        <v>0</v>
      </c>
      <c r="AC74" s="22"/>
      <c r="AD74" s="6">
        <v>0</v>
      </c>
      <c r="AE74" s="22"/>
      <c r="AF74" s="6">
        <v>0</v>
      </c>
      <c r="AG74" s="22"/>
      <c r="AH74" s="6">
        <f>2840700/12</f>
        <v>236725</v>
      </c>
      <c r="AI74" s="22"/>
      <c r="AJ74" s="6">
        <v>236725</v>
      </c>
      <c r="AK74" s="22"/>
      <c r="AL74" s="6">
        <v>-710172</v>
      </c>
      <c r="AM74" s="22"/>
      <c r="AN74" s="6">
        <v>236722.33</v>
      </c>
      <c r="AO74" s="22"/>
      <c r="AP74" s="6">
        <v>0</v>
      </c>
      <c r="AQ74" s="22"/>
      <c r="AR74" s="6">
        <v>0</v>
      </c>
      <c r="AS74" s="22"/>
      <c r="AT74" s="6">
        <v>0</v>
      </c>
      <c r="AU74" s="22"/>
      <c r="AV74" s="6">
        <v>0</v>
      </c>
      <c r="AX74" s="6">
        <v>0</v>
      </c>
      <c r="AZ74" s="6">
        <v>0</v>
      </c>
      <c r="BB74" s="6">
        <v>0</v>
      </c>
      <c r="BD74" s="6">
        <v>0</v>
      </c>
      <c r="BF74" s="6">
        <v>0</v>
      </c>
      <c r="BH74" s="6">
        <v>0</v>
      </c>
      <c r="BJ74" s="6">
        <v>0</v>
      </c>
      <c r="BL74" s="6">
        <v>0</v>
      </c>
      <c r="BM74" s="6"/>
      <c r="BN74" s="6">
        <f t="shared" si="14"/>
        <v>0.32999999998719431</v>
      </c>
      <c r="BO74" s="6"/>
      <c r="BP74" s="6">
        <v>0</v>
      </c>
      <c r="BQ74" s="6"/>
      <c r="BR74" s="6">
        <f t="shared" si="15"/>
        <v>0</v>
      </c>
      <c r="BT74" s="6">
        <f t="shared" si="16"/>
        <v>0.32999999998719431</v>
      </c>
      <c r="BV74" s="6">
        <f t="shared" si="17"/>
        <v>-0.32999999998719431</v>
      </c>
      <c r="BW74" s="6"/>
    </row>
    <row r="75" spans="1:75">
      <c r="A75" s="61"/>
      <c r="B75" s="17" t="s">
        <v>231</v>
      </c>
      <c r="C75"/>
      <c r="D75"/>
      <c r="E75"/>
      <c r="F75"/>
      <c r="G75"/>
      <c r="H75"/>
      <c r="I75"/>
      <c r="J75" s="49" t="s">
        <v>236</v>
      </c>
      <c r="K75"/>
      <c r="L75" s="134" t="s">
        <v>202</v>
      </c>
      <c r="M75" s="6"/>
      <c r="N75" s="6">
        <v>0</v>
      </c>
      <c r="O75" s="6"/>
      <c r="P75" s="6">
        <v>0</v>
      </c>
      <c r="Q75" s="6"/>
      <c r="R75" s="6">
        <v>0</v>
      </c>
      <c r="S75" s="6"/>
      <c r="T75" s="6">
        <v>0</v>
      </c>
      <c r="U75" s="22"/>
      <c r="V75" s="6">
        <v>0</v>
      </c>
      <c r="W75" s="22"/>
      <c r="X75" s="6">
        <v>0</v>
      </c>
      <c r="Y75" s="22"/>
      <c r="Z75" s="6">
        <v>0</v>
      </c>
      <c r="AA75" s="22"/>
      <c r="AB75" s="6">
        <v>0</v>
      </c>
      <c r="AC75" s="22"/>
      <c r="AD75" s="6">
        <v>0</v>
      </c>
      <c r="AE75" s="22"/>
      <c r="AF75" s="6">
        <v>0</v>
      </c>
      <c r="AG75" s="22"/>
      <c r="AH75" s="6">
        <v>0</v>
      </c>
      <c r="AI75" s="22"/>
      <c r="AJ75" s="6">
        <v>0</v>
      </c>
      <c r="AK75" s="22"/>
      <c r="AM75" s="22"/>
      <c r="AN75" s="6">
        <v>0</v>
      </c>
      <c r="AO75" s="22"/>
      <c r="AP75" s="6">
        <v>0</v>
      </c>
      <c r="AQ75" s="22"/>
      <c r="AR75" s="6">
        <v>0</v>
      </c>
      <c r="AS75" s="22"/>
      <c r="AT75" s="6">
        <v>0</v>
      </c>
      <c r="AU75" s="22"/>
      <c r="AV75" s="6">
        <v>0</v>
      </c>
      <c r="AX75" s="6">
        <v>0</v>
      </c>
      <c r="AZ75" s="6">
        <v>0</v>
      </c>
      <c r="BB75" s="6">
        <v>0</v>
      </c>
      <c r="BD75" s="6">
        <v>0</v>
      </c>
      <c r="BF75" s="6">
        <v>0</v>
      </c>
      <c r="BH75" s="6">
        <v>0</v>
      </c>
      <c r="BJ75" s="6">
        <v>0</v>
      </c>
      <c r="BL75" s="6">
        <v>0</v>
      </c>
      <c r="BM75" s="6"/>
      <c r="BN75" s="6">
        <f t="shared" si="14"/>
        <v>0</v>
      </c>
      <c r="BO75" s="6"/>
      <c r="BP75" s="6">
        <v>0</v>
      </c>
      <c r="BQ75" s="6"/>
      <c r="BR75" s="6">
        <f t="shared" si="15"/>
        <v>0</v>
      </c>
      <c r="BT75" s="6">
        <f t="shared" si="16"/>
        <v>0</v>
      </c>
      <c r="BV75" s="6">
        <f t="shared" si="17"/>
        <v>0</v>
      </c>
      <c r="BW75" s="6"/>
    </row>
    <row r="76" spans="1:75">
      <c r="A76" s="61"/>
      <c r="B76" s="17" t="s">
        <v>232</v>
      </c>
      <c r="C76"/>
      <c r="D76"/>
      <c r="E76"/>
      <c r="F76"/>
      <c r="G76"/>
      <c r="H76"/>
      <c r="I76"/>
      <c r="J76" s="49" t="s">
        <v>236</v>
      </c>
      <c r="K76"/>
      <c r="L76" s="134" t="s">
        <v>202</v>
      </c>
      <c r="M76" s="6"/>
      <c r="N76" s="12">
        <v>0</v>
      </c>
      <c r="O76" s="12"/>
      <c r="P76" s="12">
        <v>0</v>
      </c>
      <c r="Q76" s="12"/>
      <c r="R76" s="6">
        <f>+N76+P76</f>
        <v>0</v>
      </c>
      <c r="S76" s="12"/>
      <c r="T76" s="12">
        <v>0</v>
      </c>
      <c r="U76" s="80"/>
      <c r="V76" s="12">
        <v>0</v>
      </c>
      <c r="W76" s="80"/>
      <c r="X76" s="12">
        <v>0</v>
      </c>
      <c r="Y76" s="80"/>
      <c r="Z76" s="12">
        <v>0</v>
      </c>
      <c r="AA76" s="80"/>
      <c r="AB76" s="12">
        <v>0</v>
      </c>
      <c r="AC76" s="80"/>
      <c r="AD76" s="12">
        <v>0</v>
      </c>
      <c r="AE76" s="80"/>
      <c r="AF76" s="12">
        <v>0</v>
      </c>
      <c r="AG76" s="80"/>
      <c r="AH76" s="12">
        <v>0</v>
      </c>
      <c r="AI76" s="80"/>
      <c r="AJ76" s="12">
        <v>0</v>
      </c>
      <c r="AK76" s="80"/>
      <c r="AL76" s="12"/>
      <c r="AM76" s="80"/>
      <c r="AN76" s="12">
        <v>0</v>
      </c>
      <c r="AO76" s="80"/>
      <c r="AP76" s="12">
        <v>0</v>
      </c>
      <c r="AQ76" s="80"/>
      <c r="AR76" s="12">
        <v>0</v>
      </c>
      <c r="AS76" s="80"/>
      <c r="AT76" s="12">
        <v>0</v>
      </c>
      <c r="AU76" s="80"/>
      <c r="AV76" s="12">
        <v>0</v>
      </c>
      <c r="AW76" s="12"/>
      <c r="AX76" s="12">
        <v>0</v>
      </c>
      <c r="AY76" s="12"/>
      <c r="AZ76" s="12">
        <v>0</v>
      </c>
      <c r="BA76" s="12"/>
      <c r="BB76" s="12">
        <v>0</v>
      </c>
      <c r="BC76" s="12"/>
      <c r="BD76" s="12">
        <v>0</v>
      </c>
      <c r="BE76" s="12"/>
      <c r="BF76" s="12">
        <v>0</v>
      </c>
      <c r="BG76" s="12"/>
      <c r="BH76" s="12">
        <v>0</v>
      </c>
      <c r="BI76" s="12"/>
      <c r="BJ76" s="12">
        <v>0</v>
      </c>
      <c r="BK76" s="12"/>
      <c r="BL76" s="12">
        <v>0</v>
      </c>
      <c r="BM76" s="12"/>
      <c r="BN76" s="12">
        <f t="shared" si="14"/>
        <v>0</v>
      </c>
      <c r="BO76" s="6"/>
      <c r="BP76" s="12">
        <v>0</v>
      </c>
      <c r="BQ76" s="6"/>
      <c r="BR76" s="6">
        <f t="shared" si="15"/>
        <v>0</v>
      </c>
      <c r="BS76" s="12"/>
      <c r="BT76" s="6">
        <f t="shared" si="16"/>
        <v>0</v>
      </c>
      <c r="BU76" s="12"/>
      <c r="BV76" s="6">
        <f t="shared" si="17"/>
        <v>0</v>
      </c>
      <c r="BW76" s="12"/>
    </row>
    <row r="77" spans="1:75" s="11" customFormat="1">
      <c r="A77" s="17"/>
      <c r="B77" s="17" t="s">
        <v>233</v>
      </c>
      <c r="C77" s="30"/>
      <c r="D77" s="30"/>
      <c r="E77" s="30"/>
      <c r="F77" s="30"/>
      <c r="G77" s="30"/>
      <c r="H77" s="30"/>
      <c r="I77" s="30"/>
      <c r="J77" s="156" t="s">
        <v>236</v>
      </c>
      <c r="K77" s="30"/>
      <c r="L77" s="134" t="s">
        <v>202</v>
      </c>
      <c r="M77" s="12"/>
      <c r="N77" s="12">
        <v>0</v>
      </c>
      <c r="O77" s="12"/>
      <c r="P77" s="12">
        <v>0</v>
      </c>
      <c r="Q77" s="12"/>
      <c r="R77" s="6">
        <f>+N77+P77</f>
        <v>0</v>
      </c>
      <c r="S77" s="12"/>
      <c r="T77" s="12">
        <v>0</v>
      </c>
      <c r="U77" s="80"/>
      <c r="V77" s="12">
        <v>0</v>
      </c>
      <c r="W77" s="80"/>
      <c r="X77" s="12">
        <v>0</v>
      </c>
      <c r="Y77" s="80"/>
      <c r="Z77" s="12">
        <v>0</v>
      </c>
      <c r="AA77" s="80"/>
      <c r="AB77" s="12">
        <v>0</v>
      </c>
      <c r="AC77" s="80"/>
      <c r="AD77" s="12">
        <v>0</v>
      </c>
      <c r="AE77" s="80"/>
      <c r="AF77" s="12">
        <v>0</v>
      </c>
      <c r="AG77" s="80"/>
      <c r="AH77" s="12">
        <v>0</v>
      </c>
      <c r="AI77" s="80"/>
      <c r="AJ77" s="12">
        <v>0</v>
      </c>
      <c r="AK77" s="80"/>
      <c r="AL77" s="12"/>
      <c r="AM77" s="80"/>
      <c r="AN77" s="12">
        <v>0</v>
      </c>
      <c r="AO77" s="80"/>
      <c r="AP77" s="12">
        <v>0</v>
      </c>
      <c r="AQ77" s="80"/>
      <c r="AR77" s="12">
        <v>0</v>
      </c>
      <c r="AS77" s="80"/>
      <c r="AT77" s="12">
        <v>0</v>
      </c>
      <c r="AU77" s="80"/>
      <c r="AV77" s="12">
        <v>0</v>
      </c>
      <c r="AW77" s="12"/>
      <c r="AX77" s="12">
        <v>0</v>
      </c>
      <c r="AY77" s="12"/>
      <c r="AZ77" s="12">
        <v>0</v>
      </c>
      <c r="BA77" s="12"/>
      <c r="BB77" s="12">
        <v>0</v>
      </c>
      <c r="BC77" s="12"/>
      <c r="BD77" s="12">
        <v>0</v>
      </c>
      <c r="BE77" s="12"/>
      <c r="BF77" s="12">
        <v>0</v>
      </c>
      <c r="BG77" s="12"/>
      <c r="BH77" s="12">
        <v>0</v>
      </c>
      <c r="BI77" s="12"/>
      <c r="BJ77" s="12">
        <v>0</v>
      </c>
      <c r="BK77" s="12"/>
      <c r="BL77" s="12">
        <v>0</v>
      </c>
      <c r="BM77" s="12"/>
      <c r="BN77" s="12">
        <f t="shared" si="14"/>
        <v>0</v>
      </c>
      <c r="BO77" s="12"/>
      <c r="BP77" s="12">
        <v>0</v>
      </c>
      <c r="BQ77" s="12"/>
      <c r="BR77" s="6">
        <f t="shared" si="15"/>
        <v>0</v>
      </c>
      <c r="BS77" s="12"/>
      <c r="BT77" s="6">
        <f t="shared" si="16"/>
        <v>0</v>
      </c>
      <c r="BU77" s="12"/>
      <c r="BV77" s="6">
        <f t="shared" si="17"/>
        <v>0</v>
      </c>
      <c r="BW77" s="12"/>
    </row>
    <row r="78" spans="1:75">
      <c r="A78" s="61"/>
      <c r="B78" s="17" t="s">
        <v>446</v>
      </c>
      <c r="C78"/>
      <c r="D78"/>
      <c r="E78"/>
      <c r="F78"/>
      <c r="G78"/>
      <c r="H78"/>
      <c r="I78"/>
      <c r="J78" s="49"/>
      <c r="K78"/>
      <c r="L78" s="134" t="s">
        <v>202</v>
      </c>
      <c r="M78" s="6"/>
      <c r="N78" s="12">
        <v>0</v>
      </c>
      <c r="O78" s="12"/>
      <c r="P78" s="12">
        <v>0</v>
      </c>
      <c r="Q78" s="12"/>
      <c r="R78" s="6">
        <f>+N78+P78</f>
        <v>0</v>
      </c>
      <c r="S78" s="12"/>
      <c r="T78" s="12">
        <v>0</v>
      </c>
      <c r="U78" s="80"/>
      <c r="V78" s="12">
        <v>0</v>
      </c>
      <c r="W78" s="80"/>
      <c r="X78" s="12">
        <v>0</v>
      </c>
      <c r="Y78" s="80"/>
      <c r="Z78" s="12">
        <v>0</v>
      </c>
      <c r="AA78" s="80"/>
      <c r="AB78" s="12">
        <v>0</v>
      </c>
      <c r="AC78" s="80"/>
      <c r="AD78" s="12">
        <v>0</v>
      </c>
      <c r="AE78" s="80"/>
      <c r="AF78" s="12">
        <v>0</v>
      </c>
      <c r="AG78" s="80"/>
      <c r="AH78" s="12">
        <v>0</v>
      </c>
      <c r="AI78" s="80"/>
      <c r="AJ78" s="12">
        <v>0</v>
      </c>
      <c r="AK78" s="80"/>
      <c r="AL78" s="12"/>
      <c r="AM78" s="80"/>
      <c r="AN78" s="12">
        <v>0</v>
      </c>
      <c r="AO78" s="80"/>
      <c r="AP78" s="12">
        <v>0</v>
      </c>
      <c r="AQ78" s="80"/>
      <c r="AR78" s="12">
        <v>0</v>
      </c>
      <c r="AS78" s="80"/>
      <c r="AT78" s="12">
        <v>250000</v>
      </c>
      <c r="AU78" s="80"/>
      <c r="AV78" s="12">
        <v>0</v>
      </c>
      <c r="AW78" s="12"/>
      <c r="AX78" s="12">
        <v>0</v>
      </c>
      <c r="AY78" s="12"/>
      <c r="AZ78" s="12">
        <v>0</v>
      </c>
      <c r="BA78" s="12"/>
      <c r="BB78" s="12">
        <v>0</v>
      </c>
      <c r="BC78" s="12"/>
      <c r="BD78" s="12">
        <v>0</v>
      </c>
      <c r="BE78" s="12"/>
      <c r="BF78" s="12">
        <v>0</v>
      </c>
      <c r="BG78" s="12"/>
      <c r="BH78" s="12">
        <v>0</v>
      </c>
      <c r="BI78" s="12"/>
      <c r="BJ78" s="12">
        <v>0</v>
      </c>
      <c r="BK78" s="12"/>
      <c r="BL78" s="12">
        <v>0</v>
      </c>
      <c r="BM78" s="12"/>
      <c r="BN78" s="12">
        <f t="shared" si="14"/>
        <v>250000</v>
      </c>
      <c r="BO78" s="6"/>
      <c r="BP78" s="12">
        <v>0</v>
      </c>
      <c r="BQ78" s="6"/>
      <c r="BR78" s="6">
        <f t="shared" si="15"/>
        <v>0</v>
      </c>
      <c r="BS78" s="12"/>
      <c r="BT78" s="6">
        <f t="shared" si="16"/>
        <v>250000</v>
      </c>
      <c r="BU78" s="12"/>
      <c r="BV78" s="6">
        <f t="shared" si="17"/>
        <v>-250000</v>
      </c>
      <c r="BW78" s="12"/>
    </row>
    <row r="79" spans="1:75">
      <c r="A79" s="61"/>
      <c r="B79" s="17"/>
      <c r="C79"/>
      <c r="D79"/>
      <c r="E79"/>
      <c r="F79"/>
      <c r="G79"/>
      <c r="H79"/>
      <c r="I79"/>
      <c r="J79" s="49"/>
      <c r="K79"/>
      <c r="L79" s="134"/>
      <c r="M79" s="6"/>
      <c r="N79" s="12"/>
      <c r="O79" s="12"/>
      <c r="P79" s="12"/>
      <c r="Q79" s="12"/>
      <c r="R79" s="12"/>
      <c r="S79" s="12"/>
      <c r="T79" s="12"/>
      <c r="U79" s="80"/>
      <c r="V79" s="12"/>
      <c r="W79" s="80"/>
      <c r="X79" s="12"/>
      <c r="Y79" s="80"/>
      <c r="Z79" s="12"/>
      <c r="AA79" s="80"/>
      <c r="AB79" s="12"/>
      <c r="AC79" s="80"/>
      <c r="AD79" s="12"/>
      <c r="AE79" s="80"/>
      <c r="AF79" s="12"/>
      <c r="AG79" s="80"/>
      <c r="AH79" s="12"/>
      <c r="AI79" s="80"/>
      <c r="AJ79" s="12"/>
      <c r="AK79" s="80"/>
      <c r="AL79" s="12"/>
      <c r="AM79" s="80"/>
      <c r="AN79" s="12"/>
      <c r="AO79" s="80"/>
      <c r="AP79" s="12"/>
      <c r="AQ79" s="80"/>
      <c r="AR79" s="12"/>
      <c r="AS79" s="80"/>
      <c r="AT79" s="12"/>
      <c r="AU79" s="80"/>
      <c r="AV79" s="12"/>
      <c r="AW79" s="12"/>
      <c r="AX79" s="12"/>
      <c r="AY79" s="12"/>
      <c r="AZ79" s="12"/>
      <c r="BA79" s="12"/>
      <c r="BB79" s="12"/>
      <c r="BC79" s="12"/>
      <c r="BD79" s="12"/>
      <c r="BE79" s="12"/>
      <c r="BF79" s="12"/>
      <c r="BG79" s="12"/>
      <c r="BH79" s="12"/>
      <c r="BI79" s="12"/>
      <c r="BJ79" s="12"/>
      <c r="BK79" s="12"/>
      <c r="BL79" s="12"/>
      <c r="BM79" s="12"/>
      <c r="BN79" s="12"/>
      <c r="BO79" s="6"/>
      <c r="BP79" s="12"/>
      <c r="BQ79" s="6"/>
      <c r="BR79" s="6">
        <f t="shared" si="15"/>
        <v>0</v>
      </c>
      <c r="BS79" s="12"/>
      <c r="BT79" s="12"/>
      <c r="BU79" s="12"/>
      <c r="BV79" s="12"/>
      <c r="BW79" s="12"/>
    </row>
    <row r="80" spans="1:75" s="114" customFormat="1">
      <c r="A80" s="112"/>
      <c r="B80" s="113" t="s">
        <v>244</v>
      </c>
      <c r="J80" s="157"/>
      <c r="L80" s="142"/>
      <c r="M80" s="115"/>
      <c r="N80" s="116">
        <f>SUM(N73:N79)</f>
        <v>0</v>
      </c>
      <c r="O80" s="115"/>
      <c r="P80" s="116">
        <f>SUM(P73:P79)</f>
        <v>0</v>
      </c>
      <c r="Q80" s="115"/>
      <c r="R80" s="116">
        <f>SUM(R73:R79)</f>
        <v>0</v>
      </c>
      <c r="S80" s="115"/>
      <c r="T80" s="116">
        <f>SUM(T73:T79)</f>
        <v>0</v>
      </c>
      <c r="U80" s="115"/>
      <c r="V80" s="116">
        <f>SUM(V73:V79)</f>
        <v>0</v>
      </c>
      <c r="W80" s="115"/>
      <c r="X80" s="116">
        <f>SUM(X73:X79)</f>
        <v>0</v>
      </c>
      <c r="Y80" s="115"/>
      <c r="Z80" s="116">
        <f>SUM(Z73:Z79)</f>
        <v>0</v>
      </c>
      <c r="AA80" s="115"/>
      <c r="AB80" s="116">
        <f>SUM(AB73:AB79)</f>
        <v>0</v>
      </c>
      <c r="AC80" s="115"/>
      <c r="AD80" s="116">
        <f>SUM(AD73:AD79)</f>
        <v>0</v>
      </c>
      <c r="AE80" s="115"/>
      <c r="AF80" s="116">
        <f>SUM(AF73:AF79)</f>
        <v>0</v>
      </c>
      <c r="AG80" s="115"/>
      <c r="AH80" s="116">
        <f>SUM(AH73:AH79)</f>
        <v>314208.33333333331</v>
      </c>
      <c r="AI80" s="115"/>
      <c r="AJ80" s="116">
        <f>SUM(AJ73:AJ79)</f>
        <v>314208.33</v>
      </c>
      <c r="AK80" s="115"/>
      <c r="AL80" s="116">
        <f>SUM(AL73:AL79)</f>
        <v>-942622</v>
      </c>
      <c r="AM80" s="116"/>
      <c r="AN80" s="116">
        <f>SUM(AN73:AN79)</f>
        <v>314205.67</v>
      </c>
      <c r="AO80" s="115"/>
      <c r="AP80" s="116">
        <f>SUM(AP73:AP79)</f>
        <v>0</v>
      </c>
      <c r="AQ80" s="115"/>
      <c r="AR80" s="116">
        <f>SUM(AR73:AR79)</f>
        <v>0</v>
      </c>
      <c r="AS80" s="115"/>
      <c r="AT80" s="116">
        <f>SUM(AT73:AT79)</f>
        <v>250000</v>
      </c>
      <c r="AU80" s="115"/>
      <c r="AV80" s="116">
        <f>SUM(AV73:AV79)</f>
        <v>0</v>
      </c>
      <c r="AW80" s="117"/>
      <c r="AX80" s="116">
        <f>SUM(AX73:AX79)</f>
        <v>0</v>
      </c>
      <c r="AY80" s="117"/>
      <c r="AZ80" s="116">
        <f>SUM(AZ73:AZ79)</f>
        <v>0</v>
      </c>
      <c r="BA80" s="117"/>
      <c r="BB80" s="116">
        <f>SUM(BB73:BB79)</f>
        <v>0</v>
      </c>
      <c r="BC80" s="117"/>
      <c r="BD80" s="116">
        <f>SUM(BD73:BD79)</f>
        <v>0</v>
      </c>
      <c r="BE80" s="117"/>
      <c r="BF80" s="116">
        <f>SUM(BF73:BF79)</f>
        <v>0</v>
      </c>
      <c r="BG80" s="117"/>
      <c r="BH80" s="116">
        <f>SUM(BH73:BH79)</f>
        <v>0</v>
      </c>
      <c r="BI80" s="117"/>
      <c r="BJ80" s="116">
        <f>SUM(BJ73:BJ79)</f>
        <v>0</v>
      </c>
      <c r="BK80" s="117"/>
      <c r="BL80" s="116">
        <f>SUM(BL73:BL79)</f>
        <v>0</v>
      </c>
      <c r="BM80" s="115"/>
      <c r="BN80" s="116">
        <f>SUM(BN73:BN79)</f>
        <v>250000.33333333331</v>
      </c>
      <c r="BO80" s="115"/>
      <c r="BP80" s="116">
        <f>SUM(BP73:BP79)</f>
        <v>0</v>
      </c>
      <c r="BQ80" s="115"/>
      <c r="BR80" s="116">
        <f>SUM(BR73:BR79)</f>
        <v>0</v>
      </c>
      <c r="BS80" s="115"/>
      <c r="BT80" s="116">
        <f>SUM(BT73:BT79)</f>
        <v>250000.33333333331</v>
      </c>
      <c r="BU80" s="115"/>
      <c r="BV80" s="116">
        <f>SUM(BV73:BV79)</f>
        <v>-250000.33333333331</v>
      </c>
      <c r="BW80" s="117"/>
    </row>
    <row r="81" spans="1:75" customFormat="1"/>
    <row r="82" spans="1:75" s="15" customFormat="1">
      <c r="A82" s="62" t="s">
        <v>242</v>
      </c>
      <c r="B82" s="17"/>
      <c r="C82"/>
      <c r="D82"/>
      <c r="E82"/>
      <c r="F82"/>
      <c r="G82"/>
      <c r="H82"/>
      <c r="I82"/>
      <c r="J82" s="49"/>
      <c r="K82"/>
      <c r="L82" s="134" t="s">
        <v>202</v>
      </c>
      <c r="M82" s="22"/>
      <c r="N82" s="22"/>
      <c r="O82" s="22"/>
      <c r="P82" s="22"/>
      <c r="Q82" s="22"/>
      <c r="R82" s="22"/>
      <c r="S82" s="22"/>
      <c r="T82" s="22"/>
      <c r="U82" s="22"/>
      <c r="V82" s="22"/>
      <c r="W82" s="22"/>
      <c r="X82" s="22"/>
      <c r="Y82" s="22"/>
      <c r="Z82" s="22"/>
      <c r="AA82" s="22"/>
      <c r="AB82" s="22"/>
      <c r="AC82" s="22"/>
      <c r="AD82" s="22"/>
      <c r="AE82" s="22"/>
      <c r="AF82" s="22"/>
      <c r="AG82" s="22"/>
      <c r="AH82" s="22"/>
      <c r="AI82" s="22"/>
      <c r="AJ82" s="22"/>
      <c r="AK82" s="22"/>
      <c r="AL82" s="22"/>
      <c r="AM82" s="22"/>
      <c r="AN82" s="22"/>
      <c r="AO82" s="22"/>
      <c r="AP82" s="22"/>
      <c r="AQ82" s="22"/>
      <c r="AR82" s="22"/>
      <c r="AS82" s="22"/>
      <c r="AT82" s="22"/>
      <c r="AU82" s="22"/>
      <c r="AV82" s="22"/>
      <c r="AW82" s="22"/>
      <c r="AX82" s="22"/>
      <c r="AY82" s="22"/>
      <c r="AZ82" s="22"/>
      <c r="BA82" s="22"/>
      <c r="BB82" s="22"/>
      <c r="BC82" s="22"/>
      <c r="BD82" s="22"/>
      <c r="BE82" s="22"/>
      <c r="BF82" s="22"/>
      <c r="BG82" s="22"/>
      <c r="BH82" s="22"/>
      <c r="BI82" s="22"/>
      <c r="BJ82" s="22"/>
      <c r="BK82" s="22"/>
      <c r="BL82" s="22"/>
      <c r="BM82" s="22"/>
      <c r="BN82" s="22"/>
      <c r="BO82" s="22"/>
      <c r="BP82" s="22"/>
      <c r="BQ82" s="22"/>
      <c r="BR82" s="22"/>
      <c r="BS82" s="22"/>
      <c r="BT82" s="22"/>
      <c r="BU82" s="22"/>
      <c r="BV82" s="22"/>
      <c r="BW82" s="22"/>
    </row>
    <row r="83" spans="1:75" s="15" customFormat="1" hidden="1">
      <c r="A83" s="62"/>
      <c r="B83" s="17" t="s">
        <v>17</v>
      </c>
      <c r="C83"/>
      <c r="D83"/>
      <c r="E83"/>
      <c r="F83"/>
      <c r="G83"/>
      <c r="H83"/>
      <c r="I83"/>
      <c r="J83" s="49"/>
      <c r="K83"/>
      <c r="L83" s="134" t="s">
        <v>202</v>
      </c>
      <c r="M83" s="22"/>
      <c r="N83" s="22">
        <v>0</v>
      </c>
      <c r="O83" s="22"/>
      <c r="P83" s="22">
        <v>0</v>
      </c>
      <c r="Q83" s="22"/>
      <c r="R83" s="6">
        <f>+N83+P83</f>
        <v>0</v>
      </c>
      <c r="S83" s="22"/>
      <c r="T83" s="22">
        <v>0</v>
      </c>
      <c r="U83" s="22"/>
      <c r="V83" s="22">
        <v>0</v>
      </c>
      <c r="W83" s="22"/>
      <c r="X83" s="22">
        <v>0</v>
      </c>
      <c r="Y83" s="22"/>
      <c r="Z83" s="22">
        <v>0</v>
      </c>
      <c r="AA83" s="22"/>
      <c r="AB83" s="22">
        <v>0</v>
      </c>
      <c r="AC83" s="22"/>
      <c r="AD83" s="22">
        <v>0</v>
      </c>
      <c r="AE83" s="22"/>
      <c r="AF83" s="22">
        <v>0</v>
      </c>
      <c r="AG83" s="22"/>
      <c r="AH83" s="22">
        <v>0</v>
      </c>
      <c r="AI83" s="22"/>
      <c r="AJ83" s="22">
        <v>0</v>
      </c>
      <c r="AK83" s="22"/>
      <c r="AL83" s="22"/>
      <c r="AM83" s="22"/>
      <c r="AN83" s="22">
        <v>0</v>
      </c>
      <c r="AO83" s="22"/>
      <c r="AP83" s="22">
        <v>0</v>
      </c>
      <c r="AQ83" s="22"/>
      <c r="AR83" s="22">
        <v>0</v>
      </c>
      <c r="AS83" s="22"/>
      <c r="AT83" s="22">
        <v>0</v>
      </c>
      <c r="AU83" s="22"/>
      <c r="AV83" s="22">
        <v>0</v>
      </c>
      <c r="AW83" s="22"/>
      <c r="AX83" s="22">
        <v>0</v>
      </c>
      <c r="AY83" s="22"/>
      <c r="AZ83" s="22">
        <v>0</v>
      </c>
      <c r="BA83" s="22"/>
      <c r="BB83" s="22">
        <v>0</v>
      </c>
      <c r="BC83" s="22"/>
      <c r="BD83" s="22">
        <v>0</v>
      </c>
      <c r="BE83" s="22"/>
      <c r="BF83" s="22">
        <v>0</v>
      </c>
      <c r="BG83" s="22"/>
      <c r="BH83" s="22">
        <v>0</v>
      </c>
      <c r="BI83" s="22"/>
      <c r="BJ83" s="22">
        <v>0</v>
      </c>
      <c r="BK83" s="22"/>
      <c r="BL83" s="22">
        <v>0</v>
      </c>
      <c r="BM83" s="22"/>
      <c r="BN83" s="22">
        <f>SUM(T83:BM83)</f>
        <v>0</v>
      </c>
      <c r="BO83" s="22"/>
      <c r="BP83" s="22">
        <v>0</v>
      </c>
      <c r="BQ83" s="22"/>
      <c r="BR83" s="22">
        <f>+R83-BN83+BP83</f>
        <v>0</v>
      </c>
      <c r="BS83" s="22"/>
      <c r="BT83" s="6">
        <f>+BN83+BR83</f>
        <v>0</v>
      </c>
      <c r="BU83" s="22"/>
      <c r="BV83" s="6">
        <f>+R83-BT83</f>
        <v>0</v>
      </c>
      <c r="BW83" s="22"/>
    </row>
    <row r="84" spans="1:75" s="15" customFormat="1" hidden="1">
      <c r="A84" s="62"/>
      <c r="B84" s="17" t="s">
        <v>16</v>
      </c>
      <c r="C84"/>
      <c r="D84"/>
      <c r="E84"/>
      <c r="F84"/>
      <c r="G84"/>
      <c r="H84"/>
      <c r="I84"/>
      <c r="J84" s="49"/>
      <c r="K84"/>
      <c r="L84" s="134" t="s">
        <v>202</v>
      </c>
      <c r="M84" s="22"/>
      <c r="N84" s="22">
        <v>0</v>
      </c>
      <c r="O84" s="22"/>
      <c r="P84" s="22">
        <v>0</v>
      </c>
      <c r="Q84" s="22"/>
      <c r="R84" s="6">
        <f>+N84+P84</f>
        <v>0</v>
      </c>
      <c r="S84" s="22"/>
      <c r="T84" s="22">
        <v>0</v>
      </c>
      <c r="U84" s="22"/>
      <c r="V84" s="22">
        <v>0</v>
      </c>
      <c r="W84" s="22"/>
      <c r="X84" s="22">
        <v>0</v>
      </c>
      <c r="Y84" s="22"/>
      <c r="Z84" s="22">
        <v>0</v>
      </c>
      <c r="AA84" s="22"/>
      <c r="AB84" s="22">
        <v>0</v>
      </c>
      <c r="AC84" s="22"/>
      <c r="AD84" s="22">
        <v>0</v>
      </c>
      <c r="AE84" s="22"/>
      <c r="AF84" s="22">
        <v>0</v>
      </c>
      <c r="AG84" s="22"/>
      <c r="AH84" s="22">
        <v>0</v>
      </c>
      <c r="AI84" s="22"/>
      <c r="AJ84" s="22">
        <v>0</v>
      </c>
      <c r="AK84" s="22"/>
      <c r="AL84" s="22"/>
      <c r="AM84" s="22"/>
      <c r="AN84" s="22">
        <v>0</v>
      </c>
      <c r="AO84" s="22"/>
      <c r="AP84" s="22">
        <v>0</v>
      </c>
      <c r="AQ84" s="22"/>
      <c r="AR84" s="22">
        <v>0</v>
      </c>
      <c r="AS84" s="22"/>
      <c r="AT84" s="22">
        <v>0</v>
      </c>
      <c r="AU84" s="22"/>
      <c r="AV84" s="22">
        <v>0</v>
      </c>
      <c r="AW84" s="22"/>
      <c r="AX84" s="22">
        <v>0</v>
      </c>
      <c r="AY84" s="22"/>
      <c r="AZ84" s="22">
        <v>0</v>
      </c>
      <c r="BA84" s="22"/>
      <c r="BB84" s="22">
        <v>0</v>
      </c>
      <c r="BC84" s="22"/>
      <c r="BD84" s="22">
        <v>0</v>
      </c>
      <c r="BE84" s="22"/>
      <c r="BF84" s="22">
        <v>0</v>
      </c>
      <c r="BG84" s="22"/>
      <c r="BH84" s="22">
        <v>0</v>
      </c>
      <c r="BI84" s="22"/>
      <c r="BJ84" s="22">
        <v>0</v>
      </c>
      <c r="BK84" s="22"/>
      <c r="BL84" s="22">
        <v>0</v>
      </c>
      <c r="BM84" s="22"/>
      <c r="BN84" s="22">
        <f>SUM(T84:BM84)</f>
        <v>0</v>
      </c>
      <c r="BO84" s="22"/>
      <c r="BP84" s="22">
        <v>0</v>
      </c>
      <c r="BQ84" s="22"/>
      <c r="BR84" s="22">
        <f>+R84-BN84+BP84</f>
        <v>0</v>
      </c>
      <c r="BS84" s="22"/>
      <c r="BT84" s="6">
        <f>+BN84+BR84</f>
        <v>0</v>
      </c>
      <c r="BU84" s="22"/>
      <c r="BV84" s="6">
        <f>+R84-BT84</f>
        <v>0</v>
      </c>
      <c r="BW84" s="22"/>
    </row>
    <row r="85" spans="1:75" s="15" customFormat="1" hidden="1">
      <c r="A85" s="57"/>
      <c r="B85" s="17" t="s">
        <v>18</v>
      </c>
      <c r="C85"/>
      <c r="D85"/>
      <c r="E85"/>
      <c r="F85"/>
      <c r="G85"/>
      <c r="H85"/>
      <c r="I85"/>
      <c r="J85" s="49"/>
      <c r="K85"/>
      <c r="L85" s="134" t="s">
        <v>202</v>
      </c>
      <c r="M85" s="22"/>
      <c r="N85" s="22">
        <v>0</v>
      </c>
      <c r="O85" s="22"/>
      <c r="P85" s="22">
        <v>0</v>
      </c>
      <c r="Q85" s="22"/>
      <c r="R85" s="6">
        <f>+N85+P85</f>
        <v>0</v>
      </c>
      <c r="S85" s="22"/>
      <c r="T85" s="22">
        <v>0</v>
      </c>
      <c r="U85" s="22"/>
      <c r="V85" s="22">
        <v>0</v>
      </c>
      <c r="W85" s="22"/>
      <c r="X85" s="22">
        <v>0</v>
      </c>
      <c r="Y85" s="22"/>
      <c r="Z85" s="22">
        <v>0</v>
      </c>
      <c r="AA85" s="22"/>
      <c r="AB85" s="22">
        <v>0</v>
      </c>
      <c r="AC85" s="22"/>
      <c r="AD85" s="22">
        <v>0</v>
      </c>
      <c r="AE85" s="22"/>
      <c r="AF85" s="22">
        <v>0</v>
      </c>
      <c r="AG85" s="22"/>
      <c r="AH85" s="22">
        <v>0</v>
      </c>
      <c r="AI85" s="22"/>
      <c r="AJ85" s="22">
        <v>0</v>
      </c>
      <c r="AK85" s="22"/>
      <c r="AL85" s="22"/>
      <c r="AM85" s="22"/>
      <c r="AN85" s="22">
        <v>0</v>
      </c>
      <c r="AO85" s="22"/>
      <c r="AP85" s="22">
        <v>0</v>
      </c>
      <c r="AQ85" s="22"/>
      <c r="AR85" s="22">
        <v>0</v>
      </c>
      <c r="AS85" s="22"/>
      <c r="AT85" s="22">
        <v>0</v>
      </c>
      <c r="AU85" s="22"/>
      <c r="AV85" s="22">
        <v>0</v>
      </c>
      <c r="AW85" s="22"/>
      <c r="AX85" s="22">
        <v>0</v>
      </c>
      <c r="AY85" s="22"/>
      <c r="AZ85" s="22">
        <v>0</v>
      </c>
      <c r="BA85" s="22"/>
      <c r="BB85" s="22">
        <v>0</v>
      </c>
      <c r="BC85" s="22"/>
      <c r="BD85" s="22">
        <v>0</v>
      </c>
      <c r="BE85" s="22"/>
      <c r="BF85" s="22">
        <v>0</v>
      </c>
      <c r="BG85" s="22"/>
      <c r="BH85" s="22">
        <v>0</v>
      </c>
      <c r="BI85" s="22"/>
      <c r="BJ85" s="22">
        <v>0</v>
      </c>
      <c r="BK85" s="22"/>
      <c r="BL85" s="22">
        <v>0</v>
      </c>
      <c r="BM85" s="22"/>
      <c r="BN85" s="22">
        <f>SUM(T85:BM85)</f>
        <v>0</v>
      </c>
      <c r="BO85" s="22"/>
      <c r="BP85" s="22">
        <v>0</v>
      </c>
      <c r="BQ85" s="22"/>
      <c r="BR85" s="22">
        <f>+R85-BN85+BP85</f>
        <v>0</v>
      </c>
      <c r="BS85" s="22"/>
      <c r="BT85" s="6">
        <f>+BN85+BR85</f>
        <v>0</v>
      </c>
      <c r="BU85" s="22"/>
      <c r="BV85" s="6">
        <f>+R85-BT85</f>
        <v>0</v>
      </c>
      <c r="BW85" s="22"/>
    </row>
    <row r="86" spans="1:75" s="109" customFormat="1" hidden="1">
      <c r="A86" s="100"/>
      <c r="B86" s="17" t="s">
        <v>19</v>
      </c>
      <c r="C86" s="30"/>
      <c r="D86" s="30"/>
      <c r="E86" s="30"/>
      <c r="F86" s="30"/>
      <c r="G86" s="30"/>
      <c r="H86" s="30"/>
      <c r="I86" s="30"/>
      <c r="J86" s="156"/>
      <c r="K86" s="30"/>
      <c r="L86" s="134" t="s">
        <v>202</v>
      </c>
      <c r="M86" s="80"/>
      <c r="N86" s="80">
        <v>0</v>
      </c>
      <c r="O86" s="80"/>
      <c r="P86" s="80">
        <v>0</v>
      </c>
      <c r="Q86" s="80"/>
      <c r="R86" s="6">
        <f>+N86+P86</f>
        <v>0</v>
      </c>
      <c r="S86" s="80"/>
      <c r="T86" s="80">
        <v>0</v>
      </c>
      <c r="U86" s="80"/>
      <c r="V86" s="80">
        <v>0</v>
      </c>
      <c r="W86" s="80"/>
      <c r="X86" s="80">
        <v>0</v>
      </c>
      <c r="Y86" s="80"/>
      <c r="Z86" s="80">
        <v>0</v>
      </c>
      <c r="AA86" s="80"/>
      <c r="AB86" s="80">
        <v>0</v>
      </c>
      <c r="AC86" s="80"/>
      <c r="AD86" s="80">
        <v>0</v>
      </c>
      <c r="AE86" s="80"/>
      <c r="AF86" s="80">
        <v>0</v>
      </c>
      <c r="AG86" s="80"/>
      <c r="AH86" s="80">
        <v>0</v>
      </c>
      <c r="AI86" s="80"/>
      <c r="AJ86" s="80">
        <v>0</v>
      </c>
      <c r="AK86" s="80"/>
      <c r="AL86" s="80"/>
      <c r="AM86" s="80"/>
      <c r="AN86" s="80">
        <v>0</v>
      </c>
      <c r="AO86" s="80"/>
      <c r="AP86" s="80">
        <v>0</v>
      </c>
      <c r="AQ86" s="80"/>
      <c r="AR86" s="80">
        <v>0</v>
      </c>
      <c r="AS86" s="80"/>
      <c r="AT86" s="80">
        <v>0</v>
      </c>
      <c r="AU86" s="80"/>
      <c r="AV86" s="80">
        <v>0</v>
      </c>
      <c r="AW86" s="80"/>
      <c r="AX86" s="80">
        <v>0</v>
      </c>
      <c r="AY86" s="80"/>
      <c r="AZ86" s="80">
        <v>0</v>
      </c>
      <c r="BA86" s="80"/>
      <c r="BB86" s="80">
        <v>0</v>
      </c>
      <c r="BC86" s="80"/>
      <c r="BD86" s="80">
        <v>0</v>
      </c>
      <c r="BE86" s="80"/>
      <c r="BF86" s="80">
        <v>0</v>
      </c>
      <c r="BG86" s="80"/>
      <c r="BH86" s="80">
        <v>0</v>
      </c>
      <c r="BI86" s="80"/>
      <c r="BJ86" s="80">
        <v>0</v>
      </c>
      <c r="BK86" s="80"/>
      <c r="BL86" s="80">
        <v>0</v>
      </c>
      <c r="BM86" s="80"/>
      <c r="BN86" s="80">
        <f>SUM(T86:BM86)</f>
        <v>0</v>
      </c>
      <c r="BO86" s="80"/>
      <c r="BP86" s="80">
        <v>0</v>
      </c>
      <c r="BQ86" s="80"/>
      <c r="BR86" s="80">
        <f>+R86-BN86+BP86</f>
        <v>0</v>
      </c>
      <c r="BS86" s="80"/>
      <c r="BT86" s="6">
        <f>+BN86+BR86</f>
        <v>0</v>
      </c>
      <c r="BU86" s="80"/>
      <c r="BV86" s="6">
        <f>+R86-BT86</f>
        <v>0</v>
      </c>
      <c r="BW86" s="80"/>
    </row>
    <row r="87" spans="1:75" s="15" customFormat="1">
      <c r="A87" s="57"/>
      <c r="B87" s="17" t="s">
        <v>121</v>
      </c>
      <c r="C87"/>
      <c r="D87"/>
      <c r="E87"/>
      <c r="F87"/>
      <c r="G87"/>
      <c r="H87"/>
      <c r="I87"/>
      <c r="J87" s="49" t="s">
        <v>0</v>
      </c>
      <c r="K87"/>
      <c r="L87" s="134" t="s">
        <v>202</v>
      </c>
      <c r="M87" s="22"/>
      <c r="N87" s="80">
        <v>0</v>
      </c>
      <c r="O87" s="22"/>
      <c r="P87" s="80">
        <v>0</v>
      </c>
      <c r="Q87" s="22"/>
      <c r="R87" s="6">
        <f>+N87+P87</f>
        <v>0</v>
      </c>
      <c r="S87" s="22"/>
      <c r="T87" s="80">
        <v>0</v>
      </c>
      <c r="U87" s="80"/>
      <c r="V87" s="80">
        <v>0</v>
      </c>
      <c r="W87" s="80"/>
      <c r="X87" s="80">
        <v>0</v>
      </c>
      <c r="Y87" s="80"/>
      <c r="Z87" s="80">
        <v>0</v>
      </c>
      <c r="AA87" s="80"/>
      <c r="AB87" s="80">
        <v>0</v>
      </c>
      <c r="AC87" s="80"/>
      <c r="AD87" s="80">
        <v>0</v>
      </c>
      <c r="AE87" s="80"/>
      <c r="AF87" s="80">
        <v>0</v>
      </c>
      <c r="AG87" s="80"/>
      <c r="AH87" s="80">
        <v>0</v>
      </c>
      <c r="AI87" s="80"/>
      <c r="AJ87" s="80">
        <v>0</v>
      </c>
      <c r="AK87" s="80"/>
      <c r="AL87" s="80"/>
      <c r="AM87" s="80"/>
      <c r="AN87" s="80">
        <v>0</v>
      </c>
      <c r="AO87" s="80"/>
      <c r="AP87" s="80">
        <v>0</v>
      </c>
      <c r="AQ87" s="80"/>
      <c r="AR87" s="80">
        <v>0</v>
      </c>
      <c r="AS87" s="80"/>
      <c r="AT87" s="80">
        <v>0</v>
      </c>
      <c r="AU87" s="80"/>
      <c r="AV87" s="80">
        <v>0</v>
      </c>
      <c r="AW87" s="80"/>
      <c r="AX87" s="80">
        <v>0</v>
      </c>
      <c r="AY87" s="80"/>
      <c r="AZ87" s="80">
        <v>0</v>
      </c>
      <c r="BA87" s="80"/>
      <c r="BB87" s="80">
        <v>0</v>
      </c>
      <c r="BC87" s="80"/>
      <c r="BD87" s="80">
        <v>0</v>
      </c>
      <c r="BE87" s="80"/>
      <c r="BF87" s="80">
        <v>0</v>
      </c>
      <c r="BG87" s="80"/>
      <c r="BH87" s="80">
        <v>0</v>
      </c>
      <c r="BI87" s="80"/>
      <c r="BJ87" s="80">
        <v>0</v>
      </c>
      <c r="BK87" s="80"/>
      <c r="BL87" s="80">
        <v>0</v>
      </c>
      <c r="BM87" s="22"/>
      <c r="BN87" s="80">
        <f>SUM(T87:BM87)</f>
        <v>0</v>
      </c>
      <c r="BO87" s="22"/>
      <c r="BP87" s="80">
        <v>0</v>
      </c>
      <c r="BQ87" s="22"/>
      <c r="BR87" s="6">
        <f>IF(+R87-BN87+BP87&gt;0,R87-BN87+BP87,0)</f>
        <v>0</v>
      </c>
      <c r="BS87" s="22"/>
      <c r="BT87" s="6">
        <f>+BN87+BR87</f>
        <v>0</v>
      </c>
      <c r="BU87" s="22"/>
      <c r="BV87" s="6">
        <f>+R87-BT87</f>
        <v>0</v>
      </c>
      <c r="BW87" s="80"/>
    </row>
    <row r="88" spans="1:75" s="15" customFormat="1">
      <c r="A88" s="57"/>
      <c r="B88" s="17"/>
      <c r="C88"/>
      <c r="D88"/>
      <c r="E88"/>
      <c r="F88"/>
      <c r="G88"/>
      <c r="H88"/>
      <c r="I88"/>
      <c r="J88" s="49"/>
      <c r="K88"/>
      <c r="L88" s="134"/>
      <c r="M88" s="22"/>
      <c r="N88" s="80"/>
      <c r="O88" s="22"/>
      <c r="P88" s="80"/>
      <c r="Q88" s="22"/>
      <c r="R88" s="80"/>
      <c r="S88" s="22"/>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22"/>
      <c r="BN88" s="80"/>
      <c r="BO88" s="22"/>
      <c r="BP88" s="80"/>
      <c r="BQ88" s="22"/>
      <c r="BR88" s="80"/>
      <c r="BS88" s="22"/>
      <c r="BT88" s="80"/>
      <c r="BU88" s="22"/>
      <c r="BV88" s="80"/>
      <c r="BW88" s="80"/>
    </row>
    <row r="89" spans="1:75" s="104" customFormat="1">
      <c r="A89" s="111"/>
      <c r="B89" s="77" t="s">
        <v>245</v>
      </c>
      <c r="C89" s="21"/>
      <c r="D89" s="21"/>
      <c r="E89" s="21"/>
      <c r="F89" s="21"/>
      <c r="G89" s="21"/>
      <c r="H89" s="21"/>
      <c r="I89" s="21"/>
      <c r="J89" s="8"/>
      <c r="K89" s="21"/>
      <c r="L89" s="143"/>
      <c r="M89" s="16"/>
      <c r="N89" s="108">
        <f>SUM(N83:N88)</f>
        <v>0</v>
      </c>
      <c r="O89" s="16"/>
      <c r="P89" s="108">
        <f>SUM(P83:P88)</f>
        <v>0</v>
      </c>
      <c r="Q89" s="16"/>
      <c r="R89" s="108">
        <f>SUM(R83:R88)</f>
        <v>0</v>
      </c>
      <c r="S89" s="16"/>
      <c r="T89" s="108">
        <f>SUM(T83:T88)</f>
        <v>0</v>
      </c>
      <c r="U89" s="16"/>
      <c r="V89" s="108">
        <f>SUM(V83:V88)</f>
        <v>0</v>
      </c>
      <c r="W89" s="16"/>
      <c r="X89" s="108">
        <f>SUM(X83:X88)</f>
        <v>0</v>
      </c>
      <c r="Y89" s="16"/>
      <c r="Z89" s="108">
        <f>SUM(Z83:Z88)</f>
        <v>0</v>
      </c>
      <c r="AA89" s="16"/>
      <c r="AB89" s="108">
        <f>SUM(AB83:AB88)</f>
        <v>0</v>
      </c>
      <c r="AC89" s="16"/>
      <c r="AD89" s="108">
        <f>SUM(AD83:AD88)</f>
        <v>0</v>
      </c>
      <c r="AE89" s="16"/>
      <c r="AF89" s="108">
        <f>SUM(AF83:AF88)</f>
        <v>0</v>
      </c>
      <c r="AG89" s="16"/>
      <c r="AH89" s="108">
        <f>SUM(AH83:AH88)</f>
        <v>0</v>
      </c>
      <c r="AI89" s="16"/>
      <c r="AJ89" s="108">
        <f>SUM(AJ83:AJ88)</f>
        <v>0</v>
      </c>
      <c r="AK89" s="16"/>
      <c r="AL89" s="108">
        <f>SUM(AL83:AL88)</f>
        <v>0</v>
      </c>
      <c r="AM89" s="108"/>
      <c r="AN89" s="108">
        <f>SUM(AN83:AN88)</f>
        <v>0</v>
      </c>
      <c r="AO89" s="16"/>
      <c r="AP89" s="108">
        <f>SUM(AP83:AP88)</f>
        <v>0</v>
      </c>
      <c r="AQ89" s="16"/>
      <c r="AR89" s="108">
        <f>SUM(AR83:AR88)</f>
        <v>0</v>
      </c>
      <c r="AS89" s="16"/>
      <c r="AT89" s="108">
        <f>SUM(AT83:AT88)</f>
        <v>0</v>
      </c>
      <c r="AU89" s="16"/>
      <c r="AV89" s="108">
        <f>SUM(AV83:AV88)</f>
        <v>0</v>
      </c>
      <c r="AW89" s="103"/>
      <c r="AX89" s="108">
        <f>SUM(AX83:AX88)</f>
        <v>0</v>
      </c>
      <c r="AY89" s="103"/>
      <c r="AZ89" s="108">
        <f>SUM(AZ83:AZ88)</f>
        <v>0</v>
      </c>
      <c r="BA89" s="103"/>
      <c r="BB89" s="108">
        <f>SUM(BB83:BB88)</f>
        <v>0</v>
      </c>
      <c r="BC89" s="103"/>
      <c r="BD89" s="108">
        <f>SUM(BD83:BD88)</f>
        <v>0</v>
      </c>
      <c r="BE89" s="103"/>
      <c r="BF89" s="108">
        <f>SUM(BF83:BF88)</f>
        <v>0</v>
      </c>
      <c r="BG89" s="103"/>
      <c r="BH89" s="108">
        <f>SUM(BH83:BH88)</f>
        <v>0</v>
      </c>
      <c r="BI89" s="103"/>
      <c r="BJ89" s="108">
        <f>SUM(BJ83:BJ88)</f>
        <v>0</v>
      </c>
      <c r="BK89" s="103"/>
      <c r="BL89" s="108">
        <f>SUM(BL83:BL88)</f>
        <v>0</v>
      </c>
      <c r="BM89" s="16"/>
      <c r="BN89" s="108">
        <f>SUM(BN83:BN88)</f>
        <v>0</v>
      </c>
      <c r="BO89" s="16"/>
      <c r="BP89" s="108">
        <f>SUM(BP83:BP88)</f>
        <v>0</v>
      </c>
      <c r="BQ89" s="16"/>
      <c r="BR89" s="108">
        <f>SUM(BR83:BR88)</f>
        <v>0</v>
      </c>
      <c r="BS89" s="16"/>
      <c r="BT89" s="108">
        <f>SUM(BT83:BT88)</f>
        <v>0</v>
      </c>
      <c r="BU89" s="16"/>
      <c r="BV89" s="108">
        <f>SUM(BV83:BV88)</f>
        <v>0</v>
      </c>
      <c r="BW89" s="16"/>
    </row>
    <row r="90" spans="1:75" s="15" customFormat="1">
      <c r="A90" s="57"/>
      <c r="B90" s="17"/>
      <c r="C90"/>
      <c r="D90"/>
      <c r="E90"/>
      <c r="F90"/>
      <c r="G90"/>
      <c r="H90"/>
      <c r="I90"/>
      <c r="J90" s="49"/>
      <c r="K90"/>
      <c r="L90" s="134"/>
      <c r="M90" s="22"/>
      <c r="N90" s="22"/>
      <c r="O90" s="22"/>
      <c r="P90" s="22"/>
      <c r="Q90" s="22"/>
      <c r="R90" s="22"/>
      <c r="S90" s="22"/>
      <c r="T90" s="22"/>
      <c r="U90" s="22"/>
      <c r="V90" s="22"/>
      <c r="W90" s="22"/>
      <c r="X90" s="22"/>
      <c r="Y90" s="22"/>
      <c r="Z90" s="22"/>
      <c r="AA90" s="22"/>
      <c r="AB90" s="22"/>
      <c r="AC90" s="22"/>
      <c r="AD90" s="22"/>
      <c r="AE90" s="22"/>
      <c r="AF90" s="22"/>
      <c r="AG90" s="22"/>
      <c r="AH90" s="22"/>
      <c r="AI90" s="22"/>
      <c r="AJ90" s="22"/>
      <c r="AK90" s="22"/>
      <c r="AL90" s="22"/>
      <c r="AM90" s="22"/>
      <c r="AN90" s="22"/>
      <c r="AO90" s="22"/>
      <c r="AP90" s="22"/>
      <c r="AQ90" s="22"/>
      <c r="AR90" s="22"/>
      <c r="AS90" s="22"/>
      <c r="AT90" s="22"/>
      <c r="AU90" s="22"/>
      <c r="AV90" s="22"/>
      <c r="AW90" s="22"/>
      <c r="AX90" s="22"/>
      <c r="AY90" s="22"/>
      <c r="AZ90" s="22"/>
      <c r="BA90" s="22"/>
      <c r="BB90" s="22"/>
      <c r="BC90" s="22"/>
      <c r="BD90" s="22"/>
      <c r="BE90" s="22"/>
      <c r="BF90" s="22"/>
      <c r="BG90" s="22"/>
      <c r="BH90" s="22"/>
      <c r="BI90" s="22"/>
      <c r="BJ90" s="22"/>
      <c r="BK90" s="22"/>
      <c r="BL90" s="22"/>
      <c r="BM90" s="22"/>
      <c r="BN90" s="22"/>
      <c r="BO90" s="22"/>
      <c r="BP90" s="22"/>
      <c r="BQ90" s="22"/>
      <c r="BR90" s="22"/>
      <c r="BS90" s="22"/>
      <c r="BT90" s="22"/>
      <c r="BU90" s="22"/>
      <c r="BV90" s="22"/>
      <c r="BW90" s="22"/>
    </row>
    <row r="91" spans="1:75" s="15" customFormat="1" hidden="1">
      <c r="A91" s="62" t="s">
        <v>20</v>
      </c>
      <c r="B91" s="17"/>
      <c r="C91"/>
      <c r="D91"/>
      <c r="E91"/>
      <c r="F91"/>
      <c r="G91"/>
      <c r="H91"/>
      <c r="I91"/>
      <c r="J91" s="49"/>
      <c r="K91"/>
      <c r="L91" s="134"/>
      <c r="M91" s="22"/>
      <c r="N91" s="22"/>
      <c r="O91" s="22"/>
      <c r="P91" s="22"/>
      <c r="Q91" s="22"/>
      <c r="R91" s="22"/>
      <c r="S91" s="22"/>
      <c r="T91" s="22"/>
      <c r="U91" s="22"/>
      <c r="V91" s="22"/>
      <c r="W91" s="22"/>
      <c r="X91" s="22"/>
      <c r="Y91" s="22"/>
      <c r="Z91" s="22"/>
      <c r="AA91" s="22"/>
      <c r="AB91" s="22"/>
      <c r="AC91" s="22"/>
      <c r="AD91" s="22"/>
      <c r="AE91" s="22"/>
      <c r="AF91" s="22"/>
      <c r="AG91" s="22"/>
      <c r="AH91" s="22"/>
      <c r="AI91" s="22"/>
      <c r="AJ91" s="22"/>
      <c r="AK91" s="22"/>
      <c r="AL91" s="22"/>
      <c r="AM91" s="22"/>
      <c r="AN91" s="22"/>
      <c r="AO91" s="22"/>
      <c r="AP91" s="22"/>
      <c r="AQ91" s="22"/>
      <c r="AR91" s="22"/>
      <c r="AS91" s="22"/>
      <c r="AT91" s="22"/>
      <c r="AU91" s="22"/>
      <c r="AV91" s="22"/>
      <c r="AW91" s="22"/>
      <c r="AX91" s="22"/>
      <c r="AY91" s="22"/>
      <c r="AZ91" s="22"/>
      <c r="BA91" s="22"/>
      <c r="BB91" s="22"/>
      <c r="BC91" s="22"/>
      <c r="BD91" s="22"/>
      <c r="BE91" s="22"/>
      <c r="BF91" s="22"/>
      <c r="BG91" s="22"/>
      <c r="BH91" s="22"/>
      <c r="BI91" s="22"/>
      <c r="BJ91" s="22"/>
      <c r="BK91" s="22"/>
      <c r="BL91" s="22"/>
      <c r="BM91" s="22"/>
      <c r="BN91" s="22"/>
      <c r="BO91" s="22"/>
      <c r="BP91" s="22"/>
      <c r="BQ91" s="22"/>
      <c r="BR91" s="22"/>
      <c r="BS91" s="22"/>
      <c r="BT91" s="22"/>
      <c r="BU91" s="22"/>
      <c r="BV91" s="22"/>
      <c r="BW91" s="22"/>
    </row>
    <row r="92" spans="1:75" s="15" customFormat="1" hidden="1">
      <c r="A92" s="62"/>
      <c r="B92" s="17" t="s">
        <v>60</v>
      </c>
      <c r="C92"/>
      <c r="D92"/>
      <c r="E92"/>
      <c r="F92"/>
      <c r="G92"/>
      <c r="H92"/>
      <c r="I92"/>
      <c r="J92" s="49"/>
      <c r="K92"/>
      <c r="L92" s="134" t="s">
        <v>202</v>
      </c>
      <c r="M92" s="22"/>
      <c r="N92" s="22">
        <v>0</v>
      </c>
      <c r="O92" s="22"/>
      <c r="P92" s="22">
        <v>0</v>
      </c>
      <c r="Q92" s="22"/>
      <c r="R92" s="6">
        <f t="shared" ref="R92:R100" si="18">+N92+P92</f>
        <v>0</v>
      </c>
      <c r="S92" s="22"/>
      <c r="T92" s="22">
        <v>0</v>
      </c>
      <c r="U92" s="22"/>
      <c r="V92" s="22">
        <v>0</v>
      </c>
      <c r="W92" s="22"/>
      <c r="X92" s="22">
        <v>0</v>
      </c>
      <c r="Y92" s="22"/>
      <c r="Z92" s="22">
        <v>0</v>
      </c>
      <c r="AA92" s="22"/>
      <c r="AB92" s="22">
        <v>0</v>
      </c>
      <c r="AC92" s="22"/>
      <c r="AD92" s="22">
        <v>0</v>
      </c>
      <c r="AE92" s="22"/>
      <c r="AF92" s="22">
        <v>0</v>
      </c>
      <c r="AG92" s="22"/>
      <c r="AH92" s="22">
        <v>0</v>
      </c>
      <c r="AI92" s="22"/>
      <c r="AJ92" s="22">
        <v>0</v>
      </c>
      <c r="AK92" s="22"/>
      <c r="AL92" s="22"/>
      <c r="AM92" s="22"/>
      <c r="AN92" s="22">
        <v>0</v>
      </c>
      <c r="AO92" s="22"/>
      <c r="AP92" s="22">
        <v>0</v>
      </c>
      <c r="AQ92" s="22"/>
      <c r="AR92" s="22">
        <v>0</v>
      </c>
      <c r="AS92" s="22"/>
      <c r="AT92" s="22">
        <v>0</v>
      </c>
      <c r="AU92" s="22"/>
      <c r="AV92" s="22">
        <v>0</v>
      </c>
      <c r="AW92" s="22"/>
      <c r="AX92" s="22">
        <v>0</v>
      </c>
      <c r="AY92" s="22"/>
      <c r="AZ92" s="22">
        <v>0</v>
      </c>
      <c r="BA92" s="22"/>
      <c r="BB92" s="22">
        <v>0</v>
      </c>
      <c r="BC92" s="22"/>
      <c r="BD92" s="22">
        <v>0</v>
      </c>
      <c r="BE92" s="22"/>
      <c r="BF92" s="22">
        <v>0</v>
      </c>
      <c r="BG92" s="22"/>
      <c r="BH92" s="22">
        <v>0</v>
      </c>
      <c r="BI92" s="22"/>
      <c r="BJ92" s="22">
        <v>0</v>
      </c>
      <c r="BK92" s="22"/>
      <c r="BL92" s="22">
        <v>0</v>
      </c>
      <c r="BM92" s="22"/>
      <c r="BN92" s="22">
        <f t="shared" ref="BN92:BN100" si="19">SUM(T92:BM92)</f>
        <v>0</v>
      </c>
      <c r="BO92" s="22"/>
      <c r="BP92" s="22">
        <v>0</v>
      </c>
      <c r="BQ92" s="22"/>
      <c r="BR92" s="22">
        <f t="shared" ref="BR92:BR100" si="20">+R92-BN92+BP92</f>
        <v>0</v>
      </c>
      <c r="BS92" s="22"/>
      <c r="BT92" s="6">
        <f t="shared" ref="BT92:BT115" si="21">+BN92+BR92</f>
        <v>0</v>
      </c>
      <c r="BU92" s="22"/>
      <c r="BV92" s="6">
        <f t="shared" ref="BV92:BV115" si="22">+R92-BT92</f>
        <v>0</v>
      </c>
      <c r="BW92" s="22"/>
    </row>
    <row r="93" spans="1:75" s="15" customFormat="1" hidden="1">
      <c r="A93" s="62"/>
      <c r="B93" s="17" t="s">
        <v>61</v>
      </c>
      <c r="C93"/>
      <c r="D93"/>
      <c r="E93"/>
      <c r="F93"/>
      <c r="G93"/>
      <c r="H93"/>
      <c r="I93"/>
      <c r="J93" s="49"/>
      <c r="K93"/>
      <c r="L93" s="134" t="s">
        <v>202</v>
      </c>
      <c r="M93" s="22"/>
      <c r="N93" s="22">
        <v>0</v>
      </c>
      <c r="O93" s="22"/>
      <c r="P93" s="22">
        <v>0</v>
      </c>
      <c r="Q93" s="22"/>
      <c r="R93" s="6">
        <f t="shared" si="18"/>
        <v>0</v>
      </c>
      <c r="S93" s="22"/>
      <c r="T93" s="22">
        <v>0</v>
      </c>
      <c r="U93" s="22"/>
      <c r="V93" s="22">
        <v>0</v>
      </c>
      <c r="W93" s="22"/>
      <c r="X93" s="22">
        <v>0</v>
      </c>
      <c r="Y93" s="22"/>
      <c r="Z93" s="22">
        <v>0</v>
      </c>
      <c r="AA93" s="22"/>
      <c r="AB93" s="22">
        <v>0</v>
      </c>
      <c r="AC93" s="22"/>
      <c r="AD93" s="22">
        <v>0</v>
      </c>
      <c r="AE93" s="22"/>
      <c r="AF93" s="22">
        <v>0</v>
      </c>
      <c r="AG93" s="22"/>
      <c r="AH93" s="22">
        <v>0</v>
      </c>
      <c r="AI93" s="22"/>
      <c r="AJ93" s="22">
        <v>0</v>
      </c>
      <c r="AK93" s="22"/>
      <c r="AL93" s="22"/>
      <c r="AM93" s="22"/>
      <c r="AN93" s="22">
        <v>0</v>
      </c>
      <c r="AO93" s="22"/>
      <c r="AP93" s="22">
        <v>0</v>
      </c>
      <c r="AQ93" s="22"/>
      <c r="AR93" s="22">
        <v>0</v>
      </c>
      <c r="AS93" s="22"/>
      <c r="AT93" s="22">
        <v>0</v>
      </c>
      <c r="AU93" s="22"/>
      <c r="AV93" s="22">
        <v>0</v>
      </c>
      <c r="AW93" s="22"/>
      <c r="AX93" s="22">
        <v>0</v>
      </c>
      <c r="AY93" s="22"/>
      <c r="AZ93" s="22">
        <v>0</v>
      </c>
      <c r="BA93" s="22"/>
      <c r="BB93" s="22">
        <v>0</v>
      </c>
      <c r="BC93" s="22"/>
      <c r="BD93" s="22">
        <v>0</v>
      </c>
      <c r="BE93" s="22"/>
      <c r="BF93" s="22">
        <v>0</v>
      </c>
      <c r="BG93" s="22"/>
      <c r="BH93" s="22">
        <v>0</v>
      </c>
      <c r="BI93" s="22"/>
      <c r="BJ93" s="22">
        <v>0</v>
      </c>
      <c r="BK93" s="22"/>
      <c r="BL93" s="22">
        <v>0</v>
      </c>
      <c r="BM93" s="22"/>
      <c r="BN93" s="22">
        <f t="shared" si="19"/>
        <v>0</v>
      </c>
      <c r="BO93" s="22"/>
      <c r="BP93" s="22">
        <v>0</v>
      </c>
      <c r="BQ93" s="22"/>
      <c r="BR93" s="22">
        <f t="shared" si="20"/>
        <v>0</v>
      </c>
      <c r="BS93" s="22"/>
      <c r="BT93" s="6">
        <f t="shared" si="21"/>
        <v>0</v>
      </c>
      <c r="BU93" s="22"/>
      <c r="BV93" s="6">
        <f t="shared" si="22"/>
        <v>0</v>
      </c>
      <c r="BW93" s="22"/>
    </row>
    <row r="94" spans="1:75" s="15" customFormat="1" hidden="1">
      <c r="A94" s="62"/>
      <c r="B94" s="17" t="s">
        <v>155</v>
      </c>
      <c r="C94"/>
      <c r="D94"/>
      <c r="E94"/>
      <c r="F94"/>
      <c r="G94"/>
      <c r="H94"/>
      <c r="I94"/>
      <c r="J94" s="49"/>
      <c r="K94"/>
      <c r="L94" s="134" t="s">
        <v>202</v>
      </c>
      <c r="M94" s="22"/>
      <c r="N94" s="22">
        <v>0</v>
      </c>
      <c r="O94" s="22"/>
      <c r="P94" s="22">
        <v>0</v>
      </c>
      <c r="Q94" s="22"/>
      <c r="R94" s="6">
        <f t="shared" si="18"/>
        <v>0</v>
      </c>
      <c r="S94" s="22"/>
      <c r="T94" s="22">
        <v>0</v>
      </c>
      <c r="U94" s="22"/>
      <c r="V94" s="22">
        <v>0</v>
      </c>
      <c r="W94" s="22"/>
      <c r="X94" s="22">
        <v>0</v>
      </c>
      <c r="Y94" s="22"/>
      <c r="Z94" s="22">
        <v>0</v>
      </c>
      <c r="AA94" s="22"/>
      <c r="AB94" s="22">
        <v>0</v>
      </c>
      <c r="AC94" s="22"/>
      <c r="AD94" s="22">
        <v>0</v>
      </c>
      <c r="AE94" s="22"/>
      <c r="AF94" s="22">
        <v>0</v>
      </c>
      <c r="AG94" s="22"/>
      <c r="AH94" s="22">
        <v>0</v>
      </c>
      <c r="AI94" s="22"/>
      <c r="AJ94" s="22">
        <v>0</v>
      </c>
      <c r="AK94" s="22"/>
      <c r="AL94" s="22"/>
      <c r="AM94" s="22"/>
      <c r="AN94" s="22">
        <v>0</v>
      </c>
      <c r="AO94" s="22"/>
      <c r="AP94" s="22">
        <v>0</v>
      </c>
      <c r="AQ94" s="22"/>
      <c r="AR94" s="22">
        <v>0</v>
      </c>
      <c r="AS94" s="22"/>
      <c r="AT94" s="22">
        <v>0</v>
      </c>
      <c r="AU94" s="22"/>
      <c r="AV94" s="22">
        <v>0</v>
      </c>
      <c r="AW94" s="22"/>
      <c r="AX94" s="22">
        <v>0</v>
      </c>
      <c r="AY94" s="22"/>
      <c r="AZ94" s="22">
        <v>0</v>
      </c>
      <c r="BA94" s="22"/>
      <c r="BB94" s="22">
        <v>0</v>
      </c>
      <c r="BC94" s="22"/>
      <c r="BD94" s="22">
        <v>0</v>
      </c>
      <c r="BE94" s="22"/>
      <c r="BF94" s="22">
        <v>0</v>
      </c>
      <c r="BG94" s="22"/>
      <c r="BH94" s="22">
        <v>0</v>
      </c>
      <c r="BI94" s="22"/>
      <c r="BJ94" s="22">
        <v>0</v>
      </c>
      <c r="BK94" s="22"/>
      <c r="BL94" s="22">
        <v>0</v>
      </c>
      <c r="BM94" s="22"/>
      <c r="BN94" s="22">
        <f t="shared" si="19"/>
        <v>0</v>
      </c>
      <c r="BO94" s="22"/>
      <c r="BP94" s="22">
        <v>0</v>
      </c>
      <c r="BQ94" s="22"/>
      <c r="BR94" s="22">
        <f t="shared" si="20"/>
        <v>0</v>
      </c>
      <c r="BS94" s="22"/>
      <c r="BT94" s="6">
        <f t="shared" si="21"/>
        <v>0</v>
      </c>
      <c r="BU94" s="22"/>
      <c r="BV94" s="6">
        <f t="shared" si="22"/>
        <v>0</v>
      </c>
      <c r="BW94" s="22"/>
    </row>
    <row r="95" spans="1:75" s="15" customFormat="1" hidden="1">
      <c r="A95" s="62"/>
      <c r="B95" s="17" t="s">
        <v>156</v>
      </c>
      <c r="C95"/>
      <c r="D95"/>
      <c r="E95"/>
      <c r="F95"/>
      <c r="G95"/>
      <c r="H95"/>
      <c r="I95"/>
      <c r="J95" s="49"/>
      <c r="K95"/>
      <c r="L95" s="134" t="s">
        <v>202</v>
      </c>
      <c r="M95" s="22"/>
      <c r="N95" s="22">
        <v>0</v>
      </c>
      <c r="O95" s="22"/>
      <c r="P95" s="22">
        <v>0</v>
      </c>
      <c r="Q95" s="22"/>
      <c r="R95" s="6">
        <f t="shared" si="18"/>
        <v>0</v>
      </c>
      <c r="S95" s="22"/>
      <c r="T95" s="22">
        <v>0</v>
      </c>
      <c r="U95" s="22"/>
      <c r="V95" s="22">
        <v>0</v>
      </c>
      <c r="W95" s="22"/>
      <c r="X95" s="22">
        <v>0</v>
      </c>
      <c r="Y95" s="22"/>
      <c r="Z95" s="22">
        <v>0</v>
      </c>
      <c r="AA95" s="22"/>
      <c r="AB95" s="22">
        <v>0</v>
      </c>
      <c r="AC95" s="22"/>
      <c r="AD95" s="22">
        <v>0</v>
      </c>
      <c r="AE95" s="22"/>
      <c r="AF95" s="22">
        <v>0</v>
      </c>
      <c r="AG95" s="22"/>
      <c r="AH95" s="22">
        <v>0</v>
      </c>
      <c r="AI95" s="22"/>
      <c r="AJ95" s="22">
        <v>0</v>
      </c>
      <c r="AK95" s="22"/>
      <c r="AL95" s="22"/>
      <c r="AM95" s="22"/>
      <c r="AN95" s="22">
        <v>0</v>
      </c>
      <c r="AO95" s="22"/>
      <c r="AP95" s="22">
        <v>0</v>
      </c>
      <c r="AQ95" s="22"/>
      <c r="AR95" s="22">
        <v>0</v>
      </c>
      <c r="AS95" s="22"/>
      <c r="AT95" s="22">
        <v>0</v>
      </c>
      <c r="AU95" s="22"/>
      <c r="AV95" s="22">
        <v>0</v>
      </c>
      <c r="AW95" s="22"/>
      <c r="AX95" s="22">
        <v>0</v>
      </c>
      <c r="AY95" s="22"/>
      <c r="AZ95" s="22">
        <v>0</v>
      </c>
      <c r="BA95" s="22"/>
      <c r="BB95" s="22">
        <v>0</v>
      </c>
      <c r="BC95" s="22"/>
      <c r="BD95" s="22">
        <v>0</v>
      </c>
      <c r="BE95" s="22"/>
      <c r="BF95" s="22">
        <v>0</v>
      </c>
      <c r="BG95" s="22"/>
      <c r="BH95" s="22">
        <v>0</v>
      </c>
      <c r="BI95" s="22"/>
      <c r="BJ95" s="22">
        <v>0</v>
      </c>
      <c r="BK95" s="22"/>
      <c r="BL95" s="22">
        <v>0</v>
      </c>
      <c r="BM95" s="22"/>
      <c r="BN95" s="22">
        <f t="shared" si="19"/>
        <v>0</v>
      </c>
      <c r="BO95" s="22"/>
      <c r="BP95" s="22">
        <v>0</v>
      </c>
      <c r="BQ95" s="22"/>
      <c r="BR95" s="22">
        <f t="shared" si="20"/>
        <v>0</v>
      </c>
      <c r="BS95" s="22"/>
      <c r="BT95" s="6">
        <f t="shared" si="21"/>
        <v>0</v>
      </c>
      <c r="BU95" s="22"/>
      <c r="BV95" s="6">
        <f t="shared" si="22"/>
        <v>0</v>
      </c>
      <c r="BW95" s="22"/>
    </row>
    <row r="96" spans="1:75" s="15" customFormat="1" hidden="1">
      <c r="A96" s="62"/>
      <c r="B96" s="17" t="s">
        <v>62</v>
      </c>
      <c r="C96"/>
      <c r="D96"/>
      <c r="E96"/>
      <c r="F96"/>
      <c r="G96"/>
      <c r="H96"/>
      <c r="I96"/>
      <c r="J96" s="49"/>
      <c r="K96"/>
      <c r="L96" s="134" t="s">
        <v>202</v>
      </c>
      <c r="M96" s="22"/>
      <c r="N96" s="22">
        <v>0</v>
      </c>
      <c r="O96" s="22"/>
      <c r="P96" s="22">
        <v>0</v>
      </c>
      <c r="Q96" s="22"/>
      <c r="R96" s="6">
        <f t="shared" si="18"/>
        <v>0</v>
      </c>
      <c r="S96" s="22"/>
      <c r="T96" s="22">
        <v>0</v>
      </c>
      <c r="U96" s="22"/>
      <c r="V96" s="22">
        <v>0</v>
      </c>
      <c r="W96" s="22"/>
      <c r="X96" s="22">
        <v>0</v>
      </c>
      <c r="Y96" s="22"/>
      <c r="Z96" s="22">
        <v>0</v>
      </c>
      <c r="AA96" s="22"/>
      <c r="AB96" s="22">
        <v>0</v>
      </c>
      <c r="AC96" s="22"/>
      <c r="AD96" s="22">
        <v>0</v>
      </c>
      <c r="AE96" s="22"/>
      <c r="AF96" s="22">
        <v>0</v>
      </c>
      <c r="AG96" s="22"/>
      <c r="AH96" s="22">
        <v>0</v>
      </c>
      <c r="AI96" s="22"/>
      <c r="AJ96" s="22">
        <v>0</v>
      </c>
      <c r="AK96" s="22"/>
      <c r="AL96" s="22"/>
      <c r="AM96" s="22"/>
      <c r="AN96" s="22">
        <v>0</v>
      </c>
      <c r="AO96" s="22"/>
      <c r="AP96" s="22">
        <v>0</v>
      </c>
      <c r="AQ96" s="22"/>
      <c r="AR96" s="22">
        <v>0</v>
      </c>
      <c r="AS96" s="22"/>
      <c r="AT96" s="22">
        <v>0</v>
      </c>
      <c r="AU96" s="22"/>
      <c r="AV96" s="22">
        <v>0</v>
      </c>
      <c r="AW96" s="22"/>
      <c r="AX96" s="22">
        <v>0</v>
      </c>
      <c r="AY96" s="22"/>
      <c r="AZ96" s="22">
        <v>0</v>
      </c>
      <c r="BA96" s="22"/>
      <c r="BB96" s="22">
        <v>0</v>
      </c>
      <c r="BC96" s="22"/>
      <c r="BD96" s="22">
        <v>0</v>
      </c>
      <c r="BE96" s="22"/>
      <c r="BF96" s="22">
        <v>0</v>
      </c>
      <c r="BG96" s="22"/>
      <c r="BH96" s="22">
        <v>0</v>
      </c>
      <c r="BI96" s="22"/>
      <c r="BJ96" s="22">
        <v>0</v>
      </c>
      <c r="BK96" s="22"/>
      <c r="BL96" s="22">
        <v>0</v>
      </c>
      <c r="BM96" s="22"/>
      <c r="BN96" s="22">
        <f t="shared" si="19"/>
        <v>0</v>
      </c>
      <c r="BO96" s="22"/>
      <c r="BP96" s="22">
        <v>0</v>
      </c>
      <c r="BQ96" s="22"/>
      <c r="BR96" s="22">
        <f t="shared" si="20"/>
        <v>0</v>
      </c>
      <c r="BS96" s="22"/>
      <c r="BT96" s="6">
        <f t="shared" si="21"/>
        <v>0</v>
      </c>
      <c r="BU96" s="22"/>
      <c r="BV96" s="6">
        <f t="shared" si="22"/>
        <v>0</v>
      </c>
      <c r="BW96" s="22"/>
    </row>
    <row r="97" spans="1:75" s="15" customFormat="1" hidden="1">
      <c r="A97" s="62"/>
      <c r="B97" s="17" t="s">
        <v>157</v>
      </c>
      <c r="C97"/>
      <c r="D97"/>
      <c r="E97"/>
      <c r="F97"/>
      <c r="G97"/>
      <c r="H97"/>
      <c r="I97"/>
      <c r="J97" s="49"/>
      <c r="K97"/>
      <c r="L97" s="134" t="s">
        <v>202</v>
      </c>
      <c r="M97" s="22"/>
      <c r="N97" s="22">
        <v>0</v>
      </c>
      <c r="O97" s="22"/>
      <c r="P97" s="22">
        <v>0</v>
      </c>
      <c r="Q97" s="22"/>
      <c r="R97" s="6">
        <f t="shared" si="18"/>
        <v>0</v>
      </c>
      <c r="S97" s="22"/>
      <c r="T97" s="22">
        <v>0</v>
      </c>
      <c r="U97" s="22"/>
      <c r="V97" s="22">
        <v>0</v>
      </c>
      <c r="W97" s="22"/>
      <c r="X97" s="22">
        <v>0</v>
      </c>
      <c r="Y97" s="22"/>
      <c r="Z97" s="22">
        <v>0</v>
      </c>
      <c r="AA97" s="22"/>
      <c r="AB97" s="22">
        <v>0</v>
      </c>
      <c r="AC97" s="22"/>
      <c r="AD97" s="22">
        <v>0</v>
      </c>
      <c r="AE97" s="22"/>
      <c r="AF97" s="22">
        <v>0</v>
      </c>
      <c r="AG97" s="22"/>
      <c r="AH97" s="22">
        <v>0</v>
      </c>
      <c r="AI97" s="22"/>
      <c r="AJ97" s="22">
        <v>0</v>
      </c>
      <c r="AK97" s="22"/>
      <c r="AL97" s="22"/>
      <c r="AM97" s="22"/>
      <c r="AN97" s="22">
        <v>0</v>
      </c>
      <c r="AO97" s="22"/>
      <c r="AP97" s="22">
        <v>0</v>
      </c>
      <c r="AQ97" s="22"/>
      <c r="AR97" s="22">
        <v>0</v>
      </c>
      <c r="AS97" s="22"/>
      <c r="AT97" s="22">
        <v>0</v>
      </c>
      <c r="AU97" s="22"/>
      <c r="AV97" s="22">
        <v>0</v>
      </c>
      <c r="AW97" s="22"/>
      <c r="AX97" s="22">
        <v>0</v>
      </c>
      <c r="AY97" s="22"/>
      <c r="AZ97" s="22">
        <v>0</v>
      </c>
      <c r="BA97" s="22"/>
      <c r="BB97" s="22">
        <v>0</v>
      </c>
      <c r="BC97" s="22"/>
      <c r="BD97" s="22">
        <v>0</v>
      </c>
      <c r="BE97" s="22"/>
      <c r="BF97" s="22">
        <v>0</v>
      </c>
      <c r="BG97" s="22"/>
      <c r="BH97" s="22">
        <v>0</v>
      </c>
      <c r="BI97" s="22"/>
      <c r="BJ97" s="22">
        <v>0</v>
      </c>
      <c r="BK97" s="22"/>
      <c r="BL97" s="22">
        <v>0</v>
      </c>
      <c r="BM97" s="22"/>
      <c r="BN97" s="22">
        <f t="shared" si="19"/>
        <v>0</v>
      </c>
      <c r="BO97" s="22"/>
      <c r="BP97" s="22">
        <v>0</v>
      </c>
      <c r="BQ97" s="22"/>
      <c r="BR97" s="22">
        <f t="shared" si="20"/>
        <v>0</v>
      </c>
      <c r="BS97" s="22"/>
      <c r="BT97" s="6">
        <f t="shared" si="21"/>
        <v>0</v>
      </c>
      <c r="BU97" s="22"/>
      <c r="BV97" s="6">
        <f t="shared" si="22"/>
        <v>0</v>
      </c>
      <c r="BW97" s="22"/>
    </row>
    <row r="98" spans="1:75" s="15" customFormat="1" hidden="1">
      <c r="A98" s="62"/>
      <c r="B98" s="17" t="s">
        <v>158</v>
      </c>
      <c r="C98"/>
      <c r="D98"/>
      <c r="E98"/>
      <c r="F98"/>
      <c r="G98"/>
      <c r="H98"/>
      <c r="I98"/>
      <c r="J98" s="49"/>
      <c r="K98"/>
      <c r="L98" s="134" t="s">
        <v>202</v>
      </c>
      <c r="M98" s="22"/>
      <c r="N98" s="22">
        <v>0</v>
      </c>
      <c r="O98" s="22"/>
      <c r="P98" s="22">
        <v>0</v>
      </c>
      <c r="Q98" s="22"/>
      <c r="R98" s="6">
        <f t="shared" si="18"/>
        <v>0</v>
      </c>
      <c r="S98" s="22"/>
      <c r="T98" s="22">
        <v>0</v>
      </c>
      <c r="U98" s="22"/>
      <c r="V98" s="22">
        <v>0</v>
      </c>
      <c r="W98" s="22"/>
      <c r="X98" s="22">
        <v>0</v>
      </c>
      <c r="Y98" s="22"/>
      <c r="Z98" s="22">
        <v>0</v>
      </c>
      <c r="AA98" s="22"/>
      <c r="AB98" s="22">
        <v>0</v>
      </c>
      <c r="AC98" s="22"/>
      <c r="AD98" s="22">
        <v>0</v>
      </c>
      <c r="AE98" s="22"/>
      <c r="AF98" s="22">
        <v>0</v>
      </c>
      <c r="AG98" s="22"/>
      <c r="AH98" s="22">
        <v>0</v>
      </c>
      <c r="AI98" s="22"/>
      <c r="AJ98" s="22">
        <v>0</v>
      </c>
      <c r="AK98" s="22"/>
      <c r="AL98" s="22"/>
      <c r="AM98" s="22"/>
      <c r="AN98" s="22">
        <v>0</v>
      </c>
      <c r="AO98" s="22"/>
      <c r="AP98" s="22">
        <v>0</v>
      </c>
      <c r="AQ98" s="22"/>
      <c r="AR98" s="22">
        <v>0</v>
      </c>
      <c r="AS98" s="22"/>
      <c r="AT98" s="22">
        <v>0</v>
      </c>
      <c r="AU98" s="22"/>
      <c r="AV98" s="22">
        <v>0</v>
      </c>
      <c r="AW98" s="22"/>
      <c r="AX98" s="22">
        <v>0</v>
      </c>
      <c r="AY98" s="22"/>
      <c r="AZ98" s="22">
        <v>0</v>
      </c>
      <c r="BA98" s="22"/>
      <c r="BB98" s="22">
        <v>0</v>
      </c>
      <c r="BC98" s="22"/>
      <c r="BD98" s="22">
        <v>0</v>
      </c>
      <c r="BE98" s="22"/>
      <c r="BF98" s="22">
        <v>0</v>
      </c>
      <c r="BG98" s="22"/>
      <c r="BH98" s="22">
        <v>0</v>
      </c>
      <c r="BI98" s="22"/>
      <c r="BJ98" s="22">
        <v>0</v>
      </c>
      <c r="BK98" s="22"/>
      <c r="BL98" s="22">
        <v>0</v>
      </c>
      <c r="BM98" s="22"/>
      <c r="BN98" s="22">
        <f t="shared" si="19"/>
        <v>0</v>
      </c>
      <c r="BO98" s="22"/>
      <c r="BP98" s="22">
        <v>0</v>
      </c>
      <c r="BQ98" s="22"/>
      <c r="BR98" s="22">
        <f t="shared" si="20"/>
        <v>0</v>
      </c>
      <c r="BS98" s="22"/>
      <c r="BT98" s="6">
        <f t="shared" si="21"/>
        <v>0</v>
      </c>
      <c r="BU98" s="22"/>
      <c r="BV98" s="6">
        <f t="shared" si="22"/>
        <v>0</v>
      </c>
      <c r="BW98" s="22"/>
    </row>
    <row r="99" spans="1:75" s="15" customFormat="1" hidden="1">
      <c r="A99" s="62"/>
      <c r="B99" s="17" t="s">
        <v>159</v>
      </c>
      <c r="C99"/>
      <c r="D99"/>
      <c r="E99"/>
      <c r="F99"/>
      <c r="G99"/>
      <c r="H99"/>
      <c r="I99"/>
      <c r="J99" s="49"/>
      <c r="K99"/>
      <c r="L99" s="134" t="s">
        <v>202</v>
      </c>
      <c r="M99" s="22"/>
      <c r="N99" s="22">
        <v>0</v>
      </c>
      <c r="O99" s="22"/>
      <c r="P99" s="22">
        <v>0</v>
      </c>
      <c r="Q99" s="22"/>
      <c r="R99" s="6">
        <f t="shared" si="18"/>
        <v>0</v>
      </c>
      <c r="S99" s="22"/>
      <c r="T99" s="22">
        <v>0</v>
      </c>
      <c r="U99" s="22"/>
      <c r="V99" s="22">
        <v>0</v>
      </c>
      <c r="W99" s="22"/>
      <c r="X99" s="22">
        <v>0</v>
      </c>
      <c r="Y99" s="22"/>
      <c r="Z99" s="22">
        <v>0</v>
      </c>
      <c r="AA99" s="22"/>
      <c r="AB99" s="22">
        <v>0</v>
      </c>
      <c r="AC99" s="22"/>
      <c r="AD99" s="22">
        <v>0</v>
      </c>
      <c r="AE99" s="22"/>
      <c r="AF99" s="22">
        <v>0</v>
      </c>
      <c r="AG99" s="22"/>
      <c r="AH99" s="22">
        <v>0</v>
      </c>
      <c r="AI99" s="22"/>
      <c r="AJ99" s="22">
        <v>0</v>
      </c>
      <c r="AK99" s="22"/>
      <c r="AL99" s="22"/>
      <c r="AM99" s="22"/>
      <c r="AN99" s="22">
        <v>0</v>
      </c>
      <c r="AO99" s="22"/>
      <c r="AP99" s="22">
        <v>0</v>
      </c>
      <c r="AQ99" s="22"/>
      <c r="AR99" s="22">
        <v>0</v>
      </c>
      <c r="AS99" s="22"/>
      <c r="AT99" s="22">
        <v>0</v>
      </c>
      <c r="AU99" s="22"/>
      <c r="AV99" s="22">
        <v>0</v>
      </c>
      <c r="AW99" s="22"/>
      <c r="AX99" s="22">
        <v>0</v>
      </c>
      <c r="AY99" s="22"/>
      <c r="AZ99" s="22">
        <v>0</v>
      </c>
      <c r="BA99" s="22"/>
      <c r="BB99" s="22">
        <v>0</v>
      </c>
      <c r="BC99" s="22"/>
      <c r="BD99" s="22">
        <v>0</v>
      </c>
      <c r="BE99" s="22"/>
      <c r="BF99" s="22">
        <v>0</v>
      </c>
      <c r="BG99" s="22"/>
      <c r="BH99" s="22">
        <v>0</v>
      </c>
      <c r="BI99" s="22"/>
      <c r="BJ99" s="22">
        <v>0</v>
      </c>
      <c r="BK99" s="22"/>
      <c r="BL99" s="22">
        <v>0</v>
      </c>
      <c r="BM99" s="22"/>
      <c r="BN99" s="22">
        <f t="shared" si="19"/>
        <v>0</v>
      </c>
      <c r="BO99" s="22"/>
      <c r="BP99" s="22">
        <v>0</v>
      </c>
      <c r="BQ99" s="22"/>
      <c r="BR99" s="22">
        <f t="shared" si="20"/>
        <v>0</v>
      </c>
      <c r="BS99" s="22"/>
      <c r="BT99" s="6">
        <f t="shared" si="21"/>
        <v>0</v>
      </c>
      <c r="BU99" s="22"/>
      <c r="BV99" s="6">
        <f t="shared" si="22"/>
        <v>0</v>
      </c>
      <c r="BW99" s="22"/>
    </row>
    <row r="100" spans="1:75" s="15" customFormat="1" hidden="1">
      <c r="A100" s="62"/>
      <c r="B100" s="17" t="s">
        <v>160</v>
      </c>
      <c r="C100"/>
      <c r="D100"/>
      <c r="E100"/>
      <c r="F100"/>
      <c r="G100"/>
      <c r="H100"/>
      <c r="I100"/>
      <c r="J100" s="49"/>
      <c r="K100"/>
      <c r="L100" s="134" t="s">
        <v>202</v>
      </c>
      <c r="M100" s="22"/>
      <c r="N100" s="22">
        <v>0</v>
      </c>
      <c r="O100" s="22"/>
      <c r="P100" s="22">
        <v>0</v>
      </c>
      <c r="Q100" s="22"/>
      <c r="R100" s="6">
        <f t="shared" si="18"/>
        <v>0</v>
      </c>
      <c r="S100" s="22"/>
      <c r="T100" s="22">
        <v>0</v>
      </c>
      <c r="U100" s="22"/>
      <c r="V100" s="22">
        <v>0</v>
      </c>
      <c r="W100" s="22"/>
      <c r="X100" s="22">
        <v>0</v>
      </c>
      <c r="Y100" s="22"/>
      <c r="Z100" s="22">
        <v>0</v>
      </c>
      <c r="AA100" s="22"/>
      <c r="AB100" s="22">
        <v>0</v>
      </c>
      <c r="AC100" s="22"/>
      <c r="AD100" s="22">
        <v>0</v>
      </c>
      <c r="AE100" s="22"/>
      <c r="AF100" s="22">
        <v>0</v>
      </c>
      <c r="AG100" s="22"/>
      <c r="AH100" s="22">
        <v>0</v>
      </c>
      <c r="AI100" s="22"/>
      <c r="AJ100" s="22">
        <v>0</v>
      </c>
      <c r="AK100" s="22"/>
      <c r="AL100" s="22"/>
      <c r="AM100" s="22"/>
      <c r="AN100" s="22">
        <v>0</v>
      </c>
      <c r="AO100" s="22"/>
      <c r="AP100" s="22">
        <v>0</v>
      </c>
      <c r="AQ100" s="22"/>
      <c r="AR100" s="22">
        <v>0</v>
      </c>
      <c r="AS100" s="22"/>
      <c r="AT100" s="22">
        <v>0</v>
      </c>
      <c r="AU100" s="22"/>
      <c r="AV100" s="22">
        <v>0</v>
      </c>
      <c r="AW100" s="22"/>
      <c r="AX100" s="22">
        <v>0</v>
      </c>
      <c r="AY100" s="22"/>
      <c r="AZ100" s="22">
        <v>0</v>
      </c>
      <c r="BA100" s="22"/>
      <c r="BB100" s="22">
        <v>0</v>
      </c>
      <c r="BC100" s="22"/>
      <c r="BD100" s="22">
        <v>0</v>
      </c>
      <c r="BE100" s="22"/>
      <c r="BF100" s="22">
        <v>0</v>
      </c>
      <c r="BG100" s="22"/>
      <c r="BH100" s="22">
        <v>0</v>
      </c>
      <c r="BI100" s="22"/>
      <c r="BJ100" s="22">
        <v>0</v>
      </c>
      <c r="BK100" s="22"/>
      <c r="BL100" s="22">
        <v>0</v>
      </c>
      <c r="BM100" s="22"/>
      <c r="BN100" s="22">
        <f t="shared" si="19"/>
        <v>0</v>
      </c>
      <c r="BO100" s="22"/>
      <c r="BP100" s="22">
        <v>0</v>
      </c>
      <c r="BQ100" s="22"/>
      <c r="BR100" s="22">
        <f t="shared" si="20"/>
        <v>0</v>
      </c>
      <c r="BS100" s="22"/>
      <c r="BT100" s="6">
        <f t="shared" si="21"/>
        <v>0</v>
      </c>
      <c r="BU100" s="22"/>
      <c r="BV100" s="6">
        <f t="shared" si="22"/>
        <v>0</v>
      </c>
      <c r="BW100" s="22"/>
    </row>
    <row r="101" spans="1:75" s="15" customFormat="1" hidden="1">
      <c r="A101" s="62"/>
      <c r="B101" s="17" t="s">
        <v>63</v>
      </c>
      <c r="C101"/>
      <c r="D101"/>
      <c r="E101"/>
      <c r="F101"/>
      <c r="G101"/>
      <c r="H101"/>
      <c r="I101"/>
      <c r="J101" s="49"/>
      <c r="K101"/>
      <c r="L101" s="134" t="s">
        <v>202</v>
      </c>
      <c r="M101" s="22"/>
      <c r="N101" s="22"/>
      <c r="O101" s="22"/>
      <c r="P101" s="22"/>
      <c r="Q101" s="22"/>
      <c r="R101" s="6"/>
      <c r="S101" s="22"/>
      <c r="T101" s="22"/>
      <c r="U101" s="22"/>
      <c r="V101" s="22"/>
      <c r="W101" s="22"/>
      <c r="X101" s="22"/>
      <c r="Y101" s="22"/>
      <c r="Z101" s="22"/>
      <c r="AA101" s="22"/>
      <c r="AB101" s="22"/>
      <c r="AC101" s="22"/>
      <c r="AD101" s="22"/>
      <c r="AE101" s="22"/>
      <c r="AF101" s="22"/>
      <c r="AG101" s="22"/>
      <c r="AH101" s="22"/>
      <c r="AI101" s="22"/>
      <c r="AJ101" s="22"/>
      <c r="AK101" s="22"/>
      <c r="AL101" s="22"/>
      <c r="AM101" s="22"/>
      <c r="AN101" s="22"/>
      <c r="AO101" s="22"/>
      <c r="AP101" s="22"/>
      <c r="AQ101" s="22"/>
      <c r="AR101" s="22"/>
      <c r="AS101" s="22"/>
      <c r="AT101" s="22"/>
      <c r="AU101" s="22"/>
      <c r="AV101" s="22"/>
      <c r="AW101" s="22"/>
      <c r="AX101" s="22"/>
      <c r="AY101" s="22"/>
      <c r="AZ101" s="22"/>
      <c r="BA101" s="22"/>
      <c r="BB101" s="22"/>
      <c r="BC101" s="22"/>
      <c r="BD101" s="22"/>
      <c r="BE101" s="22"/>
      <c r="BF101" s="22"/>
      <c r="BG101" s="22"/>
      <c r="BH101" s="22"/>
      <c r="BI101" s="22"/>
      <c r="BJ101" s="22"/>
      <c r="BK101" s="22"/>
      <c r="BL101" s="22"/>
      <c r="BM101" s="22"/>
      <c r="BN101" s="22"/>
      <c r="BO101" s="22"/>
      <c r="BP101" s="22"/>
      <c r="BQ101" s="22"/>
      <c r="BR101" s="22"/>
      <c r="BS101" s="22"/>
      <c r="BT101" s="6">
        <f t="shared" si="21"/>
        <v>0</v>
      </c>
      <c r="BU101" s="22"/>
      <c r="BV101" s="6">
        <f t="shared" si="22"/>
        <v>0</v>
      </c>
      <c r="BW101" s="22"/>
    </row>
    <row r="102" spans="1:75" s="15" customFormat="1" hidden="1">
      <c r="A102" s="62"/>
      <c r="B102" s="110" t="s">
        <v>175</v>
      </c>
      <c r="C102"/>
      <c r="D102"/>
      <c r="E102"/>
      <c r="F102"/>
      <c r="G102"/>
      <c r="H102"/>
      <c r="I102"/>
      <c r="J102" s="49"/>
      <c r="K102"/>
      <c r="L102" s="134" t="s">
        <v>202</v>
      </c>
      <c r="M102" s="22"/>
      <c r="N102" s="22">
        <v>0</v>
      </c>
      <c r="O102" s="22"/>
      <c r="P102" s="22">
        <v>0</v>
      </c>
      <c r="Q102" s="22"/>
      <c r="R102" s="6">
        <f>+N102+P102</f>
        <v>0</v>
      </c>
      <c r="S102" s="22"/>
      <c r="T102" s="22">
        <v>0</v>
      </c>
      <c r="U102" s="22"/>
      <c r="V102" s="22">
        <v>0</v>
      </c>
      <c r="W102" s="22"/>
      <c r="X102" s="22">
        <v>0</v>
      </c>
      <c r="Y102" s="22"/>
      <c r="Z102" s="22">
        <v>0</v>
      </c>
      <c r="AA102" s="22"/>
      <c r="AB102" s="22">
        <v>0</v>
      </c>
      <c r="AC102" s="22"/>
      <c r="AD102" s="22">
        <v>0</v>
      </c>
      <c r="AE102" s="22"/>
      <c r="AF102" s="22">
        <v>0</v>
      </c>
      <c r="AG102" s="22"/>
      <c r="AH102" s="22">
        <v>0</v>
      </c>
      <c r="AI102" s="22"/>
      <c r="AJ102" s="22">
        <v>0</v>
      </c>
      <c r="AK102" s="22"/>
      <c r="AL102" s="22"/>
      <c r="AM102" s="22"/>
      <c r="AN102" s="22">
        <v>0</v>
      </c>
      <c r="AO102" s="22"/>
      <c r="AP102" s="22">
        <v>0</v>
      </c>
      <c r="AQ102" s="22"/>
      <c r="AR102" s="22">
        <v>0</v>
      </c>
      <c r="AS102" s="22"/>
      <c r="AT102" s="22">
        <v>0</v>
      </c>
      <c r="AU102" s="22"/>
      <c r="AV102" s="22">
        <v>0</v>
      </c>
      <c r="AW102" s="22"/>
      <c r="AX102" s="22">
        <v>0</v>
      </c>
      <c r="AY102" s="22"/>
      <c r="AZ102" s="22">
        <v>0</v>
      </c>
      <c r="BA102" s="22"/>
      <c r="BB102" s="22">
        <v>0</v>
      </c>
      <c r="BC102" s="22"/>
      <c r="BD102" s="22">
        <v>0</v>
      </c>
      <c r="BE102" s="22"/>
      <c r="BF102" s="22">
        <v>0</v>
      </c>
      <c r="BG102" s="22"/>
      <c r="BH102" s="22">
        <v>0</v>
      </c>
      <c r="BI102" s="22"/>
      <c r="BJ102" s="22">
        <v>0</v>
      </c>
      <c r="BK102" s="22"/>
      <c r="BL102" s="22">
        <v>0</v>
      </c>
      <c r="BM102" s="22"/>
      <c r="BN102" s="22">
        <f>SUM(T102:BM102)</f>
        <v>0</v>
      </c>
      <c r="BO102" s="22"/>
      <c r="BP102" s="22">
        <v>0</v>
      </c>
      <c r="BQ102" s="22"/>
      <c r="BR102" s="22">
        <f>+R102-BN102+BP102</f>
        <v>0</v>
      </c>
      <c r="BS102" s="22"/>
      <c r="BT102" s="6">
        <f t="shared" si="21"/>
        <v>0</v>
      </c>
      <c r="BU102" s="22"/>
      <c r="BV102" s="6">
        <f t="shared" si="22"/>
        <v>0</v>
      </c>
      <c r="BW102" s="22"/>
    </row>
    <row r="103" spans="1:75" s="15" customFormat="1" hidden="1">
      <c r="A103" s="62"/>
      <c r="B103" s="110" t="s">
        <v>176</v>
      </c>
      <c r="C103"/>
      <c r="D103"/>
      <c r="E103"/>
      <c r="F103"/>
      <c r="G103"/>
      <c r="H103"/>
      <c r="I103"/>
      <c r="J103" s="49"/>
      <c r="K103"/>
      <c r="L103" s="134" t="s">
        <v>202</v>
      </c>
      <c r="M103" s="22"/>
      <c r="N103" s="22">
        <v>0</v>
      </c>
      <c r="O103" s="22"/>
      <c r="P103" s="22">
        <v>0</v>
      </c>
      <c r="Q103" s="22"/>
      <c r="R103" s="6">
        <f>+N103+P103</f>
        <v>0</v>
      </c>
      <c r="S103" s="22"/>
      <c r="T103" s="22">
        <v>0</v>
      </c>
      <c r="U103" s="22"/>
      <c r="V103" s="22">
        <v>0</v>
      </c>
      <c r="W103" s="22"/>
      <c r="X103" s="22">
        <v>0</v>
      </c>
      <c r="Y103" s="22"/>
      <c r="Z103" s="22">
        <v>0</v>
      </c>
      <c r="AA103" s="22"/>
      <c r="AB103" s="22">
        <v>0</v>
      </c>
      <c r="AC103" s="22"/>
      <c r="AD103" s="22">
        <v>0</v>
      </c>
      <c r="AE103" s="22"/>
      <c r="AF103" s="22">
        <v>0</v>
      </c>
      <c r="AG103" s="22"/>
      <c r="AH103" s="22">
        <v>0</v>
      </c>
      <c r="AI103" s="22"/>
      <c r="AJ103" s="22">
        <v>0</v>
      </c>
      <c r="AK103" s="22"/>
      <c r="AL103" s="22"/>
      <c r="AM103" s="22"/>
      <c r="AN103" s="22">
        <v>0</v>
      </c>
      <c r="AO103" s="22"/>
      <c r="AP103" s="22">
        <v>0</v>
      </c>
      <c r="AQ103" s="22"/>
      <c r="AR103" s="22">
        <v>0</v>
      </c>
      <c r="AS103" s="22"/>
      <c r="AT103" s="22">
        <v>0</v>
      </c>
      <c r="AU103" s="22"/>
      <c r="AV103" s="22">
        <v>0</v>
      </c>
      <c r="AW103" s="22"/>
      <c r="AX103" s="22">
        <v>0</v>
      </c>
      <c r="AY103" s="22"/>
      <c r="AZ103" s="22">
        <v>0</v>
      </c>
      <c r="BA103" s="22"/>
      <c r="BB103" s="22">
        <v>0</v>
      </c>
      <c r="BC103" s="22"/>
      <c r="BD103" s="22">
        <v>0</v>
      </c>
      <c r="BE103" s="22"/>
      <c r="BF103" s="22">
        <v>0</v>
      </c>
      <c r="BG103" s="22"/>
      <c r="BH103" s="22">
        <v>0</v>
      </c>
      <c r="BI103" s="22"/>
      <c r="BJ103" s="22">
        <v>0</v>
      </c>
      <c r="BK103" s="22"/>
      <c r="BL103" s="22">
        <v>0</v>
      </c>
      <c r="BM103" s="22"/>
      <c r="BN103" s="22">
        <f>SUM(T103:BM103)</f>
        <v>0</v>
      </c>
      <c r="BO103" s="22"/>
      <c r="BP103" s="22">
        <v>0</v>
      </c>
      <c r="BQ103" s="22"/>
      <c r="BR103" s="22">
        <f>+R103-BN103+BP103</f>
        <v>0</v>
      </c>
      <c r="BS103" s="22"/>
      <c r="BT103" s="6">
        <f t="shared" si="21"/>
        <v>0</v>
      </c>
      <c r="BU103" s="22"/>
      <c r="BV103" s="6">
        <f t="shared" si="22"/>
        <v>0</v>
      </c>
      <c r="BW103" s="22"/>
    </row>
    <row r="104" spans="1:75" s="15" customFormat="1" hidden="1">
      <c r="A104" s="62"/>
      <c r="B104" s="110" t="s">
        <v>177</v>
      </c>
      <c r="C104"/>
      <c r="D104"/>
      <c r="E104"/>
      <c r="F104"/>
      <c r="G104"/>
      <c r="H104"/>
      <c r="I104"/>
      <c r="J104" s="49"/>
      <c r="K104"/>
      <c r="L104" s="134" t="s">
        <v>202</v>
      </c>
      <c r="M104" s="22"/>
      <c r="N104" s="22">
        <v>0</v>
      </c>
      <c r="O104" s="22"/>
      <c r="P104" s="22">
        <v>0</v>
      </c>
      <c r="Q104" s="22"/>
      <c r="R104" s="6">
        <f>+N104+P104</f>
        <v>0</v>
      </c>
      <c r="S104" s="22"/>
      <c r="T104" s="22">
        <v>0</v>
      </c>
      <c r="U104" s="22"/>
      <c r="V104" s="22">
        <v>0</v>
      </c>
      <c r="W104" s="22"/>
      <c r="X104" s="22">
        <v>0</v>
      </c>
      <c r="Y104" s="22"/>
      <c r="Z104" s="22">
        <v>0</v>
      </c>
      <c r="AA104" s="22"/>
      <c r="AB104" s="22">
        <v>0</v>
      </c>
      <c r="AC104" s="22"/>
      <c r="AD104" s="22">
        <v>0</v>
      </c>
      <c r="AE104" s="22"/>
      <c r="AF104" s="22">
        <v>0</v>
      </c>
      <c r="AG104" s="22"/>
      <c r="AH104" s="22">
        <v>0</v>
      </c>
      <c r="AI104" s="22"/>
      <c r="AJ104" s="22">
        <v>0</v>
      </c>
      <c r="AK104" s="22"/>
      <c r="AL104" s="22"/>
      <c r="AM104" s="22"/>
      <c r="AN104" s="22">
        <v>0</v>
      </c>
      <c r="AO104" s="22"/>
      <c r="AP104" s="22">
        <v>0</v>
      </c>
      <c r="AQ104" s="22"/>
      <c r="AR104" s="22">
        <v>0</v>
      </c>
      <c r="AS104" s="22"/>
      <c r="AT104" s="22">
        <v>0</v>
      </c>
      <c r="AU104" s="22"/>
      <c r="AV104" s="22">
        <v>0</v>
      </c>
      <c r="AW104" s="22"/>
      <c r="AX104" s="22">
        <v>0</v>
      </c>
      <c r="AY104" s="22"/>
      <c r="AZ104" s="22">
        <v>0</v>
      </c>
      <c r="BA104" s="22"/>
      <c r="BB104" s="22">
        <v>0</v>
      </c>
      <c r="BC104" s="22"/>
      <c r="BD104" s="22">
        <v>0</v>
      </c>
      <c r="BE104" s="22"/>
      <c r="BF104" s="22">
        <v>0</v>
      </c>
      <c r="BG104" s="22"/>
      <c r="BH104" s="22">
        <v>0</v>
      </c>
      <c r="BI104" s="22"/>
      <c r="BJ104" s="22">
        <v>0</v>
      </c>
      <c r="BK104" s="22"/>
      <c r="BL104" s="22">
        <v>0</v>
      </c>
      <c r="BM104" s="22"/>
      <c r="BN104" s="22">
        <f>SUM(T104:BM104)</f>
        <v>0</v>
      </c>
      <c r="BO104" s="22"/>
      <c r="BP104" s="22">
        <v>0</v>
      </c>
      <c r="BQ104" s="22"/>
      <c r="BR104" s="22">
        <f>+R104-BN104+BP104</f>
        <v>0</v>
      </c>
      <c r="BS104" s="22"/>
      <c r="BT104" s="6">
        <f t="shared" si="21"/>
        <v>0</v>
      </c>
      <c r="BU104" s="22"/>
      <c r="BV104" s="6">
        <f t="shared" si="22"/>
        <v>0</v>
      </c>
      <c r="BW104" s="22"/>
    </row>
    <row r="105" spans="1:75" s="15" customFormat="1" hidden="1">
      <c r="A105" s="62"/>
      <c r="B105" s="17" t="s">
        <v>64</v>
      </c>
      <c r="C105"/>
      <c r="D105"/>
      <c r="E105"/>
      <c r="F105"/>
      <c r="G105"/>
      <c r="H105"/>
      <c r="I105"/>
      <c r="J105" s="49"/>
      <c r="K105"/>
      <c r="L105" s="134" t="s">
        <v>202</v>
      </c>
      <c r="M105" s="22"/>
      <c r="N105" s="22"/>
      <c r="O105" s="22"/>
      <c r="P105" s="22"/>
      <c r="Q105" s="22"/>
      <c r="R105" s="6"/>
      <c r="S105" s="22"/>
      <c r="T105" s="22"/>
      <c r="U105" s="22"/>
      <c r="V105" s="22"/>
      <c r="W105" s="22"/>
      <c r="X105" s="22"/>
      <c r="Y105" s="22"/>
      <c r="Z105" s="22"/>
      <c r="AA105" s="22"/>
      <c r="AB105" s="22"/>
      <c r="AC105" s="22"/>
      <c r="AD105" s="22"/>
      <c r="AE105" s="22"/>
      <c r="AF105" s="22"/>
      <c r="AG105" s="22"/>
      <c r="AH105" s="22"/>
      <c r="AI105" s="22"/>
      <c r="AJ105" s="22"/>
      <c r="AK105" s="22"/>
      <c r="AL105" s="22"/>
      <c r="AM105" s="22"/>
      <c r="AN105" s="22"/>
      <c r="AO105" s="22"/>
      <c r="AP105" s="22"/>
      <c r="AQ105" s="22"/>
      <c r="AR105" s="22"/>
      <c r="AS105" s="22"/>
      <c r="AT105" s="22"/>
      <c r="AU105" s="22"/>
      <c r="AV105" s="22"/>
      <c r="AW105" s="22"/>
      <c r="AX105" s="22"/>
      <c r="AY105" s="22"/>
      <c r="AZ105" s="22"/>
      <c r="BA105" s="22"/>
      <c r="BB105" s="22"/>
      <c r="BC105" s="22"/>
      <c r="BD105" s="22"/>
      <c r="BE105" s="22"/>
      <c r="BF105" s="22"/>
      <c r="BG105" s="22"/>
      <c r="BH105" s="22"/>
      <c r="BI105" s="22"/>
      <c r="BJ105" s="22"/>
      <c r="BK105" s="22"/>
      <c r="BL105" s="22"/>
      <c r="BM105" s="22"/>
      <c r="BN105" s="22"/>
      <c r="BO105" s="22"/>
      <c r="BP105" s="22"/>
      <c r="BQ105" s="22"/>
      <c r="BR105" s="22"/>
      <c r="BS105" s="22"/>
      <c r="BT105" s="6">
        <f t="shared" si="21"/>
        <v>0</v>
      </c>
      <c r="BU105" s="22"/>
      <c r="BV105" s="6">
        <f t="shared" si="22"/>
        <v>0</v>
      </c>
      <c r="BW105" s="22"/>
    </row>
    <row r="106" spans="1:75" s="15" customFormat="1" hidden="1">
      <c r="A106" s="62"/>
      <c r="B106" s="110" t="s">
        <v>175</v>
      </c>
      <c r="C106"/>
      <c r="D106"/>
      <c r="E106"/>
      <c r="F106"/>
      <c r="G106"/>
      <c r="H106"/>
      <c r="I106"/>
      <c r="J106" s="49"/>
      <c r="K106"/>
      <c r="L106" s="134" t="s">
        <v>202</v>
      </c>
      <c r="M106" s="22"/>
      <c r="N106" s="22">
        <v>0</v>
      </c>
      <c r="O106" s="22"/>
      <c r="P106" s="22">
        <v>0</v>
      </c>
      <c r="Q106" s="22"/>
      <c r="R106" s="6">
        <f t="shared" ref="R106:R115" si="23">+N106+P106</f>
        <v>0</v>
      </c>
      <c r="S106" s="22"/>
      <c r="T106" s="22">
        <v>0</v>
      </c>
      <c r="U106" s="22"/>
      <c r="V106" s="22">
        <v>0</v>
      </c>
      <c r="W106" s="22"/>
      <c r="X106" s="22">
        <v>0</v>
      </c>
      <c r="Y106" s="22"/>
      <c r="Z106" s="22">
        <v>0</v>
      </c>
      <c r="AA106" s="22"/>
      <c r="AB106" s="22">
        <v>0</v>
      </c>
      <c r="AC106" s="22"/>
      <c r="AD106" s="22">
        <v>0</v>
      </c>
      <c r="AE106" s="22"/>
      <c r="AF106" s="22">
        <v>0</v>
      </c>
      <c r="AG106" s="22"/>
      <c r="AH106" s="22">
        <v>0</v>
      </c>
      <c r="AI106" s="22"/>
      <c r="AJ106" s="22">
        <v>0</v>
      </c>
      <c r="AK106" s="22"/>
      <c r="AL106" s="22"/>
      <c r="AM106" s="22"/>
      <c r="AN106" s="22">
        <v>0</v>
      </c>
      <c r="AO106" s="22"/>
      <c r="AP106" s="22">
        <v>0</v>
      </c>
      <c r="AQ106" s="22"/>
      <c r="AR106" s="22">
        <v>0</v>
      </c>
      <c r="AS106" s="22"/>
      <c r="AT106" s="22">
        <v>0</v>
      </c>
      <c r="AU106" s="22"/>
      <c r="AV106" s="22">
        <v>0</v>
      </c>
      <c r="AW106" s="22"/>
      <c r="AX106" s="22">
        <v>0</v>
      </c>
      <c r="AY106" s="22"/>
      <c r="AZ106" s="22">
        <v>0</v>
      </c>
      <c r="BA106" s="22"/>
      <c r="BB106" s="22">
        <v>0</v>
      </c>
      <c r="BC106" s="22"/>
      <c r="BD106" s="22">
        <v>0</v>
      </c>
      <c r="BE106" s="22"/>
      <c r="BF106" s="22">
        <v>0</v>
      </c>
      <c r="BG106" s="22"/>
      <c r="BH106" s="22">
        <v>0</v>
      </c>
      <c r="BI106" s="22"/>
      <c r="BJ106" s="22">
        <v>0</v>
      </c>
      <c r="BK106" s="22"/>
      <c r="BL106" s="22">
        <v>0</v>
      </c>
      <c r="BM106" s="22"/>
      <c r="BN106" s="22">
        <f t="shared" ref="BN106:BN115" si="24">SUM(T106:BM106)</f>
        <v>0</v>
      </c>
      <c r="BO106" s="22"/>
      <c r="BP106" s="22">
        <v>0</v>
      </c>
      <c r="BQ106" s="22"/>
      <c r="BR106" s="22">
        <f t="shared" ref="BR106:BR115" si="25">+R106-BN106+BP106</f>
        <v>0</v>
      </c>
      <c r="BS106" s="22"/>
      <c r="BT106" s="6">
        <f t="shared" si="21"/>
        <v>0</v>
      </c>
      <c r="BU106" s="22"/>
      <c r="BV106" s="6">
        <f t="shared" si="22"/>
        <v>0</v>
      </c>
      <c r="BW106" s="22"/>
    </row>
    <row r="107" spans="1:75" s="15" customFormat="1" hidden="1">
      <c r="A107" s="62"/>
      <c r="B107" s="110" t="s">
        <v>176</v>
      </c>
      <c r="C107"/>
      <c r="D107"/>
      <c r="E107"/>
      <c r="F107"/>
      <c r="G107"/>
      <c r="H107"/>
      <c r="I107"/>
      <c r="J107" s="49"/>
      <c r="K107"/>
      <c r="L107" s="134" t="s">
        <v>202</v>
      </c>
      <c r="M107" s="22"/>
      <c r="N107" s="22">
        <v>0</v>
      </c>
      <c r="O107" s="22"/>
      <c r="P107" s="22">
        <v>0</v>
      </c>
      <c r="Q107" s="22"/>
      <c r="R107" s="6">
        <f t="shared" si="23"/>
        <v>0</v>
      </c>
      <c r="S107" s="22"/>
      <c r="T107" s="22">
        <v>0</v>
      </c>
      <c r="U107" s="22"/>
      <c r="V107" s="22">
        <v>0</v>
      </c>
      <c r="W107" s="22"/>
      <c r="X107" s="22">
        <v>0</v>
      </c>
      <c r="Y107" s="22"/>
      <c r="Z107" s="22">
        <v>0</v>
      </c>
      <c r="AA107" s="22"/>
      <c r="AB107" s="22">
        <v>0</v>
      </c>
      <c r="AC107" s="22"/>
      <c r="AD107" s="22">
        <v>0</v>
      </c>
      <c r="AE107" s="22"/>
      <c r="AF107" s="22">
        <v>0</v>
      </c>
      <c r="AG107" s="22"/>
      <c r="AH107" s="22">
        <v>0</v>
      </c>
      <c r="AI107" s="22"/>
      <c r="AJ107" s="22">
        <v>0</v>
      </c>
      <c r="AK107" s="22"/>
      <c r="AL107" s="22"/>
      <c r="AM107" s="22"/>
      <c r="AN107" s="22">
        <v>0</v>
      </c>
      <c r="AO107" s="22"/>
      <c r="AP107" s="22">
        <v>0</v>
      </c>
      <c r="AQ107" s="22"/>
      <c r="AR107" s="22">
        <v>0</v>
      </c>
      <c r="AS107" s="22"/>
      <c r="AT107" s="22">
        <v>0</v>
      </c>
      <c r="AU107" s="22"/>
      <c r="AV107" s="22">
        <v>0</v>
      </c>
      <c r="AW107" s="22"/>
      <c r="AX107" s="22">
        <v>0</v>
      </c>
      <c r="AY107" s="22"/>
      <c r="AZ107" s="22">
        <v>0</v>
      </c>
      <c r="BA107" s="22"/>
      <c r="BB107" s="22">
        <v>0</v>
      </c>
      <c r="BC107" s="22"/>
      <c r="BD107" s="22">
        <v>0</v>
      </c>
      <c r="BE107" s="22"/>
      <c r="BF107" s="22">
        <v>0</v>
      </c>
      <c r="BG107" s="22"/>
      <c r="BH107" s="22">
        <v>0</v>
      </c>
      <c r="BI107" s="22"/>
      <c r="BJ107" s="22">
        <v>0</v>
      </c>
      <c r="BK107" s="22"/>
      <c r="BL107" s="22">
        <v>0</v>
      </c>
      <c r="BM107" s="22"/>
      <c r="BN107" s="22">
        <f t="shared" si="24"/>
        <v>0</v>
      </c>
      <c r="BO107" s="22"/>
      <c r="BP107" s="22">
        <v>0</v>
      </c>
      <c r="BQ107" s="22"/>
      <c r="BR107" s="22">
        <f t="shared" si="25"/>
        <v>0</v>
      </c>
      <c r="BS107" s="22"/>
      <c r="BT107" s="6">
        <f t="shared" si="21"/>
        <v>0</v>
      </c>
      <c r="BU107" s="22"/>
      <c r="BV107" s="6">
        <f t="shared" si="22"/>
        <v>0</v>
      </c>
      <c r="BW107" s="22"/>
    </row>
    <row r="108" spans="1:75" s="15" customFormat="1" hidden="1">
      <c r="A108" s="62"/>
      <c r="B108" s="110" t="s">
        <v>177</v>
      </c>
      <c r="C108"/>
      <c r="D108"/>
      <c r="E108"/>
      <c r="F108"/>
      <c r="G108"/>
      <c r="H108"/>
      <c r="I108"/>
      <c r="J108" s="49"/>
      <c r="K108"/>
      <c r="L108" s="134" t="s">
        <v>202</v>
      </c>
      <c r="M108" s="22"/>
      <c r="N108" s="22">
        <v>0</v>
      </c>
      <c r="O108" s="22"/>
      <c r="P108" s="22">
        <v>0</v>
      </c>
      <c r="Q108" s="22"/>
      <c r="R108" s="6">
        <f t="shared" si="23"/>
        <v>0</v>
      </c>
      <c r="S108" s="22"/>
      <c r="T108" s="22">
        <v>0</v>
      </c>
      <c r="U108" s="22"/>
      <c r="V108" s="22">
        <v>0</v>
      </c>
      <c r="W108" s="22"/>
      <c r="X108" s="22">
        <v>0</v>
      </c>
      <c r="Y108" s="22"/>
      <c r="Z108" s="22">
        <v>0</v>
      </c>
      <c r="AA108" s="22"/>
      <c r="AB108" s="22">
        <v>0</v>
      </c>
      <c r="AC108" s="22"/>
      <c r="AD108" s="22">
        <v>0</v>
      </c>
      <c r="AE108" s="22"/>
      <c r="AF108" s="22">
        <v>0</v>
      </c>
      <c r="AG108" s="22"/>
      <c r="AH108" s="22">
        <v>0</v>
      </c>
      <c r="AI108" s="22"/>
      <c r="AJ108" s="22">
        <v>0</v>
      </c>
      <c r="AK108" s="22"/>
      <c r="AL108" s="22"/>
      <c r="AM108" s="22"/>
      <c r="AN108" s="22">
        <v>0</v>
      </c>
      <c r="AO108" s="22"/>
      <c r="AP108" s="22">
        <v>0</v>
      </c>
      <c r="AQ108" s="22"/>
      <c r="AR108" s="22">
        <v>0</v>
      </c>
      <c r="AS108" s="22"/>
      <c r="AT108" s="22">
        <v>0</v>
      </c>
      <c r="AU108" s="22"/>
      <c r="AV108" s="22">
        <v>0</v>
      </c>
      <c r="AW108" s="22"/>
      <c r="AX108" s="22">
        <v>0</v>
      </c>
      <c r="AY108" s="22"/>
      <c r="AZ108" s="22">
        <v>0</v>
      </c>
      <c r="BA108" s="22"/>
      <c r="BB108" s="22">
        <v>0</v>
      </c>
      <c r="BC108" s="22"/>
      <c r="BD108" s="22">
        <v>0</v>
      </c>
      <c r="BE108" s="22"/>
      <c r="BF108" s="22">
        <v>0</v>
      </c>
      <c r="BG108" s="22"/>
      <c r="BH108" s="22">
        <v>0</v>
      </c>
      <c r="BI108" s="22"/>
      <c r="BJ108" s="22">
        <v>0</v>
      </c>
      <c r="BK108" s="22"/>
      <c r="BL108" s="22">
        <v>0</v>
      </c>
      <c r="BM108" s="22"/>
      <c r="BN108" s="22">
        <f t="shared" si="24"/>
        <v>0</v>
      </c>
      <c r="BO108" s="22"/>
      <c r="BP108" s="22">
        <v>0</v>
      </c>
      <c r="BQ108" s="22"/>
      <c r="BR108" s="22">
        <f t="shared" si="25"/>
        <v>0</v>
      </c>
      <c r="BS108" s="22"/>
      <c r="BT108" s="6">
        <f t="shared" si="21"/>
        <v>0</v>
      </c>
      <c r="BU108" s="22"/>
      <c r="BV108" s="6">
        <f t="shared" si="22"/>
        <v>0</v>
      </c>
      <c r="BW108" s="22"/>
    </row>
    <row r="109" spans="1:75" s="15" customFormat="1" hidden="1">
      <c r="A109" s="62"/>
      <c r="B109" s="17" t="s">
        <v>19</v>
      </c>
      <c r="C109"/>
      <c r="D109"/>
      <c r="E109"/>
      <c r="F109"/>
      <c r="G109"/>
      <c r="H109"/>
      <c r="I109"/>
      <c r="J109" s="49"/>
      <c r="K109"/>
      <c r="L109" s="134" t="s">
        <v>202</v>
      </c>
      <c r="M109" s="22"/>
      <c r="N109" s="22">
        <v>0</v>
      </c>
      <c r="O109" s="22"/>
      <c r="P109" s="22">
        <v>0</v>
      </c>
      <c r="Q109" s="22"/>
      <c r="R109" s="6">
        <f t="shared" si="23"/>
        <v>0</v>
      </c>
      <c r="S109" s="22"/>
      <c r="T109" s="22">
        <v>0</v>
      </c>
      <c r="U109" s="22"/>
      <c r="V109" s="22">
        <v>0</v>
      </c>
      <c r="W109" s="22"/>
      <c r="X109" s="22">
        <v>0</v>
      </c>
      <c r="Y109" s="22"/>
      <c r="Z109" s="22">
        <v>0</v>
      </c>
      <c r="AA109" s="22"/>
      <c r="AB109" s="22">
        <v>0</v>
      </c>
      <c r="AC109" s="22"/>
      <c r="AD109" s="22">
        <v>0</v>
      </c>
      <c r="AE109" s="22"/>
      <c r="AF109" s="22">
        <v>0</v>
      </c>
      <c r="AG109" s="22"/>
      <c r="AH109" s="22">
        <v>0</v>
      </c>
      <c r="AI109" s="22"/>
      <c r="AJ109" s="22">
        <v>0</v>
      </c>
      <c r="AK109" s="22"/>
      <c r="AL109" s="22"/>
      <c r="AM109" s="22"/>
      <c r="AN109" s="22">
        <v>0</v>
      </c>
      <c r="AO109" s="22"/>
      <c r="AP109" s="22">
        <v>0</v>
      </c>
      <c r="AQ109" s="22"/>
      <c r="AR109" s="22">
        <v>0</v>
      </c>
      <c r="AS109" s="22"/>
      <c r="AT109" s="22">
        <v>0</v>
      </c>
      <c r="AU109" s="22"/>
      <c r="AV109" s="22">
        <v>0</v>
      </c>
      <c r="AW109" s="22"/>
      <c r="AX109" s="22">
        <v>0</v>
      </c>
      <c r="AY109" s="22"/>
      <c r="AZ109" s="22">
        <v>0</v>
      </c>
      <c r="BA109" s="22"/>
      <c r="BB109" s="22">
        <v>0</v>
      </c>
      <c r="BC109" s="22"/>
      <c r="BD109" s="22">
        <v>0</v>
      </c>
      <c r="BE109" s="22"/>
      <c r="BF109" s="22">
        <v>0</v>
      </c>
      <c r="BG109" s="22"/>
      <c r="BH109" s="22">
        <v>0</v>
      </c>
      <c r="BI109" s="22"/>
      <c r="BJ109" s="22">
        <v>0</v>
      </c>
      <c r="BK109" s="22"/>
      <c r="BL109" s="22">
        <v>0</v>
      </c>
      <c r="BM109" s="22"/>
      <c r="BN109" s="22">
        <f t="shared" si="24"/>
        <v>0</v>
      </c>
      <c r="BO109" s="22"/>
      <c r="BP109" s="22">
        <v>0</v>
      </c>
      <c r="BQ109" s="22"/>
      <c r="BR109" s="22">
        <f t="shared" si="25"/>
        <v>0</v>
      </c>
      <c r="BS109" s="22"/>
      <c r="BT109" s="6">
        <f t="shared" si="21"/>
        <v>0</v>
      </c>
      <c r="BU109" s="22"/>
      <c r="BV109" s="6">
        <f t="shared" si="22"/>
        <v>0</v>
      </c>
      <c r="BW109" s="22"/>
    </row>
    <row r="110" spans="1:75" s="15" customFormat="1" hidden="1">
      <c r="A110" s="62"/>
      <c r="B110" s="17" t="s">
        <v>66</v>
      </c>
      <c r="C110"/>
      <c r="D110"/>
      <c r="E110"/>
      <c r="F110"/>
      <c r="G110"/>
      <c r="H110"/>
      <c r="I110"/>
      <c r="J110" s="49"/>
      <c r="K110"/>
      <c r="L110" s="134" t="s">
        <v>202</v>
      </c>
      <c r="M110" s="22"/>
      <c r="N110" s="22">
        <v>0</v>
      </c>
      <c r="O110" s="22"/>
      <c r="P110" s="22">
        <v>0</v>
      </c>
      <c r="Q110" s="22"/>
      <c r="R110" s="6">
        <f t="shared" si="23"/>
        <v>0</v>
      </c>
      <c r="S110" s="22"/>
      <c r="T110" s="22">
        <v>0</v>
      </c>
      <c r="U110" s="22"/>
      <c r="V110" s="22">
        <v>0</v>
      </c>
      <c r="W110" s="22"/>
      <c r="X110" s="22">
        <v>0</v>
      </c>
      <c r="Y110" s="22"/>
      <c r="Z110" s="22">
        <v>0</v>
      </c>
      <c r="AA110" s="22"/>
      <c r="AB110" s="22">
        <v>0</v>
      </c>
      <c r="AC110" s="22"/>
      <c r="AD110" s="22">
        <v>0</v>
      </c>
      <c r="AE110" s="22"/>
      <c r="AF110" s="22">
        <v>0</v>
      </c>
      <c r="AG110" s="22"/>
      <c r="AH110" s="22">
        <v>0</v>
      </c>
      <c r="AI110" s="22"/>
      <c r="AJ110" s="22">
        <v>0</v>
      </c>
      <c r="AK110" s="22"/>
      <c r="AL110" s="22"/>
      <c r="AM110" s="22"/>
      <c r="AN110" s="22">
        <v>0</v>
      </c>
      <c r="AO110" s="22"/>
      <c r="AP110" s="22">
        <v>0</v>
      </c>
      <c r="AQ110" s="22"/>
      <c r="AR110" s="22">
        <v>0</v>
      </c>
      <c r="AS110" s="22"/>
      <c r="AT110" s="22">
        <v>0</v>
      </c>
      <c r="AU110" s="22"/>
      <c r="AV110" s="22">
        <v>0</v>
      </c>
      <c r="AW110" s="22"/>
      <c r="AX110" s="22">
        <v>0</v>
      </c>
      <c r="AY110" s="22"/>
      <c r="AZ110" s="22">
        <v>0</v>
      </c>
      <c r="BA110" s="22"/>
      <c r="BB110" s="22">
        <v>0</v>
      </c>
      <c r="BC110" s="22"/>
      <c r="BD110" s="22">
        <v>0</v>
      </c>
      <c r="BE110" s="22"/>
      <c r="BF110" s="22">
        <v>0</v>
      </c>
      <c r="BG110" s="22"/>
      <c r="BH110" s="22">
        <v>0</v>
      </c>
      <c r="BI110" s="22"/>
      <c r="BJ110" s="22">
        <v>0</v>
      </c>
      <c r="BK110" s="22"/>
      <c r="BL110" s="22">
        <v>0</v>
      </c>
      <c r="BM110" s="22"/>
      <c r="BN110" s="22">
        <f t="shared" si="24"/>
        <v>0</v>
      </c>
      <c r="BO110" s="22"/>
      <c r="BP110" s="22">
        <v>0</v>
      </c>
      <c r="BQ110" s="22"/>
      <c r="BR110" s="22">
        <f t="shared" si="25"/>
        <v>0</v>
      </c>
      <c r="BS110" s="22"/>
      <c r="BT110" s="6">
        <f t="shared" si="21"/>
        <v>0</v>
      </c>
      <c r="BU110" s="22"/>
      <c r="BV110" s="6">
        <f t="shared" si="22"/>
        <v>0</v>
      </c>
      <c r="BW110" s="22"/>
    </row>
    <row r="111" spans="1:75" s="15" customFormat="1" hidden="1">
      <c r="A111" s="62"/>
      <c r="B111" s="17" t="s">
        <v>65</v>
      </c>
      <c r="C111"/>
      <c r="D111"/>
      <c r="E111"/>
      <c r="F111"/>
      <c r="G111"/>
      <c r="H111"/>
      <c r="I111"/>
      <c r="J111" s="49"/>
      <c r="K111"/>
      <c r="L111" s="134" t="s">
        <v>202</v>
      </c>
      <c r="M111" s="22"/>
      <c r="N111" s="22">
        <v>0</v>
      </c>
      <c r="O111" s="22"/>
      <c r="P111" s="22">
        <v>0</v>
      </c>
      <c r="Q111" s="22"/>
      <c r="R111" s="6">
        <f t="shared" si="23"/>
        <v>0</v>
      </c>
      <c r="S111" s="22"/>
      <c r="T111" s="22">
        <v>0</v>
      </c>
      <c r="U111" s="22"/>
      <c r="V111" s="22">
        <v>0</v>
      </c>
      <c r="W111" s="22"/>
      <c r="X111" s="22">
        <v>0</v>
      </c>
      <c r="Y111" s="22"/>
      <c r="Z111" s="22">
        <v>0</v>
      </c>
      <c r="AA111" s="22"/>
      <c r="AB111" s="22">
        <v>0</v>
      </c>
      <c r="AC111" s="22"/>
      <c r="AD111" s="22">
        <v>0</v>
      </c>
      <c r="AE111" s="22"/>
      <c r="AF111" s="22">
        <v>0</v>
      </c>
      <c r="AG111" s="22"/>
      <c r="AH111" s="22">
        <v>0</v>
      </c>
      <c r="AI111" s="22"/>
      <c r="AJ111" s="22">
        <v>0</v>
      </c>
      <c r="AK111" s="22"/>
      <c r="AL111" s="22"/>
      <c r="AM111" s="22"/>
      <c r="AN111" s="22">
        <v>0</v>
      </c>
      <c r="AO111" s="22"/>
      <c r="AP111" s="22">
        <v>0</v>
      </c>
      <c r="AQ111" s="22"/>
      <c r="AR111" s="22">
        <v>0</v>
      </c>
      <c r="AS111" s="22"/>
      <c r="AT111" s="22">
        <v>0</v>
      </c>
      <c r="AU111" s="22"/>
      <c r="AV111" s="22">
        <v>0</v>
      </c>
      <c r="AW111" s="22"/>
      <c r="AX111" s="22">
        <v>0</v>
      </c>
      <c r="AY111" s="22"/>
      <c r="AZ111" s="22">
        <v>0</v>
      </c>
      <c r="BA111" s="22"/>
      <c r="BB111" s="22">
        <v>0</v>
      </c>
      <c r="BC111" s="22"/>
      <c r="BD111" s="22">
        <v>0</v>
      </c>
      <c r="BE111" s="22"/>
      <c r="BF111" s="22">
        <v>0</v>
      </c>
      <c r="BG111" s="22"/>
      <c r="BH111" s="22">
        <v>0</v>
      </c>
      <c r="BI111" s="22"/>
      <c r="BJ111" s="22">
        <v>0</v>
      </c>
      <c r="BK111" s="22"/>
      <c r="BL111" s="22">
        <v>0</v>
      </c>
      <c r="BM111" s="22"/>
      <c r="BN111" s="22">
        <f t="shared" si="24"/>
        <v>0</v>
      </c>
      <c r="BO111" s="22"/>
      <c r="BP111" s="22">
        <v>0</v>
      </c>
      <c r="BQ111" s="22"/>
      <c r="BR111" s="22">
        <f t="shared" si="25"/>
        <v>0</v>
      </c>
      <c r="BS111" s="22"/>
      <c r="BT111" s="6">
        <f t="shared" si="21"/>
        <v>0</v>
      </c>
      <c r="BU111" s="22"/>
      <c r="BV111" s="6">
        <f t="shared" si="22"/>
        <v>0</v>
      </c>
      <c r="BW111" s="22"/>
    </row>
    <row r="112" spans="1:75" s="15" customFormat="1" hidden="1">
      <c r="A112" s="62"/>
      <c r="B112" s="17" t="s">
        <v>161</v>
      </c>
      <c r="C112"/>
      <c r="D112"/>
      <c r="E112"/>
      <c r="F112"/>
      <c r="G112"/>
      <c r="H112"/>
      <c r="I112"/>
      <c r="J112" s="49"/>
      <c r="K112"/>
      <c r="L112" s="134" t="s">
        <v>202</v>
      </c>
      <c r="M112" s="22"/>
      <c r="N112" s="22">
        <v>0</v>
      </c>
      <c r="O112" s="22"/>
      <c r="P112" s="22">
        <v>0</v>
      </c>
      <c r="Q112" s="22"/>
      <c r="R112" s="6">
        <f t="shared" si="23"/>
        <v>0</v>
      </c>
      <c r="S112" s="22"/>
      <c r="T112" s="22">
        <v>0</v>
      </c>
      <c r="U112" s="22"/>
      <c r="V112" s="22">
        <v>0</v>
      </c>
      <c r="W112" s="22"/>
      <c r="X112" s="22">
        <v>0</v>
      </c>
      <c r="Y112" s="22"/>
      <c r="Z112" s="22">
        <v>0</v>
      </c>
      <c r="AA112" s="22"/>
      <c r="AB112" s="22">
        <v>0</v>
      </c>
      <c r="AC112" s="22"/>
      <c r="AD112" s="22">
        <v>0</v>
      </c>
      <c r="AE112" s="22"/>
      <c r="AF112" s="22">
        <v>0</v>
      </c>
      <c r="AG112" s="22"/>
      <c r="AH112" s="22">
        <v>0</v>
      </c>
      <c r="AI112" s="22"/>
      <c r="AJ112" s="22">
        <v>0</v>
      </c>
      <c r="AK112" s="22"/>
      <c r="AL112" s="22"/>
      <c r="AM112" s="22"/>
      <c r="AN112" s="22">
        <v>0</v>
      </c>
      <c r="AO112" s="22"/>
      <c r="AP112" s="22">
        <v>0</v>
      </c>
      <c r="AQ112" s="22"/>
      <c r="AR112" s="22">
        <v>0</v>
      </c>
      <c r="AS112" s="22"/>
      <c r="AT112" s="22">
        <v>0</v>
      </c>
      <c r="AU112" s="22"/>
      <c r="AV112" s="22">
        <v>0</v>
      </c>
      <c r="AW112" s="22"/>
      <c r="AX112" s="22">
        <v>0</v>
      </c>
      <c r="AY112" s="22"/>
      <c r="AZ112" s="22">
        <v>0</v>
      </c>
      <c r="BA112" s="22"/>
      <c r="BB112" s="22">
        <v>0</v>
      </c>
      <c r="BC112" s="22"/>
      <c r="BD112" s="22">
        <v>0</v>
      </c>
      <c r="BE112" s="22"/>
      <c r="BF112" s="22">
        <v>0</v>
      </c>
      <c r="BG112" s="22"/>
      <c r="BH112" s="22">
        <v>0</v>
      </c>
      <c r="BI112" s="22"/>
      <c r="BJ112" s="22">
        <v>0</v>
      </c>
      <c r="BK112" s="22"/>
      <c r="BL112" s="22">
        <v>0</v>
      </c>
      <c r="BM112" s="22"/>
      <c r="BN112" s="22">
        <f t="shared" si="24"/>
        <v>0</v>
      </c>
      <c r="BO112" s="22"/>
      <c r="BP112" s="22">
        <v>0</v>
      </c>
      <c r="BQ112" s="22"/>
      <c r="BR112" s="22">
        <f t="shared" si="25"/>
        <v>0</v>
      </c>
      <c r="BS112" s="22"/>
      <c r="BT112" s="6">
        <f t="shared" si="21"/>
        <v>0</v>
      </c>
      <c r="BU112" s="22"/>
      <c r="BV112" s="6">
        <f t="shared" si="22"/>
        <v>0</v>
      </c>
      <c r="BW112" s="22"/>
    </row>
    <row r="113" spans="1:75" s="15" customFormat="1" hidden="1">
      <c r="A113" s="62"/>
      <c r="B113" s="17" t="s">
        <v>162</v>
      </c>
      <c r="C113"/>
      <c r="D113"/>
      <c r="E113"/>
      <c r="F113"/>
      <c r="G113"/>
      <c r="H113"/>
      <c r="I113"/>
      <c r="J113" s="49"/>
      <c r="K113"/>
      <c r="L113" s="134" t="s">
        <v>202</v>
      </c>
      <c r="M113" s="22"/>
      <c r="N113" s="22">
        <v>0</v>
      </c>
      <c r="O113" s="22"/>
      <c r="P113" s="22">
        <v>0</v>
      </c>
      <c r="Q113" s="22"/>
      <c r="R113" s="6">
        <f t="shared" si="23"/>
        <v>0</v>
      </c>
      <c r="S113" s="22"/>
      <c r="T113" s="22">
        <v>0</v>
      </c>
      <c r="U113" s="22"/>
      <c r="V113" s="22">
        <v>0</v>
      </c>
      <c r="W113" s="22"/>
      <c r="X113" s="22">
        <v>0</v>
      </c>
      <c r="Y113" s="22"/>
      <c r="Z113" s="22">
        <v>0</v>
      </c>
      <c r="AA113" s="22"/>
      <c r="AB113" s="22">
        <v>0</v>
      </c>
      <c r="AC113" s="22"/>
      <c r="AD113" s="22">
        <v>0</v>
      </c>
      <c r="AE113" s="22"/>
      <c r="AF113" s="22">
        <v>0</v>
      </c>
      <c r="AG113" s="22"/>
      <c r="AH113" s="22">
        <v>0</v>
      </c>
      <c r="AI113" s="22"/>
      <c r="AJ113" s="22">
        <v>0</v>
      </c>
      <c r="AK113" s="22"/>
      <c r="AL113" s="22"/>
      <c r="AM113" s="22"/>
      <c r="AN113" s="22">
        <v>0</v>
      </c>
      <c r="AO113" s="22"/>
      <c r="AP113" s="22">
        <v>0</v>
      </c>
      <c r="AQ113" s="22"/>
      <c r="AR113" s="22">
        <v>0</v>
      </c>
      <c r="AS113" s="22"/>
      <c r="AT113" s="22">
        <v>0</v>
      </c>
      <c r="AU113" s="22"/>
      <c r="AV113" s="22">
        <v>0</v>
      </c>
      <c r="AW113" s="22"/>
      <c r="AX113" s="22">
        <v>0</v>
      </c>
      <c r="AY113" s="22"/>
      <c r="AZ113" s="22">
        <v>0</v>
      </c>
      <c r="BA113" s="22"/>
      <c r="BB113" s="22">
        <v>0</v>
      </c>
      <c r="BC113" s="22"/>
      <c r="BD113" s="22">
        <v>0</v>
      </c>
      <c r="BE113" s="22"/>
      <c r="BF113" s="22">
        <v>0</v>
      </c>
      <c r="BG113" s="22"/>
      <c r="BH113" s="22">
        <v>0</v>
      </c>
      <c r="BI113" s="22"/>
      <c r="BJ113" s="22">
        <v>0</v>
      </c>
      <c r="BK113" s="22"/>
      <c r="BL113" s="22">
        <v>0</v>
      </c>
      <c r="BM113" s="22"/>
      <c r="BN113" s="22">
        <f t="shared" si="24"/>
        <v>0</v>
      </c>
      <c r="BO113" s="22"/>
      <c r="BP113" s="22">
        <v>0</v>
      </c>
      <c r="BQ113" s="22"/>
      <c r="BR113" s="22">
        <f t="shared" si="25"/>
        <v>0</v>
      </c>
      <c r="BS113" s="22"/>
      <c r="BT113" s="6">
        <f t="shared" si="21"/>
        <v>0</v>
      </c>
      <c r="BU113" s="22"/>
      <c r="BV113" s="6">
        <f t="shared" si="22"/>
        <v>0</v>
      </c>
      <c r="BW113" s="22"/>
    </row>
    <row r="114" spans="1:75" s="15" customFormat="1" hidden="1">
      <c r="A114" s="57"/>
      <c r="B114" s="17" t="s">
        <v>67</v>
      </c>
      <c r="C114"/>
      <c r="D114"/>
      <c r="E114"/>
      <c r="F114"/>
      <c r="G114"/>
      <c r="H114"/>
      <c r="I114"/>
      <c r="J114" s="49"/>
      <c r="K114"/>
      <c r="L114" s="134" t="s">
        <v>202</v>
      </c>
      <c r="M114" s="22"/>
      <c r="N114" s="22">
        <v>0</v>
      </c>
      <c r="O114" s="22"/>
      <c r="P114" s="22">
        <v>0</v>
      </c>
      <c r="Q114" s="22"/>
      <c r="R114" s="6">
        <f t="shared" si="23"/>
        <v>0</v>
      </c>
      <c r="S114" s="22"/>
      <c r="T114" s="22">
        <v>0</v>
      </c>
      <c r="U114" s="22"/>
      <c r="V114" s="22">
        <v>0</v>
      </c>
      <c r="W114" s="22"/>
      <c r="X114" s="22">
        <v>0</v>
      </c>
      <c r="Y114" s="22"/>
      <c r="Z114" s="22">
        <v>0</v>
      </c>
      <c r="AA114" s="22"/>
      <c r="AB114" s="22">
        <v>0</v>
      </c>
      <c r="AC114" s="22"/>
      <c r="AD114" s="22">
        <v>0</v>
      </c>
      <c r="AE114" s="22"/>
      <c r="AF114" s="22">
        <v>0</v>
      </c>
      <c r="AG114" s="22"/>
      <c r="AH114" s="22">
        <v>0</v>
      </c>
      <c r="AI114" s="22"/>
      <c r="AJ114" s="22">
        <v>0</v>
      </c>
      <c r="AK114" s="22"/>
      <c r="AL114" s="22"/>
      <c r="AM114" s="22"/>
      <c r="AN114" s="22">
        <v>0</v>
      </c>
      <c r="AO114" s="22"/>
      <c r="AP114" s="22">
        <v>0</v>
      </c>
      <c r="AQ114" s="22"/>
      <c r="AR114" s="22">
        <v>0</v>
      </c>
      <c r="AS114" s="22"/>
      <c r="AT114" s="22">
        <v>0</v>
      </c>
      <c r="AU114" s="22"/>
      <c r="AV114" s="22">
        <v>0</v>
      </c>
      <c r="AW114" s="22"/>
      <c r="AX114" s="22">
        <v>0</v>
      </c>
      <c r="AY114" s="22"/>
      <c r="AZ114" s="22">
        <v>0</v>
      </c>
      <c r="BA114" s="22"/>
      <c r="BB114" s="22">
        <v>0</v>
      </c>
      <c r="BC114" s="22"/>
      <c r="BD114" s="22">
        <v>0</v>
      </c>
      <c r="BE114" s="22"/>
      <c r="BF114" s="22">
        <v>0</v>
      </c>
      <c r="BG114" s="22"/>
      <c r="BH114" s="22">
        <v>0</v>
      </c>
      <c r="BI114" s="22"/>
      <c r="BJ114" s="22">
        <v>0</v>
      </c>
      <c r="BK114" s="22"/>
      <c r="BL114" s="22">
        <v>0</v>
      </c>
      <c r="BM114" s="22"/>
      <c r="BN114" s="22">
        <f t="shared" si="24"/>
        <v>0</v>
      </c>
      <c r="BO114" s="22"/>
      <c r="BP114" s="22">
        <v>0</v>
      </c>
      <c r="BQ114" s="22"/>
      <c r="BR114" s="22">
        <f t="shared" si="25"/>
        <v>0</v>
      </c>
      <c r="BS114" s="22"/>
      <c r="BT114" s="6">
        <f t="shared" si="21"/>
        <v>0</v>
      </c>
      <c r="BU114" s="22"/>
      <c r="BV114" s="6">
        <f t="shared" si="22"/>
        <v>0</v>
      </c>
      <c r="BW114" s="22"/>
    </row>
    <row r="115" spans="1:75" s="11" customFormat="1" hidden="1">
      <c r="A115" s="100"/>
      <c r="B115" s="17" t="s">
        <v>121</v>
      </c>
      <c r="C115" s="30"/>
      <c r="D115" s="30"/>
      <c r="E115" s="30"/>
      <c r="F115" s="30"/>
      <c r="G115" s="30"/>
      <c r="H115" s="30"/>
      <c r="I115" s="30"/>
      <c r="J115" s="156"/>
      <c r="K115" s="30"/>
      <c r="L115" s="134" t="s">
        <v>202</v>
      </c>
      <c r="M115" s="12"/>
      <c r="N115" s="12">
        <v>0</v>
      </c>
      <c r="O115" s="12"/>
      <c r="P115" s="12">
        <v>0</v>
      </c>
      <c r="Q115" s="12"/>
      <c r="R115" s="6">
        <f t="shared" si="23"/>
        <v>0</v>
      </c>
      <c r="S115" s="12"/>
      <c r="T115" s="12">
        <v>0</v>
      </c>
      <c r="U115" s="12"/>
      <c r="V115" s="12">
        <v>0</v>
      </c>
      <c r="W115" s="12"/>
      <c r="X115" s="12">
        <v>0</v>
      </c>
      <c r="Y115" s="12"/>
      <c r="Z115" s="12">
        <v>0</v>
      </c>
      <c r="AA115" s="12"/>
      <c r="AB115" s="12">
        <v>0</v>
      </c>
      <c r="AC115" s="12"/>
      <c r="AD115" s="12">
        <v>0</v>
      </c>
      <c r="AE115" s="12"/>
      <c r="AF115" s="12">
        <v>0</v>
      </c>
      <c r="AG115" s="12"/>
      <c r="AH115" s="12">
        <v>0</v>
      </c>
      <c r="AI115" s="12"/>
      <c r="AJ115" s="12">
        <v>0</v>
      </c>
      <c r="AK115" s="12"/>
      <c r="AL115" s="12"/>
      <c r="AM115" s="12"/>
      <c r="AN115" s="12">
        <v>0</v>
      </c>
      <c r="AO115" s="12"/>
      <c r="AP115" s="12">
        <v>0</v>
      </c>
      <c r="AQ115" s="12"/>
      <c r="AR115" s="12">
        <v>0</v>
      </c>
      <c r="AS115" s="12"/>
      <c r="AT115" s="12">
        <v>0</v>
      </c>
      <c r="AU115" s="12"/>
      <c r="AV115" s="12">
        <v>0</v>
      </c>
      <c r="AW115" s="12"/>
      <c r="AX115" s="12">
        <v>0</v>
      </c>
      <c r="AY115" s="12"/>
      <c r="AZ115" s="12">
        <v>0</v>
      </c>
      <c r="BA115" s="12"/>
      <c r="BB115" s="12">
        <v>0</v>
      </c>
      <c r="BC115" s="12"/>
      <c r="BD115" s="12">
        <v>0</v>
      </c>
      <c r="BE115" s="12"/>
      <c r="BF115" s="12">
        <v>0</v>
      </c>
      <c r="BG115" s="12"/>
      <c r="BH115" s="12">
        <v>0</v>
      </c>
      <c r="BI115" s="12"/>
      <c r="BJ115" s="12">
        <v>0</v>
      </c>
      <c r="BK115" s="12"/>
      <c r="BL115" s="12">
        <v>0</v>
      </c>
      <c r="BM115" s="12"/>
      <c r="BN115" s="12">
        <f t="shared" si="24"/>
        <v>0</v>
      </c>
      <c r="BO115" s="12"/>
      <c r="BP115" s="12">
        <v>0</v>
      </c>
      <c r="BQ115" s="12"/>
      <c r="BR115" s="12">
        <f t="shared" si="25"/>
        <v>0</v>
      </c>
      <c r="BS115" s="12"/>
      <c r="BT115" s="6">
        <f t="shared" si="21"/>
        <v>0</v>
      </c>
      <c r="BU115" s="12"/>
      <c r="BV115" s="6">
        <f t="shared" si="22"/>
        <v>0</v>
      </c>
      <c r="BW115" s="12"/>
    </row>
    <row r="116" spans="1:75" hidden="1">
      <c r="A116" s="57"/>
      <c r="B116" s="17"/>
      <c r="C116"/>
      <c r="D116"/>
      <c r="E116"/>
      <c r="F116"/>
      <c r="G116"/>
      <c r="H116"/>
      <c r="I116"/>
      <c r="J116" s="49"/>
      <c r="K116"/>
      <c r="L116" s="134"/>
      <c r="M116" s="6"/>
      <c r="N116" s="12"/>
      <c r="O116" s="6"/>
      <c r="P116" s="12"/>
      <c r="Q116" s="6"/>
      <c r="R116" s="12"/>
      <c r="S116" s="6"/>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6"/>
      <c r="BN116" s="12"/>
      <c r="BO116" s="6"/>
      <c r="BP116" s="12"/>
      <c r="BQ116" s="6"/>
      <c r="BR116" s="12"/>
      <c r="BT116" s="12"/>
      <c r="BV116" s="12"/>
      <c r="BW116" s="12"/>
    </row>
    <row r="117" spans="1:75" s="21" customFormat="1" hidden="1">
      <c r="A117" s="107"/>
      <c r="B117" s="77" t="s">
        <v>21</v>
      </c>
      <c r="J117" s="8"/>
      <c r="L117" s="143"/>
      <c r="M117" s="9"/>
      <c r="N117" s="102">
        <f>SUM(N92:N116)</f>
        <v>0</v>
      </c>
      <c r="O117" s="9"/>
      <c r="P117" s="102">
        <f>SUM(P92:P116)</f>
        <v>0</v>
      </c>
      <c r="Q117" s="9"/>
      <c r="R117" s="102">
        <f>SUM(R92:R116)</f>
        <v>0</v>
      </c>
      <c r="S117" s="9"/>
      <c r="T117" s="102">
        <f>SUM(T92:T116)</f>
        <v>0</v>
      </c>
      <c r="U117" s="9"/>
      <c r="V117" s="102">
        <f>SUM(V92:V116)</f>
        <v>0</v>
      </c>
      <c r="W117" s="9"/>
      <c r="X117" s="102">
        <f>SUM(X92:X116)</f>
        <v>0</v>
      </c>
      <c r="Y117" s="9"/>
      <c r="Z117" s="102">
        <f>SUM(Z92:Z116)</f>
        <v>0</v>
      </c>
      <c r="AA117" s="9"/>
      <c r="AB117" s="102">
        <f>SUM(AB92:AB116)</f>
        <v>0</v>
      </c>
      <c r="AC117" s="9"/>
      <c r="AD117" s="102">
        <f>SUM(AD92:AD116)</f>
        <v>0</v>
      </c>
      <c r="AE117" s="9"/>
      <c r="AF117" s="102">
        <f>SUM(AF92:AF116)</f>
        <v>0</v>
      </c>
      <c r="AG117" s="9"/>
      <c r="AH117" s="102">
        <f>SUM(AH92:AH116)</f>
        <v>0</v>
      </c>
      <c r="AI117" s="9"/>
      <c r="AJ117" s="102">
        <f>SUM(AJ92:AJ116)</f>
        <v>0</v>
      </c>
      <c r="AK117" s="9"/>
      <c r="AL117" s="102"/>
      <c r="AM117" s="9"/>
      <c r="AN117" s="102">
        <f>SUM(AN92:AN116)</f>
        <v>0</v>
      </c>
      <c r="AO117" s="9"/>
      <c r="AP117" s="102">
        <f>SUM(AP92:AP116)</f>
        <v>0</v>
      </c>
      <c r="AQ117" s="9"/>
      <c r="AR117" s="102">
        <f>SUM(AR92:AR116)</f>
        <v>0</v>
      </c>
      <c r="AS117" s="9"/>
      <c r="AT117" s="102">
        <f>SUM(AT92:AT116)</f>
        <v>0</v>
      </c>
      <c r="AU117" s="9"/>
      <c r="AV117" s="102">
        <f>SUM(AV92:AV116)</f>
        <v>0</v>
      </c>
      <c r="AW117" s="10"/>
      <c r="AX117" s="102">
        <f>SUM(AX92:AX116)</f>
        <v>0</v>
      </c>
      <c r="AY117" s="10"/>
      <c r="AZ117" s="102">
        <f>SUM(AZ92:AZ116)</f>
        <v>0</v>
      </c>
      <c r="BA117" s="10"/>
      <c r="BB117" s="102">
        <f>SUM(BB92:BB116)</f>
        <v>0</v>
      </c>
      <c r="BC117" s="10"/>
      <c r="BD117" s="102">
        <f>SUM(BD92:BD116)</f>
        <v>0</v>
      </c>
      <c r="BE117" s="10"/>
      <c r="BF117" s="102">
        <f>SUM(BF92:BF116)</f>
        <v>0</v>
      </c>
      <c r="BG117" s="10"/>
      <c r="BH117" s="102">
        <f>SUM(BH92:BH116)</f>
        <v>0</v>
      </c>
      <c r="BI117" s="10"/>
      <c r="BJ117" s="102">
        <f>SUM(BJ92:BJ116)</f>
        <v>0</v>
      </c>
      <c r="BK117" s="10"/>
      <c r="BL117" s="102">
        <f>SUM(BL92:BL116)</f>
        <v>0</v>
      </c>
      <c r="BM117" s="9"/>
      <c r="BN117" s="102">
        <f>SUM(BN92:BN116)</f>
        <v>0</v>
      </c>
      <c r="BO117" s="9"/>
      <c r="BP117" s="102">
        <f>SUM(BP92:BP116)</f>
        <v>0</v>
      </c>
      <c r="BQ117" s="9"/>
      <c r="BR117" s="102">
        <f>SUM(BR92:BR116)</f>
        <v>0</v>
      </c>
      <c r="BS117" s="9"/>
      <c r="BT117" s="102">
        <f>SUM(BT92:BT116)</f>
        <v>0</v>
      </c>
      <c r="BU117" s="9"/>
      <c r="BV117" s="102">
        <f>SUM(BV92:BV116)</f>
        <v>0</v>
      </c>
      <c r="BW117" s="9"/>
    </row>
    <row r="118" spans="1:75" s="105" customFormat="1">
      <c r="A118" s="162" t="s">
        <v>246</v>
      </c>
      <c r="B118" s="63"/>
      <c r="J118" s="158"/>
      <c r="L118" s="144"/>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row>
    <row r="119" spans="1:75" s="15" customFormat="1" hidden="1">
      <c r="A119" s="62" t="s">
        <v>22</v>
      </c>
      <c r="B119" s="17"/>
      <c r="C119"/>
      <c r="D119"/>
      <c r="E119"/>
      <c r="F119"/>
      <c r="G119"/>
      <c r="H119"/>
      <c r="I119"/>
      <c r="J119" s="49"/>
      <c r="K119"/>
      <c r="L119" s="134"/>
      <c r="M119" s="22"/>
      <c r="N119" s="22"/>
      <c r="O119" s="22"/>
      <c r="P119" s="22"/>
      <c r="Q119" s="22"/>
      <c r="R119" s="22"/>
      <c r="S119" s="22"/>
      <c r="T119" s="22"/>
      <c r="U119" s="22"/>
      <c r="V119" s="22"/>
      <c r="W119" s="22"/>
      <c r="X119" s="22"/>
      <c r="Y119" s="22"/>
      <c r="Z119" s="22"/>
      <c r="AA119" s="22"/>
      <c r="AB119" s="22"/>
      <c r="AC119" s="22"/>
      <c r="AD119" s="22"/>
      <c r="AE119" s="22"/>
      <c r="AF119" s="22"/>
      <c r="AG119" s="22"/>
      <c r="AH119" s="22"/>
      <c r="AI119" s="22"/>
      <c r="AJ119" s="22"/>
      <c r="AK119" s="22"/>
      <c r="AL119" s="22"/>
      <c r="AM119" s="22"/>
      <c r="AN119" s="22"/>
      <c r="AO119" s="22"/>
      <c r="AP119" s="22"/>
      <c r="AQ119" s="22"/>
      <c r="AR119" s="22"/>
      <c r="AS119" s="22"/>
      <c r="AT119" s="22"/>
      <c r="AU119" s="22"/>
      <c r="AV119" s="22"/>
      <c r="AW119" s="22"/>
      <c r="AX119" s="22"/>
      <c r="AY119" s="22"/>
      <c r="AZ119" s="22"/>
      <c r="BA119" s="22"/>
      <c r="BB119" s="22"/>
      <c r="BC119" s="22"/>
      <c r="BD119" s="22"/>
      <c r="BE119" s="22"/>
      <c r="BF119" s="22"/>
      <c r="BG119" s="22"/>
      <c r="BH119" s="22"/>
      <c r="BI119" s="22"/>
      <c r="BJ119" s="22"/>
      <c r="BK119" s="22"/>
      <c r="BL119" s="22"/>
      <c r="BM119" s="22"/>
      <c r="BN119" s="22"/>
      <c r="BO119" s="22"/>
      <c r="BP119" s="22"/>
      <c r="BQ119" s="22"/>
      <c r="BR119" s="22"/>
      <c r="BS119" s="22"/>
      <c r="BT119" s="22"/>
      <c r="BU119" s="22"/>
      <c r="BV119" s="22"/>
      <c r="BW119" s="22"/>
    </row>
    <row r="120" spans="1:75" s="15" customFormat="1" hidden="1">
      <c r="A120" s="62"/>
      <c r="B120" s="17" t="s">
        <v>163</v>
      </c>
      <c r="C120"/>
      <c r="D120"/>
      <c r="E120"/>
      <c r="F120"/>
      <c r="G120"/>
      <c r="H120"/>
      <c r="I120"/>
      <c r="J120" s="49"/>
      <c r="K120"/>
      <c r="L120" s="134" t="s">
        <v>202</v>
      </c>
      <c r="M120" s="22"/>
      <c r="N120" s="22">
        <v>0</v>
      </c>
      <c r="O120" s="22"/>
      <c r="P120" s="22">
        <v>0</v>
      </c>
      <c r="Q120" s="22"/>
      <c r="R120" s="6">
        <f t="shared" ref="R120:R129" si="26">+N120+P120</f>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ref="BN120:BN129" si="27">SUM(T120:BM120)</f>
        <v>0</v>
      </c>
      <c r="BO120" s="22"/>
      <c r="BP120" s="22">
        <v>0</v>
      </c>
      <c r="BQ120" s="22"/>
      <c r="BR120" s="22">
        <f t="shared" ref="BR120:BR129" si="28">+R120-BN120+BP120</f>
        <v>0</v>
      </c>
      <c r="BS120" s="22"/>
      <c r="BT120" s="6">
        <f t="shared" ref="BT120:BT129" si="29">+BN120+BR120</f>
        <v>0</v>
      </c>
      <c r="BU120" s="22"/>
      <c r="BV120" s="6">
        <f t="shared" ref="BV120:BV129" si="30">+R120-BT120</f>
        <v>0</v>
      </c>
      <c r="BW120" s="22"/>
    </row>
    <row r="121" spans="1:75" s="15" customFormat="1" hidden="1">
      <c r="A121" s="62"/>
      <c r="B121" s="17" t="s">
        <v>164</v>
      </c>
      <c r="C121"/>
      <c r="D121"/>
      <c r="E121"/>
      <c r="F121"/>
      <c r="G121"/>
      <c r="H121"/>
      <c r="I121"/>
      <c r="J121" s="49"/>
      <c r="K121"/>
      <c r="L121" s="134" t="s">
        <v>202</v>
      </c>
      <c r="M121" s="22"/>
      <c r="N121" s="22">
        <v>0</v>
      </c>
      <c r="O121" s="22"/>
      <c r="P121" s="22">
        <v>0</v>
      </c>
      <c r="Q121" s="22"/>
      <c r="R121" s="6">
        <f t="shared" si="26"/>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27"/>
        <v>0</v>
      </c>
      <c r="BO121" s="22"/>
      <c r="BP121" s="22">
        <v>0</v>
      </c>
      <c r="BQ121" s="22"/>
      <c r="BR121" s="22">
        <f t="shared" si="28"/>
        <v>0</v>
      </c>
      <c r="BS121" s="22"/>
      <c r="BT121" s="6">
        <f t="shared" si="29"/>
        <v>0</v>
      </c>
      <c r="BU121" s="22"/>
      <c r="BV121" s="6">
        <f t="shared" si="30"/>
        <v>0</v>
      </c>
      <c r="BW121" s="22"/>
    </row>
    <row r="122" spans="1:75" s="15" customFormat="1" hidden="1">
      <c r="A122" s="62"/>
      <c r="B122" s="17" t="s">
        <v>165</v>
      </c>
      <c r="C122"/>
      <c r="D122"/>
      <c r="E122"/>
      <c r="F122"/>
      <c r="G122"/>
      <c r="H122"/>
      <c r="I122"/>
      <c r="J122" s="49"/>
      <c r="K122"/>
      <c r="L122" s="134" t="s">
        <v>202</v>
      </c>
      <c r="M122" s="22"/>
      <c r="N122" s="22">
        <v>0</v>
      </c>
      <c r="O122" s="22"/>
      <c r="P122" s="22">
        <v>0</v>
      </c>
      <c r="Q122" s="22"/>
      <c r="R122" s="6">
        <f t="shared" si="26"/>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27"/>
        <v>0</v>
      </c>
      <c r="BO122" s="22"/>
      <c r="BP122" s="22">
        <v>0</v>
      </c>
      <c r="BQ122" s="22"/>
      <c r="BR122" s="22">
        <f t="shared" si="28"/>
        <v>0</v>
      </c>
      <c r="BS122" s="22"/>
      <c r="BT122" s="6">
        <f t="shared" si="29"/>
        <v>0</v>
      </c>
      <c r="BU122" s="22"/>
      <c r="BV122" s="6">
        <f t="shared" si="30"/>
        <v>0</v>
      </c>
      <c r="BW122" s="22"/>
    </row>
    <row r="123" spans="1:75" s="15" customFormat="1" hidden="1">
      <c r="A123" s="62"/>
      <c r="B123" s="17" t="s">
        <v>166</v>
      </c>
      <c r="C123"/>
      <c r="D123"/>
      <c r="E123"/>
      <c r="F123"/>
      <c r="G123"/>
      <c r="H123"/>
      <c r="I123"/>
      <c r="J123" s="49"/>
      <c r="K123"/>
      <c r="L123" s="134" t="s">
        <v>202</v>
      </c>
      <c r="M123" s="22"/>
      <c r="N123" s="22">
        <v>0</v>
      </c>
      <c r="O123" s="22"/>
      <c r="P123" s="22">
        <v>0</v>
      </c>
      <c r="Q123" s="22"/>
      <c r="R123" s="6">
        <f t="shared" si="26"/>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27"/>
        <v>0</v>
      </c>
      <c r="BO123" s="22"/>
      <c r="BP123" s="22">
        <v>0</v>
      </c>
      <c r="BQ123" s="22"/>
      <c r="BR123" s="22">
        <f t="shared" si="28"/>
        <v>0</v>
      </c>
      <c r="BS123" s="22"/>
      <c r="BT123" s="6">
        <f t="shared" si="29"/>
        <v>0</v>
      </c>
      <c r="BU123" s="22"/>
      <c r="BV123" s="6">
        <f t="shared" si="30"/>
        <v>0</v>
      </c>
      <c r="BW123" s="22"/>
    </row>
    <row r="124" spans="1:75" s="15" customFormat="1" hidden="1">
      <c r="A124" s="62"/>
      <c r="B124" s="17" t="s">
        <v>68</v>
      </c>
      <c r="C124"/>
      <c r="D124"/>
      <c r="E124"/>
      <c r="F124"/>
      <c r="G124"/>
      <c r="H124"/>
      <c r="I124"/>
      <c r="J124" s="49"/>
      <c r="K124"/>
      <c r="L124" s="134" t="s">
        <v>202</v>
      </c>
      <c r="M124" s="22"/>
      <c r="N124" s="22">
        <v>0</v>
      </c>
      <c r="O124" s="22"/>
      <c r="P124" s="22">
        <v>0</v>
      </c>
      <c r="Q124" s="22"/>
      <c r="R124" s="6">
        <f t="shared" si="26"/>
        <v>0</v>
      </c>
      <c r="S124" s="22"/>
      <c r="T124" s="22">
        <v>0</v>
      </c>
      <c r="U124" s="22"/>
      <c r="V124" s="22">
        <v>0</v>
      </c>
      <c r="W124" s="22"/>
      <c r="X124" s="22">
        <v>0</v>
      </c>
      <c r="Y124" s="22"/>
      <c r="Z124" s="22">
        <v>0</v>
      </c>
      <c r="AA124" s="22"/>
      <c r="AB124" s="22">
        <v>0</v>
      </c>
      <c r="AC124" s="22"/>
      <c r="AD124" s="22">
        <v>0</v>
      </c>
      <c r="AE124" s="22"/>
      <c r="AF124" s="22">
        <v>0</v>
      </c>
      <c r="AG124" s="22"/>
      <c r="AH124" s="22">
        <v>0</v>
      </c>
      <c r="AI124" s="22"/>
      <c r="AJ124" s="22">
        <v>0</v>
      </c>
      <c r="AK124" s="22"/>
      <c r="AL124" s="22"/>
      <c r="AM124" s="22"/>
      <c r="AN124" s="22">
        <v>0</v>
      </c>
      <c r="AO124" s="22"/>
      <c r="AP124" s="22">
        <v>0</v>
      </c>
      <c r="AQ124" s="22"/>
      <c r="AR124" s="22">
        <v>0</v>
      </c>
      <c r="AS124" s="22"/>
      <c r="AT124" s="22">
        <v>0</v>
      </c>
      <c r="AU124" s="22"/>
      <c r="AV124" s="22">
        <v>0</v>
      </c>
      <c r="AW124" s="22"/>
      <c r="AX124" s="22">
        <v>0</v>
      </c>
      <c r="AY124" s="22"/>
      <c r="AZ124" s="22">
        <v>0</v>
      </c>
      <c r="BA124" s="22"/>
      <c r="BB124" s="22">
        <v>0</v>
      </c>
      <c r="BC124" s="22"/>
      <c r="BD124" s="22">
        <v>0</v>
      </c>
      <c r="BE124" s="22"/>
      <c r="BF124" s="22">
        <v>0</v>
      </c>
      <c r="BG124" s="22"/>
      <c r="BH124" s="22">
        <v>0</v>
      </c>
      <c r="BI124" s="22"/>
      <c r="BJ124" s="22">
        <v>0</v>
      </c>
      <c r="BK124" s="22"/>
      <c r="BL124" s="22">
        <v>0</v>
      </c>
      <c r="BM124" s="22"/>
      <c r="BN124" s="22">
        <f t="shared" si="27"/>
        <v>0</v>
      </c>
      <c r="BO124" s="22"/>
      <c r="BP124" s="22">
        <v>0</v>
      </c>
      <c r="BQ124" s="22"/>
      <c r="BR124" s="22">
        <f t="shared" si="28"/>
        <v>0</v>
      </c>
      <c r="BS124" s="22"/>
      <c r="BT124" s="6">
        <f t="shared" si="29"/>
        <v>0</v>
      </c>
      <c r="BU124" s="22"/>
      <c r="BV124" s="6">
        <f t="shared" si="30"/>
        <v>0</v>
      </c>
      <c r="BW124" s="22"/>
    </row>
    <row r="125" spans="1:75" s="15" customFormat="1" hidden="1">
      <c r="A125" s="62"/>
      <c r="B125" s="17" t="s">
        <v>69</v>
      </c>
      <c r="C125"/>
      <c r="D125"/>
      <c r="E125"/>
      <c r="F125"/>
      <c r="G125"/>
      <c r="H125"/>
      <c r="I125"/>
      <c r="J125" s="49"/>
      <c r="K125"/>
      <c r="L125" s="134" t="s">
        <v>202</v>
      </c>
      <c r="M125" s="22"/>
      <c r="N125" s="22">
        <v>0</v>
      </c>
      <c r="O125" s="22"/>
      <c r="P125" s="22">
        <v>0</v>
      </c>
      <c r="Q125" s="22"/>
      <c r="R125" s="6">
        <f t="shared" si="26"/>
        <v>0</v>
      </c>
      <c r="S125" s="22"/>
      <c r="T125" s="22">
        <v>0</v>
      </c>
      <c r="U125" s="22"/>
      <c r="V125" s="22">
        <v>0</v>
      </c>
      <c r="W125" s="22"/>
      <c r="X125" s="22">
        <v>0</v>
      </c>
      <c r="Y125" s="22"/>
      <c r="Z125" s="22">
        <v>0</v>
      </c>
      <c r="AA125" s="22"/>
      <c r="AB125" s="22">
        <v>0</v>
      </c>
      <c r="AC125" s="22"/>
      <c r="AD125" s="22">
        <v>0</v>
      </c>
      <c r="AE125" s="22"/>
      <c r="AF125" s="22">
        <v>0</v>
      </c>
      <c r="AG125" s="22"/>
      <c r="AH125" s="22">
        <v>0</v>
      </c>
      <c r="AI125" s="22"/>
      <c r="AJ125" s="22">
        <v>0</v>
      </c>
      <c r="AK125" s="22"/>
      <c r="AL125" s="22"/>
      <c r="AM125" s="22"/>
      <c r="AN125" s="22">
        <v>0</v>
      </c>
      <c r="AO125" s="22"/>
      <c r="AP125" s="22">
        <v>0</v>
      </c>
      <c r="AQ125" s="22"/>
      <c r="AR125" s="22">
        <v>0</v>
      </c>
      <c r="AS125" s="22"/>
      <c r="AT125" s="22">
        <v>0</v>
      </c>
      <c r="AU125" s="22"/>
      <c r="AV125" s="22">
        <v>0</v>
      </c>
      <c r="AW125" s="22"/>
      <c r="AX125" s="22">
        <v>0</v>
      </c>
      <c r="AY125" s="22"/>
      <c r="AZ125" s="22">
        <v>0</v>
      </c>
      <c r="BA125" s="22"/>
      <c r="BB125" s="22">
        <v>0</v>
      </c>
      <c r="BC125" s="22"/>
      <c r="BD125" s="22">
        <v>0</v>
      </c>
      <c r="BE125" s="22"/>
      <c r="BF125" s="22">
        <v>0</v>
      </c>
      <c r="BG125" s="22"/>
      <c r="BH125" s="22">
        <v>0</v>
      </c>
      <c r="BI125" s="22"/>
      <c r="BJ125" s="22">
        <v>0</v>
      </c>
      <c r="BK125" s="22"/>
      <c r="BL125" s="22">
        <v>0</v>
      </c>
      <c r="BM125" s="22"/>
      <c r="BN125" s="22">
        <f t="shared" si="27"/>
        <v>0</v>
      </c>
      <c r="BO125" s="22"/>
      <c r="BP125" s="22">
        <v>0</v>
      </c>
      <c r="BQ125" s="22"/>
      <c r="BR125" s="22">
        <f t="shared" si="28"/>
        <v>0</v>
      </c>
      <c r="BS125" s="22"/>
      <c r="BT125" s="6">
        <f t="shared" si="29"/>
        <v>0</v>
      </c>
      <c r="BU125" s="22"/>
      <c r="BV125" s="6">
        <f t="shared" si="30"/>
        <v>0</v>
      </c>
      <c r="BW125" s="22"/>
    </row>
    <row r="126" spans="1:75" s="15" customFormat="1" hidden="1">
      <c r="A126" s="62"/>
      <c r="B126" s="17" t="s">
        <v>167</v>
      </c>
      <c r="C126"/>
      <c r="D126"/>
      <c r="E126"/>
      <c r="F126"/>
      <c r="G126"/>
      <c r="H126"/>
      <c r="I126"/>
      <c r="J126" s="49"/>
      <c r="K126"/>
      <c r="L126" s="134" t="s">
        <v>202</v>
      </c>
      <c r="M126" s="22"/>
      <c r="N126" s="22">
        <v>0</v>
      </c>
      <c r="O126" s="22"/>
      <c r="P126" s="22">
        <v>0</v>
      </c>
      <c r="Q126" s="22"/>
      <c r="R126" s="6">
        <f t="shared" si="26"/>
        <v>0</v>
      </c>
      <c r="S126" s="22"/>
      <c r="T126" s="22">
        <v>0</v>
      </c>
      <c r="U126" s="22"/>
      <c r="V126" s="22">
        <v>0</v>
      </c>
      <c r="W126" s="22"/>
      <c r="X126" s="22">
        <v>0</v>
      </c>
      <c r="Y126" s="22"/>
      <c r="Z126" s="22">
        <v>0</v>
      </c>
      <c r="AA126" s="22"/>
      <c r="AB126" s="22">
        <v>0</v>
      </c>
      <c r="AC126" s="22"/>
      <c r="AD126" s="22">
        <v>0</v>
      </c>
      <c r="AE126" s="22"/>
      <c r="AF126" s="22">
        <v>0</v>
      </c>
      <c r="AG126" s="22"/>
      <c r="AH126" s="22">
        <v>0</v>
      </c>
      <c r="AI126" s="22"/>
      <c r="AJ126" s="22">
        <v>0</v>
      </c>
      <c r="AK126" s="22"/>
      <c r="AL126" s="22"/>
      <c r="AM126" s="22"/>
      <c r="AN126" s="22">
        <v>0</v>
      </c>
      <c r="AO126" s="22"/>
      <c r="AP126" s="22">
        <v>0</v>
      </c>
      <c r="AQ126" s="22"/>
      <c r="AR126" s="22">
        <v>0</v>
      </c>
      <c r="AS126" s="22"/>
      <c r="AT126" s="22">
        <v>0</v>
      </c>
      <c r="AU126" s="22"/>
      <c r="AV126" s="22">
        <v>0</v>
      </c>
      <c r="AW126" s="22"/>
      <c r="AX126" s="22">
        <v>0</v>
      </c>
      <c r="AY126" s="22"/>
      <c r="AZ126" s="22">
        <v>0</v>
      </c>
      <c r="BA126" s="22"/>
      <c r="BB126" s="22">
        <v>0</v>
      </c>
      <c r="BC126" s="22"/>
      <c r="BD126" s="22">
        <v>0</v>
      </c>
      <c r="BE126" s="22"/>
      <c r="BF126" s="22">
        <v>0</v>
      </c>
      <c r="BG126" s="22"/>
      <c r="BH126" s="22">
        <v>0</v>
      </c>
      <c r="BI126" s="22"/>
      <c r="BJ126" s="22">
        <v>0</v>
      </c>
      <c r="BK126" s="22"/>
      <c r="BL126" s="22">
        <v>0</v>
      </c>
      <c r="BM126" s="22"/>
      <c r="BN126" s="22">
        <f t="shared" si="27"/>
        <v>0</v>
      </c>
      <c r="BO126" s="22"/>
      <c r="BP126" s="22">
        <v>0</v>
      </c>
      <c r="BQ126" s="22"/>
      <c r="BR126" s="22">
        <f t="shared" si="28"/>
        <v>0</v>
      </c>
      <c r="BS126" s="22"/>
      <c r="BT126" s="6">
        <f t="shared" si="29"/>
        <v>0</v>
      </c>
      <c r="BU126" s="22"/>
      <c r="BV126" s="6">
        <f t="shared" si="30"/>
        <v>0</v>
      </c>
      <c r="BW126" s="22"/>
    </row>
    <row r="127" spans="1:75" s="15" customFormat="1" hidden="1">
      <c r="A127" s="62"/>
      <c r="B127" s="17" t="s">
        <v>168</v>
      </c>
      <c r="C127"/>
      <c r="D127"/>
      <c r="E127"/>
      <c r="F127"/>
      <c r="G127"/>
      <c r="H127"/>
      <c r="I127"/>
      <c r="J127" s="49"/>
      <c r="K127"/>
      <c r="L127" s="134" t="s">
        <v>202</v>
      </c>
      <c r="M127" s="22"/>
      <c r="N127" s="22">
        <v>0</v>
      </c>
      <c r="O127" s="22"/>
      <c r="P127" s="22">
        <v>0</v>
      </c>
      <c r="Q127" s="22"/>
      <c r="R127" s="6">
        <f t="shared" si="26"/>
        <v>0</v>
      </c>
      <c r="S127" s="22"/>
      <c r="T127" s="22">
        <v>0</v>
      </c>
      <c r="U127" s="22"/>
      <c r="V127" s="22">
        <v>0</v>
      </c>
      <c r="W127" s="22"/>
      <c r="X127" s="22">
        <v>0</v>
      </c>
      <c r="Y127" s="22"/>
      <c r="Z127" s="22">
        <v>0</v>
      </c>
      <c r="AA127" s="22"/>
      <c r="AB127" s="22">
        <v>0</v>
      </c>
      <c r="AC127" s="22"/>
      <c r="AD127" s="22">
        <v>0</v>
      </c>
      <c r="AE127" s="22"/>
      <c r="AF127" s="22">
        <v>0</v>
      </c>
      <c r="AG127" s="22"/>
      <c r="AH127" s="22">
        <v>0</v>
      </c>
      <c r="AI127" s="22"/>
      <c r="AJ127" s="22">
        <v>0</v>
      </c>
      <c r="AK127" s="22"/>
      <c r="AL127" s="22"/>
      <c r="AM127" s="22"/>
      <c r="AN127" s="22">
        <v>0</v>
      </c>
      <c r="AO127" s="22"/>
      <c r="AP127" s="22">
        <v>0</v>
      </c>
      <c r="AQ127" s="22"/>
      <c r="AR127" s="22">
        <v>0</v>
      </c>
      <c r="AS127" s="22"/>
      <c r="AT127" s="22">
        <v>0</v>
      </c>
      <c r="AU127" s="22"/>
      <c r="AV127" s="22">
        <v>0</v>
      </c>
      <c r="AW127" s="22"/>
      <c r="AX127" s="22">
        <v>0</v>
      </c>
      <c r="AY127" s="22"/>
      <c r="AZ127" s="22">
        <v>0</v>
      </c>
      <c r="BA127" s="22"/>
      <c r="BB127" s="22">
        <v>0</v>
      </c>
      <c r="BC127" s="22"/>
      <c r="BD127" s="22">
        <v>0</v>
      </c>
      <c r="BE127" s="22"/>
      <c r="BF127" s="22">
        <v>0</v>
      </c>
      <c r="BG127" s="22"/>
      <c r="BH127" s="22">
        <v>0</v>
      </c>
      <c r="BI127" s="22"/>
      <c r="BJ127" s="22">
        <v>0</v>
      </c>
      <c r="BK127" s="22"/>
      <c r="BL127" s="22">
        <v>0</v>
      </c>
      <c r="BM127" s="22"/>
      <c r="BN127" s="22">
        <f t="shared" si="27"/>
        <v>0</v>
      </c>
      <c r="BO127" s="22"/>
      <c r="BP127" s="22">
        <v>0</v>
      </c>
      <c r="BQ127" s="22"/>
      <c r="BR127" s="22">
        <f t="shared" si="28"/>
        <v>0</v>
      </c>
      <c r="BS127" s="22"/>
      <c r="BT127" s="6">
        <f t="shared" si="29"/>
        <v>0</v>
      </c>
      <c r="BU127" s="22"/>
      <c r="BV127" s="6">
        <f t="shared" si="30"/>
        <v>0</v>
      </c>
      <c r="BW127" s="22"/>
    </row>
    <row r="128" spans="1:75" s="109" customFormat="1" hidden="1">
      <c r="A128" s="77"/>
      <c r="B128" s="17" t="s">
        <v>23</v>
      </c>
      <c r="C128" s="30"/>
      <c r="D128" s="30"/>
      <c r="E128" s="30"/>
      <c r="F128" s="30"/>
      <c r="G128" s="30"/>
      <c r="H128" s="30"/>
      <c r="I128" s="30"/>
      <c r="J128" s="156"/>
      <c r="K128" s="30"/>
      <c r="L128" s="134" t="s">
        <v>202</v>
      </c>
      <c r="M128" s="80"/>
      <c r="N128" s="80">
        <v>0</v>
      </c>
      <c r="O128" s="80"/>
      <c r="P128" s="80">
        <v>0</v>
      </c>
      <c r="Q128" s="80"/>
      <c r="R128" s="6">
        <f t="shared" si="26"/>
        <v>0</v>
      </c>
      <c r="S128" s="80"/>
      <c r="T128" s="80">
        <v>0</v>
      </c>
      <c r="U128" s="80"/>
      <c r="V128" s="80">
        <v>0</v>
      </c>
      <c r="W128" s="80"/>
      <c r="X128" s="80">
        <v>0</v>
      </c>
      <c r="Y128" s="80"/>
      <c r="Z128" s="80">
        <v>0</v>
      </c>
      <c r="AA128" s="80"/>
      <c r="AB128" s="80">
        <v>0</v>
      </c>
      <c r="AC128" s="80"/>
      <c r="AD128" s="80">
        <v>0</v>
      </c>
      <c r="AE128" s="80"/>
      <c r="AF128" s="80">
        <v>0</v>
      </c>
      <c r="AG128" s="80"/>
      <c r="AH128" s="80">
        <v>0</v>
      </c>
      <c r="AI128" s="80"/>
      <c r="AJ128" s="80">
        <v>0</v>
      </c>
      <c r="AK128" s="80"/>
      <c r="AL128" s="80"/>
      <c r="AM128" s="80"/>
      <c r="AN128" s="80">
        <v>0</v>
      </c>
      <c r="AO128" s="80"/>
      <c r="AP128" s="80">
        <v>0</v>
      </c>
      <c r="AQ128" s="80"/>
      <c r="AR128" s="80">
        <v>0</v>
      </c>
      <c r="AS128" s="80"/>
      <c r="AT128" s="80">
        <v>0</v>
      </c>
      <c r="AU128" s="80"/>
      <c r="AV128" s="80">
        <v>0</v>
      </c>
      <c r="AW128" s="80"/>
      <c r="AX128" s="80">
        <v>0</v>
      </c>
      <c r="AY128" s="80"/>
      <c r="AZ128" s="80">
        <v>0</v>
      </c>
      <c r="BA128" s="80"/>
      <c r="BB128" s="80">
        <v>0</v>
      </c>
      <c r="BC128" s="80"/>
      <c r="BD128" s="80">
        <v>0</v>
      </c>
      <c r="BE128" s="80"/>
      <c r="BF128" s="80">
        <v>0</v>
      </c>
      <c r="BG128" s="80"/>
      <c r="BH128" s="80">
        <v>0</v>
      </c>
      <c r="BI128" s="80"/>
      <c r="BJ128" s="80">
        <v>0</v>
      </c>
      <c r="BK128" s="80"/>
      <c r="BL128" s="80">
        <v>0</v>
      </c>
      <c r="BM128" s="80"/>
      <c r="BN128" s="80">
        <f t="shared" si="27"/>
        <v>0</v>
      </c>
      <c r="BO128" s="80"/>
      <c r="BP128" s="80">
        <v>0</v>
      </c>
      <c r="BQ128" s="80"/>
      <c r="BR128" s="80">
        <f t="shared" si="28"/>
        <v>0</v>
      </c>
      <c r="BS128" s="80"/>
      <c r="BT128" s="6">
        <f t="shared" si="29"/>
        <v>0</v>
      </c>
      <c r="BU128" s="80"/>
      <c r="BV128" s="6">
        <f t="shared" si="30"/>
        <v>0</v>
      </c>
      <c r="BW128" s="80"/>
    </row>
    <row r="129" spans="1:75" s="109" customFormat="1" hidden="1">
      <c r="A129" s="77"/>
      <c r="B129" s="17" t="s">
        <v>121</v>
      </c>
      <c r="C129" s="30"/>
      <c r="D129" s="30"/>
      <c r="E129" s="30"/>
      <c r="F129" s="30"/>
      <c r="G129" s="30"/>
      <c r="H129" s="30"/>
      <c r="I129" s="30"/>
      <c r="J129" s="156"/>
      <c r="K129" s="30"/>
      <c r="L129" s="134" t="s">
        <v>202</v>
      </c>
      <c r="M129" s="80"/>
      <c r="N129" s="80">
        <v>0</v>
      </c>
      <c r="O129" s="80"/>
      <c r="P129" s="80">
        <v>0</v>
      </c>
      <c r="Q129" s="80"/>
      <c r="R129" s="6">
        <f t="shared" si="26"/>
        <v>0</v>
      </c>
      <c r="S129" s="80"/>
      <c r="T129" s="80">
        <v>0</v>
      </c>
      <c r="U129" s="80"/>
      <c r="V129" s="80">
        <v>0</v>
      </c>
      <c r="W129" s="80"/>
      <c r="X129" s="80">
        <v>0</v>
      </c>
      <c r="Y129" s="80"/>
      <c r="Z129" s="80">
        <v>0</v>
      </c>
      <c r="AA129" s="80"/>
      <c r="AB129" s="80">
        <v>0</v>
      </c>
      <c r="AC129" s="80"/>
      <c r="AD129" s="80">
        <v>0</v>
      </c>
      <c r="AE129" s="80"/>
      <c r="AF129" s="80">
        <v>0</v>
      </c>
      <c r="AG129" s="80"/>
      <c r="AH129" s="80">
        <v>0</v>
      </c>
      <c r="AI129" s="80"/>
      <c r="AJ129" s="80">
        <v>0</v>
      </c>
      <c r="AK129" s="80"/>
      <c r="AL129" s="80"/>
      <c r="AM129" s="80"/>
      <c r="AN129" s="80">
        <v>0</v>
      </c>
      <c r="AO129" s="80"/>
      <c r="AP129" s="80">
        <v>0</v>
      </c>
      <c r="AQ129" s="80"/>
      <c r="AR129" s="80">
        <v>0</v>
      </c>
      <c r="AS129" s="80"/>
      <c r="AT129" s="80">
        <v>0</v>
      </c>
      <c r="AU129" s="80"/>
      <c r="AV129" s="80">
        <v>0</v>
      </c>
      <c r="AW129" s="80"/>
      <c r="AX129" s="80">
        <v>0</v>
      </c>
      <c r="AY129" s="80"/>
      <c r="AZ129" s="80">
        <v>0</v>
      </c>
      <c r="BA129" s="80"/>
      <c r="BB129" s="80">
        <v>0</v>
      </c>
      <c r="BC129" s="80"/>
      <c r="BD129" s="80">
        <v>0</v>
      </c>
      <c r="BE129" s="80"/>
      <c r="BF129" s="80">
        <v>0</v>
      </c>
      <c r="BG129" s="80"/>
      <c r="BH129" s="80">
        <v>0</v>
      </c>
      <c r="BI129" s="80"/>
      <c r="BJ129" s="80">
        <v>0</v>
      </c>
      <c r="BK129" s="80"/>
      <c r="BL129" s="80">
        <v>0</v>
      </c>
      <c r="BM129" s="80"/>
      <c r="BN129" s="80">
        <f t="shared" si="27"/>
        <v>0</v>
      </c>
      <c r="BO129" s="80"/>
      <c r="BP129" s="80">
        <v>0</v>
      </c>
      <c r="BQ129" s="80"/>
      <c r="BR129" s="80">
        <f t="shared" si="28"/>
        <v>0</v>
      </c>
      <c r="BS129" s="80"/>
      <c r="BT129" s="6">
        <f t="shared" si="29"/>
        <v>0</v>
      </c>
      <c r="BU129" s="80"/>
      <c r="BV129" s="6">
        <f t="shared" si="30"/>
        <v>0</v>
      </c>
      <c r="BW129" s="80"/>
    </row>
    <row r="130" spans="1:75" s="109" customFormat="1" hidden="1">
      <c r="A130" s="77"/>
      <c r="B130" s="17"/>
      <c r="C130" s="30"/>
      <c r="D130" s="30"/>
      <c r="E130" s="30"/>
      <c r="F130" s="30"/>
      <c r="G130" s="30"/>
      <c r="H130" s="30"/>
      <c r="I130" s="30"/>
      <c r="J130" s="156"/>
      <c r="K130" s="30"/>
      <c r="L130" s="141"/>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row>
    <row r="131" spans="1:75" s="104" customFormat="1" hidden="1">
      <c r="A131" s="111"/>
      <c r="B131" s="77" t="s">
        <v>24</v>
      </c>
      <c r="C131" s="21"/>
      <c r="D131" s="21"/>
      <c r="E131" s="21"/>
      <c r="F131" s="21"/>
      <c r="G131" s="21"/>
      <c r="H131" s="21"/>
      <c r="I131" s="21"/>
      <c r="J131" s="8"/>
      <c r="K131" s="21"/>
      <c r="L131" s="143"/>
      <c r="M131" s="16"/>
      <c r="N131" s="108">
        <f>SUM(N120:N130)</f>
        <v>0</v>
      </c>
      <c r="O131" s="16"/>
      <c r="P131" s="108">
        <f>SUM(P120:P130)</f>
        <v>0</v>
      </c>
      <c r="Q131" s="16"/>
      <c r="R131" s="108">
        <f>SUM(R120:R130)</f>
        <v>0</v>
      </c>
      <c r="S131" s="16"/>
      <c r="T131" s="108">
        <f>SUM(T120:T130)</f>
        <v>0</v>
      </c>
      <c r="U131" s="16"/>
      <c r="V131" s="108">
        <f>SUM(V120:V130)</f>
        <v>0</v>
      </c>
      <c r="W131" s="16"/>
      <c r="X131" s="108">
        <f>SUM(X120:X130)</f>
        <v>0</v>
      </c>
      <c r="Y131" s="16"/>
      <c r="Z131" s="108">
        <f>SUM(Z120:Z130)</f>
        <v>0</v>
      </c>
      <c r="AA131" s="16"/>
      <c r="AB131" s="108">
        <f>SUM(AB120:AB130)</f>
        <v>0</v>
      </c>
      <c r="AC131" s="16"/>
      <c r="AD131" s="108">
        <f>SUM(AD120:AD130)</f>
        <v>0</v>
      </c>
      <c r="AE131" s="16"/>
      <c r="AF131" s="108">
        <f>SUM(AF120:AF130)</f>
        <v>0</v>
      </c>
      <c r="AG131" s="16"/>
      <c r="AH131" s="108">
        <f>SUM(AH120:AH130)</f>
        <v>0</v>
      </c>
      <c r="AI131" s="16"/>
      <c r="AJ131" s="108">
        <f>SUM(AJ120:AJ130)</f>
        <v>0</v>
      </c>
      <c r="AK131" s="16"/>
      <c r="AL131" s="108"/>
      <c r="AM131" s="16"/>
      <c r="AN131" s="108">
        <f>SUM(AN120:AN130)</f>
        <v>0</v>
      </c>
      <c r="AO131" s="16"/>
      <c r="AP131" s="108">
        <f>SUM(AP120:AP130)</f>
        <v>0</v>
      </c>
      <c r="AQ131" s="16"/>
      <c r="AR131" s="108">
        <f>SUM(AR120:AR130)</f>
        <v>0</v>
      </c>
      <c r="AS131" s="16"/>
      <c r="AT131" s="108">
        <f>SUM(AT120:AT130)</f>
        <v>0</v>
      </c>
      <c r="AU131" s="16"/>
      <c r="AV131" s="108">
        <f>SUM(AV120:AV130)</f>
        <v>0</v>
      </c>
      <c r="AW131" s="103"/>
      <c r="AX131" s="108">
        <f>SUM(AX120:AX130)</f>
        <v>0</v>
      </c>
      <c r="AY131" s="103"/>
      <c r="AZ131" s="108">
        <f>SUM(AZ120:AZ130)</f>
        <v>0</v>
      </c>
      <c r="BA131" s="103"/>
      <c r="BB131" s="108">
        <f>SUM(BB120:BB130)</f>
        <v>0</v>
      </c>
      <c r="BC131" s="103"/>
      <c r="BD131" s="108">
        <f>SUM(BD120:BD130)</f>
        <v>0</v>
      </c>
      <c r="BE131" s="103"/>
      <c r="BF131" s="108">
        <f>SUM(BF120:BF130)</f>
        <v>0</v>
      </c>
      <c r="BG131" s="103"/>
      <c r="BH131" s="108">
        <f>SUM(BH120:BH130)</f>
        <v>0</v>
      </c>
      <c r="BI131" s="103"/>
      <c r="BJ131" s="108">
        <f>SUM(BJ120:BJ130)</f>
        <v>0</v>
      </c>
      <c r="BK131" s="103"/>
      <c r="BL131" s="108">
        <f>SUM(BL120:BL130)</f>
        <v>0</v>
      </c>
      <c r="BM131" s="16"/>
      <c r="BN131" s="108">
        <f>SUM(BN120:BN130)</f>
        <v>0</v>
      </c>
      <c r="BO131" s="16"/>
      <c r="BP131" s="108">
        <f>SUM(BP120:BP130)</f>
        <v>0</v>
      </c>
      <c r="BQ131" s="16"/>
      <c r="BR131" s="108">
        <f>SUM(BR120:BR130)</f>
        <v>0</v>
      </c>
      <c r="BS131" s="16"/>
      <c r="BT131" s="108">
        <f>SUM(BT120:BT130)</f>
        <v>0</v>
      </c>
      <c r="BU131" s="16"/>
      <c r="BV131" s="108">
        <f>SUM(BV120:BV130)</f>
        <v>0</v>
      </c>
      <c r="BW131" s="103"/>
    </row>
    <row r="132" spans="1:75" s="15" customFormat="1" hidden="1">
      <c r="A132" s="14"/>
      <c r="B132" s="60"/>
      <c r="C132"/>
      <c r="D132"/>
      <c r="E132"/>
      <c r="F132"/>
      <c r="G132"/>
      <c r="H132"/>
      <c r="I132"/>
      <c r="J132" s="49"/>
      <c r="K132"/>
      <c r="L132" s="134"/>
      <c r="M132" s="22"/>
      <c r="N132" s="22"/>
      <c r="O132" s="22"/>
      <c r="P132" s="22"/>
      <c r="Q132" s="22"/>
      <c r="R132" s="22"/>
      <c r="S132" s="22"/>
      <c r="T132" s="22"/>
      <c r="U132" s="22"/>
      <c r="V132" s="22"/>
      <c r="W132" s="22"/>
      <c r="X132" s="22"/>
      <c r="Y132" s="22"/>
      <c r="Z132" s="22"/>
      <c r="AA132" s="22"/>
      <c r="AB132" s="22"/>
      <c r="AC132" s="22"/>
      <c r="AD132" s="22"/>
      <c r="AE132" s="22"/>
      <c r="AF132" s="22"/>
      <c r="AG132" s="22"/>
      <c r="AH132" s="22"/>
      <c r="AI132" s="22"/>
      <c r="AJ132" s="22"/>
      <c r="AK132" s="22"/>
      <c r="AL132" s="22"/>
      <c r="AM132" s="22"/>
      <c r="AN132" s="22"/>
      <c r="AO132" s="22"/>
      <c r="AP132" s="22"/>
      <c r="AQ132" s="22"/>
      <c r="AR132" s="22"/>
      <c r="AS132" s="22"/>
      <c r="AT132" s="22"/>
      <c r="AU132" s="22"/>
      <c r="AV132" s="22"/>
      <c r="AW132" s="22"/>
      <c r="AX132" s="22"/>
      <c r="AY132" s="22"/>
      <c r="AZ132" s="22"/>
      <c r="BA132" s="22"/>
      <c r="BB132" s="22"/>
      <c r="BC132" s="22"/>
      <c r="BD132" s="22"/>
      <c r="BE132" s="22"/>
      <c r="BF132" s="22"/>
      <c r="BG132" s="22"/>
      <c r="BH132" s="22"/>
      <c r="BI132" s="22"/>
      <c r="BJ132" s="22"/>
      <c r="BK132" s="22"/>
      <c r="BL132" s="22"/>
      <c r="BM132" s="22"/>
      <c r="BN132" s="22"/>
      <c r="BO132" s="22"/>
      <c r="BP132" s="22"/>
      <c r="BQ132" s="22"/>
      <c r="BR132" s="22"/>
      <c r="BS132" s="22"/>
      <c r="BT132" s="22"/>
      <c r="BU132" s="22"/>
      <c r="BV132" s="22"/>
      <c r="BW132" s="22"/>
    </row>
    <row r="133" spans="1:75" s="15" customFormat="1">
      <c r="A133" s="14"/>
      <c r="B133" s="60"/>
      <c r="C133"/>
      <c r="D133"/>
      <c r="E133"/>
      <c r="F133"/>
      <c r="G133"/>
      <c r="H133"/>
      <c r="I133"/>
      <c r="J133" s="49"/>
      <c r="K133"/>
      <c r="L133" s="134"/>
      <c r="M133" s="22"/>
      <c r="N133" s="22"/>
      <c r="O133" s="22"/>
      <c r="P133" s="22"/>
      <c r="Q133" s="22"/>
      <c r="R133" s="22"/>
      <c r="S133" s="22"/>
      <c r="T133" s="22"/>
      <c r="U133" s="22"/>
      <c r="V133" s="22"/>
      <c r="W133" s="22"/>
      <c r="X133" s="22"/>
      <c r="Y133" s="22"/>
      <c r="Z133" s="22"/>
      <c r="AA133" s="22"/>
      <c r="AB133" s="22"/>
      <c r="AC133" s="22"/>
      <c r="AD133" s="22"/>
      <c r="AE133" s="22"/>
      <c r="AF133" s="22"/>
      <c r="AG133" s="22"/>
      <c r="AH133" s="22"/>
      <c r="AI133" s="22"/>
      <c r="AJ133" s="22"/>
      <c r="AK133" s="22"/>
      <c r="AL133" s="22"/>
      <c r="AM133" s="22"/>
      <c r="AN133" s="22"/>
      <c r="AO133" s="22"/>
      <c r="AP133" s="22"/>
      <c r="AQ133" s="22"/>
      <c r="AR133" s="22"/>
      <c r="AS133" s="22"/>
      <c r="AT133" s="22"/>
      <c r="AU133" s="22"/>
      <c r="AV133" s="22"/>
      <c r="AW133" s="22"/>
      <c r="AX133" s="22"/>
      <c r="AY133" s="22"/>
      <c r="AZ133" s="22"/>
      <c r="BA133" s="22"/>
      <c r="BB133" s="22"/>
      <c r="BC133" s="22"/>
      <c r="BD133" s="22"/>
      <c r="BE133" s="22"/>
      <c r="BF133" s="22"/>
      <c r="BG133" s="22"/>
      <c r="BH133" s="22"/>
      <c r="BI133" s="22"/>
      <c r="BJ133" s="22"/>
      <c r="BK133" s="22"/>
      <c r="BL133" s="22"/>
      <c r="BM133" s="22"/>
      <c r="BN133" s="22"/>
      <c r="BO133" s="22"/>
      <c r="BP133" s="22"/>
      <c r="BQ133" s="22"/>
      <c r="BR133" s="22"/>
      <c r="BS133" s="22"/>
      <c r="BT133" s="22"/>
      <c r="BU133" s="22"/>
      <c r="BV133" s="22"/>
      <c r="BW133" s="22"/>
    </row>
    <row r="134" spans="1:75">
      <c r="A134" s="56" t="s">
        <v>25</v>
      </c>
      <c r="B134" s="58"/>
      <c r="C134"/>
      <c r="D134"/>
      <c r="E134"/>
      <c r="F134"/>
      <c r="G134"/>
      <c r="H134"/>
      <c r="I134"/>
      <c r="J134" s="49"/>
      <c r="K134"/>
      <c r="L134" s="134"/>
      <c r="M134" s="22"/>
      <c r="O134" s="22"/>
      <c r="Q134" s="22"/>
      <c r="S134" s="22"/>
      <c r="T134" s="6"/>
      <c r="U134" s="6"/>
      <c r="V134" s="6"/>
      <c r="X134" s="6"/>
      <c r="Z134" s="6"/>
      <c r="AB134" s="6"/>
      <c r="AD134" s="6"/>
      <c r="BL134" s="6"/>
      <c r="BM134" s="6"/>
      <c r="BO134" s="6"/>
      <c r="BP134" s="6"/>
      <c r="BQ134" s="6"/>
      <c r="BS134" s="22"/>
      <c r="BU134" s="22"/>
      <c r="BW134" s="6"/>
    </row>
    <row r="135" spans="1:75">
      <c r="A135" s="61"/>
      <c r="B135" s="17" t="s">
        <v>529</v>
      </c>
      <c r="E135" s="4"/>
      <c r="G135" s="4"/>
      <c r="I135" s="4"/>
      <c r="J135" s="5" t="s">
        <v>0</v>
      </c>
      <c r="L135" s="134" t="s">
        <v>202</v>
      </c>
      <c r="M135" s="22"/>
      <c r="N135" s="6">
        <v>0</v>
      </c>
      <c r="O135" s="22"/>
      <c r="P135" s="6">
        <v>0</v>
      </c>
      <c r="Q135" s="22"/>
      <c r="R135" s="6">
        <v>0</v>
      </c>
      <c r="S135" s="22"/>
      <c r="T135" s="6">
        <v>0</v>
      </c>
      <c r="U135" s="6"/>
      <c r="V135" s="6">
        <v>0</v>
      </c>
      <c r="X135" s="6">
        <v>0</v>
      </c>
      <c r="Z135" s="6">
        <v>0</v>
      </c>
      <c r="AB135" s="6">
        <v>0</v>
      </c>
      <c r="AD135" s="6">
        <v>0</v>
      </c>
      <c r="AF135" s="6">
        <v>0</v>
      </c>
      <c r="AH135" s="6">
        <v>0</v>
      </c>
      <c r="AJ135" s="6">
        <v>0</v>
      </c>
      <c r="AN135" s="6">
        <v>0</v>
      </c>
      <c r="AP135" s="6">
        <v>0</v>
      </c>
      <c r="AR135" s="6">
        <v>0</v>
      </c>
      <c r="AT135" s="6">
        <v>0</v>
      </c>
      <c r="AV135" s="6">
        <v>0</v>
      </c>
      <c r="AX135" s="6">
        <v>0</v>
      </c>
      <c r="AZ135" s="6">
        <v>0</v>
      </c>
      <c r="BB135" s="6">
        <v>0</v>
      </c>
      <c r="BD135" s="6">
        <v>0</v>
      </c>
      <c r="BF135" s="6">
        <v>0</v>
      </c>
      <c r="BH135" s="6">
        <v>0</v>
      </c>
      <c r="BJ135" s="6">
        <v>0</v>
      </c>
      <c r="BL135" s="6">
        <v>0</v>
      </c>
      <c r="BM135" s="6"/>
      <c r="BN135" s="6">
        <f>SUM(T135:BM135)</f>
        <v>0</v>
      </c>
      <c r="BO135" s="6"/>
      <c r="BP135" s="6">
        <v>0</v>
      </c>
      <c r="BQ135" s="6"/>
      <c r="BR135" s="6">
        <f>IF(+R135-BN135+BP135&gt;0,R135-BN135+BP135,0)</f>
        <v>0</v>
      </c>
      <c r="BS135" s="22"/>
      <c r="BT135" s="6">
        <f>+BN135+BR135</f>
        <v>0</v>
      </c>
      <c r="BU135" s="22"/>
      <c r="BV135" s="6">
        <f>+R135-BT135</f>
        <v>0</v>
      </c>
      <c r="BW135" s="6"/>
    </row>
    <row r="136" spans="1:75">
      <c r="A136" s="61"/>
      <c r="B136" s="17" t="s">
        <v>530</v>
      </c>
      <c r="E136" s="4"/>
      <c r="G136" s="4"/>
      <c r="I136" s="4"/>
      <c r="L136" s="134" t="s">
        <v>202</v>
      </c>
      <c r="M136" s="22"/>
      <c r="N136" s="6">
        <v>0</v>
      </c>
      <c r="O136" s="22"/>
      <c r="P136" s="6">
        <v>0</v>
      </c>
      <c r="Q136" s="22"/>
      <c r="R136" s="6">
        <f>+N136+P136</f>
        <v>0</v>
      </c>
      <c r="S136" s="22"/>
      <c r="T136" s="6">
        <v>0</v>
      </c>
      <c r="U136" s="6"/>
      <c r="V136" s="6">
        <v>0</v>
      </c>
      <c r="X136" s="6">
        <v>0</v>
      </c>
      <c r="Z136" s="6">
        <v>0</v>
      </c>
      <c r="AB136" s="6">
        <v>0</v>
      </c>
      <c r="AD136" s="6">
        <v>0</v>
      </c>
      <c r="AF136" s="6">
        <v>0</v>
      </c>
      <c r="AH136" s="6">
        <v>0</v>
      </c>
      <c r="AJ136" s="6">
        <v>0</v>
      </c>
      <c r="AN136" s="6">
        <v>0</v>
      </c>
      <c r="AP136" s="6">
        <v>0</v>
      </c>
      <c r="AR136" s="6">
        <v>0</v>
      </c>
      <c r="AT136" s="6">
        <v>0</v>
      </c>
      <c r="AV136" s="6">
        <v>0</v>
      </c>
      <c r="AX136" s="6">
        <v>0</v>
      </c>
      <c r="AZ136" s="6">
        <v>0</v>
      </c>
      <c r="BB136" s="6">
        <v>0</v>
      </c>
      <c r="BD136" s="6">
        <v>0</v>
      </c>
      <c r="BF136" s="6">
        <v>0</v>
      </c>
      <c r="BH136" s="6">
        <v>0</v>
      </c>
      <c r="BJ136" s="6">
        <v>0</v>
      </c>
      <c r="BL136" s="6">
        <v>0</v>
      </c>
      <c r="BM136" s="6"/>
      <c r="BN136" s="6">
        <f>SUM(T136:BM136)</f>
        <v>0</v>
      </c>
      <c r="BO136" s="6"/>
      <c r="BP136" s="6">
        <v>0</v>
      </c>
      <c r="BQ136" s="6"/>
      <c r="BR136" s="6">
        <f>+R136-BN136+BP136</f>
        <v>0</v>
      </c>
      <c r="BS136" s="22"/>
      <c r="BT136" s="6">
        <f>+BN136+BR136</f>
        <v>0</v>
      </c>
      <c r="BU136" s="22"/>
      <c r="BV136" s="6">
        <f>+R136-BT136</f>
        <v>0</v>
      </c>
      <c r="BW136" s="6"/>
    </row>
    <row r="137" spans="1:75" hidden="1">
      <c r="A137" s="61"/>
      <c r="B137" s="17" t="s">
        <v>121</v>
      </c>
      <c r="E137" s="4"/>
      <c r="G137" s="4"/>
      <c r="I137" s="4"/>
      <c r="L137" s="134" t="s">
        <v>202</v>
      </c>
      <c r="M137" s="22"/>
      <c r="N137" s="6">
        <v>0</v>
      </c>
      <c r="O137" s="22"/>
      <c r="P137" s="6">
        <v>0</v>
      </c>
      <c r="Q137" s="22"/>
      <c r="R137" s="6">
        <v>0</v>
      </c>
      <c r="S137" s="22"/>
      <c r="T137" s="6">
        <v>0</v>
      </c>
      <c r="U137" s="6"/>
      <c r="V137" s="6">
        <v>0</v>
      </c>
      <c r="X137" s="6">
        <v>0</v>
      </c>
      <c r="Z137" s="6">
        <v>0</v>
      </c>
      <c r="AB137" s="6">
        <v>0</v>
      </c>
      <c r="AD137" s="6">
        <v>0</v>
      </c>
      <c r="AF137" s="6">
        <v>0</v>
      </c>
      <c r="AH137" s="6">
        <v>0</v>
      </c>
      <c r="AJ137" s="6">
        <v>0</v>
      </c>
      <c r="AN137" s="6">
        <v>0</v>
      </c>
      <c r="AP137" s="6">
        <v>0</v>
      </c>
      <c r="AR137" s="6">
        <v>0</v>
      </c>
      <c r="AT137" s="6">
        <v>0</v>
      </c>
      <c r="AV137" s="6">
        <v>0</v>
      </c>
      <c r="AX137" s="6">
        <v>0</v>
      </c>
      <c r="AZ137" s="6">
        <v>0</v>
      </c>
      <c r="BB137" s="6">
        <v>0</v>
      </c>
      <c r="BD137" s="6">
        <v>0</v>
      </c>
      <c r="BF137" s="6">
        <v>0</v>
      </c>
      <c r="BH137" s="6">
        <v>0</v>
      </c>
      <c r="BJ137" s="6">
        <v>0</v>
      </c>
      <c r="BL137" s="6">
        <v>0</v>
      </c>
      <c r="BM137" s="6"/>
      <c r="BN137" s="6">
        <f>SUM(T137:BM137)</f>
        <v>0</v>
      </c>
      <c r="BO137" s="6"/>
      <c r="BP137" s="6">
        <v>0</v>
      </c>
      <c r="BQ137" s="6"/>
      <c r="BR137" s="6">
        <f>+R137-BN137+BP137</f>
        <v>0</v>
      </c>
      <c r="BS137" s="22"/>
      <c r="BT137" s="6">
        <f>+BN137+BR137</f>
        <v>0</v>
      </c>
      <c r="BU137" s="22"/>
      <c r="BV137" s="6">
        <f>+R137-BT137</f>
        <v>0</v>
      </c>
      <c r="BW137" s="6"/>
    </row>
    <row r="138" spans="1:75" s="21" customFormat="1">
      <c r="A138" s="56"/>
      <c r="B138" s="58" t="s">
        <v>247</v>
      </c>
      <c r="J138" s="8"/>
      <c r="L138" s="143"/>
      <c r="M138" s="16"/>
      <c r="N138" s="102">
        <f>SUM(N135:N137)</f>
        <v>0</v>
      </c>
      <c r="O138" s="16"/>
      <c r="P138" s="102">
        <f>SUM(P135:P137)</f>
        <v>0</v>
      </c>
      <c r="Q138" s="16"/>
      <c r="R138" s="102">
        <f>SUM(R135:R137)</f>
        <v>0</v>
      </c>
      <c r="S138" s="16"/>
      <c r="T138" s="102">
        <f>SUM(T135:T137)</f>
        <v>0</v>
      </c>
      <c r="U138" s="9"/>
      <c r="V138" s="102">
        <f>SUM(V135:V137)</f>
        <v>0</v>
      </c>
      <c r="W138" s="9"/>
      <c r="X138" s="102">
        <f>SUM(X135:X137)</f>
        <v>0</v>
      </c>
      <c r="Y138" s="9"/>
      <c r="Z138" s="102">
        <f>SUM(Z135:Z137)</f>
        <v>0</v>
      </c>
      <c r="AA138" s="9"/>
      <c r="AB138" s="102">
        <f>SUM(AB135:AB137)</f>
        <v>0</v>
      </c>
      <c r="AC138" s="9"/>
      <c r="AD138" s="102">
        <f>SUM(AD135:AD137)</f>
        <v>0</v>
      </c>
      <c r="AE138" s="9"/>
      <c r="AF138" s="102">
        <f>SUM(AF135:AF137)</f>
        <v>0</v>
      </c>
      <c r="AG138" s="9"/>
      <c r="AH138" s="102">
        <f>SUM(AH135:AH137)</f>
        <v>0</v>
      </c>
      <c r="AI138" s="9"/>
      <c r="AJ138" s="102">
        <f>SUM(AJ135:AJ137)</f>
        <v>0</v>
      </c>
      <c r="AK138" s="9"/>
      <c r="AL138" s="102">
        <f>SUM(AL135:AL137)</f>
        <v>0</v>
      </c>
      <c r="AM138" s="102"/>
      <c r="AN138" s="102">
        <f>SUM(AN135:AN137)</f>
        <v>0</v>
      </c>
      <c r="AO138" s="9"/>
      <c r="AP138" s="102">
        <f>SUM(AP135:AP137)</f>
        <v>0</v>
      </c>
      <c r="AQ138" s="9"/>
      <c r="AR138" s="102">
        <f>SUM(AR135:AR137)</f>
        <v>0</v>
      </c>
      <c r="AS138" s="9"/>
      <c r="AT138" s="102">
        <f>SUM(AT135:AT137)</f>
        <v>0</v>
      </c>
      <c r="AU138" s="9"/>
      <c r="AV138" s="102">
        <f>SUM(AV135:AV137)</f>
        <v>0</v>
      </c>
      <c r="AW138" s="10"/>
      <c r="AX138" s="102">
        <f>SUM(AX135:AX137)</f>
        <v>0</v>
      </c>
      <c r="AY138" s="10"/>
      <c r="AZ138" s="102">
        <f>SUM(AZ135:AZ137)</f>
        <v>0</v>
      </c>
      <c r="BA138" s="10"/>
      <c r="BB138" s="102">
        <f>SUM(BB135:BB137)</f>
        <v>0</v>
      </c>
      <c r="BC138" s="10"/>
      <c r="BD138" s="102">
        <f>SUM(BD135:BD137)</f>
        <v>0</v>
      </c>
      <c r="BE138" s="10"/>
      <c r="BF138" s="102">
        <f>SUM(BF135:BF137)</f>
        <v>0</v>
      </c>
      <c r="BG138" s="10"/>
      <c r="BH138" s="102">
        <f>SUM(BH135:BH137)</f>
        <v>0</v>
      </c>
      <c r="BI138" s="10"/>
      <c r="BJ138" s="102">
        <f>SUM(BJ135:BJ137)</f>
        <v>0</v>
      </c>
      <c r="BK138" s="10"/>
      <c r="BL138" s="102">
        <f>SUM(BL135:BL137)</f>
        <v>0</v>
      </c>
      <c r="BM138" s="9"/>
      <c r="BN138" s="102">
        <f>SUM(BN135:BN137)</f>
        <v>0</v>
      </c>
      <c r="BO138" s="9"/>
      <c r="BP138" s="102">
        <f>SUM(BP135:BP137)</f>
        <v>0</v>
      </c>
      <c r="BQ138" s="9"/>
      <c r="BR138" s="102">
        <f>SUM(BR135:BR137)</f>
        <v>0</v>
      </c>
      <c r="BS138" s="16"/>
      <c r="BT138" s="102">
        <f>SUM(BT135:BT137)</f>
        <v>0</v>
      </c>
      <c r="BU138" s="16"/>
      <c r="BV138" s="102">
        <f>SUM(BV135:BV137)</f>
        <v>0</v>
      </c>
      <c r="BW138" s="9"/>
    </row>
    <row r="139" spans="1:75" s="21" customFormat="1">
      <c r="A139" s="56"/>
      <c r="B139" s="58"/>
      <c r="J139" s="8"/>
      <c r="L139" s="143"/>
      <c r="M139" s="16"/>
      <c r="N139" s="10"/>
      <c r="O139" s="16"/>
      <c r="P139" s="10"/>
      <c r="Q139" s="16"/>
      <c r="R139" s="10"/>
      <c r="S139" s="16"/>
      <c r="T139" s="10"/>
      <c r="U139" s="9"/>
      <c r="V139" s="10"/>
      <c r="W139" s="9"/>
      <c r="X139" s="10"/>
      <c r="Y139" s="9"/>
      <c r="Z139" s="10"/>
      <c r="AA139" s="9"/>
      <c r="AB139" s="10"/>
      <c r="AC139" s="9"/>
      <c r="AD139" s="10"/>
      <c r="AE139" s="9"/>
      <c r="AF139" s="10"/>
      <c r="AG139" s="9"/>
      <c r="AH139" s="10"/>
      <c r="AI139" s="9"/>
      <c r="AJ139" s="10"/>
      <c r="AK139" s="9"/>
      <c r="AL139" s="10"/>
      <c r="AM139" s="9"/>
      <c r="AN139" s="10"/>
      <c r="AO139" s="9"/>
      <c r="AP139" s="10"/>
      <c r="AQ139" s="9"/>
      <c r="AR139" s="10"/>
      <c r="AS139" s="9"/>
      <c r="AT139" s="10"/>
      <c r="AU139" s="9"/>
      <c r="AV139" s="10"/>
      <c r="AW139" s="10"/>
      <c r="AX139" s="10"/>
      <c r="AY139" s="10"/>
      <c r="AZ139" s="10"/>
      <c r="BA139" s="10"/>
      <c r="BB139" s="10"/>
      <c r="BC139" s="10"/>
      <c r="BD139" s="10"/>
      <c r="BE139" s="10"/>
      <c r="BF139" s="10"/>
      <c r="BG139" s="10"/>
      <c r="BH139" s="10"/>
      <c r="BI139" s="10"/>
      <c r="BJ139" s="10"/>
      <c r="BK139" s="10"/>
      <c r="BL139" s="10"/>
      <c r="BM139" s="9"/>
      <c r="BN139" s="10"/>
      <c r="BO139" s="9"/>
      <c r="BP139" s="10"/>
      <c r="BQ139" s="9"/>
      <c r="BR139" s="10"/>
      <c r="BS139" s="16"/>
      <c r="BT139" s="10"/>
      <c r="BU139" s="16"/>
      <c r="BV139" s="10"/>
      <c r="BW139" s="9"/>
    </row>
    <row r="140" spans="1:75" s="21" customFormat="1">
      <c r="A140" s="62" t="s">
        <v>120</v>
      </c>
      <c r="B140" s="58"/>
      <c r="J140" s="8" t="s">
        <v>0</v>
      </c>
      <c r="L140" s="143" t="s">
        <v>202</v>
      </c>
      <c r="M140" s="9"/>
      <c r="N140" s="9">
        <v>0</v>
      </c>
      <c r="O140" s="9"/>
      <c r="P140" s="9">
        <v>0</v>
      </c>
      <c r="Q140" s="9"/>
      <c r="R140" s="9">
        <v>0</v>
      </c>
      <c r="S140" s="9"/>
      <c r="T140" s="9">
        <v>0</v>
      </c>
      <c r="U140" s="9"/>
      <c r="V140" s="9">
        <v>0</v>
      </c>
      <c r="W140" s="9"/>
      <c r="X140" s="9">
        <v>0</v>
      </c>
      <c r="Y140" s="9"/>
      <c r="Z140" s="9">
        <v>0</v>
      </c>
      <c r="AA140" s="9"/>
      <c r="AB140" s="9">
        <v>0</v>
      </c>
      <c r="AC140" s="9"/>
      <c r="AD140" s="9">
        <v>0</v>
      </c>
      <c r="AE140" s="9"/>
      <c r="AF140" s="9">
        <v>0</v>
      </c>
      <c r="AG140" s="9"/>
      <c r="AH140" s="9">
        <v>0</v>
      </c>
      <c r="AI140" s="9"/>
      <c r="AJ140" s="9">
        <v>0</v>
      </c>
      <c r="AK140" s="9"/>
      <c r="AL140" s="9"/>
      <c r="AM140" s="9"/>
      <c r="AN140" s="9">
        <v>0</v>
      </c>
      <c r="AO140" s="9"/>
      <c r="AP140" s="9">
        <v>0</v>
      </c>
      <c r="AQ140" s="9"/>
      <c r="AR140" s="9">
        <v>0</v>
      </c>
      <c r="AS140" s="9"/>
      <c r="AT140" s="9">
        <v>0</v>
      </c>
      <c r="AU140" s="9"/>
      <c r="AV140" s="9">
        <v>0</v>
      </c>
      <c r="AW140" s="9"/>
      <c r="AX140" s="9">
        <v>0</v>
      </c>
      <c r="AY140" s="9"/>
      <c r="AZ140" s="9">
        <v>0</v>
      </c>
      <c r="BA140" s="9"/>
      <c r="BB140" s="9">
        <v>0</v>
      </c>
      <c r="BC140" s="9"/>
      <c r="BD140" s="9">
        <v>0</v>
      </c>
      <c r="BE140" s="9"/>
      <c r="BF140" s="9">
        <v>0</v>
      </c>
      <c r="BG140" s="9"/>
      <c r="BH140" s="9">
        <v>0</v>
      </c>
      <c r="BI140" s="9"/>
      <c r="BJ140" s="9">
        <v>0</v>
      </c>
      <c r="BK140" s="9"/>
      <c r="BL140" s="9">
        <v>0</v>
      </c>
      <c r="BM140" s="9"/>
      <c r="BN140" s="9">
        <f>SUM(T140:BM140)</f>
        <v>0</v>
      </c>
      <c r="BO140" s="9"/>
      <c r="BP140" s="9">
        <v>0</v>
      </c>
      <c r="BQ140" s="9"/>
      <c r="BR140" s="6">
        <f>IF(+R140-BN140+BP140&gt;0,R140-BN140+BP140,0)</f>
        <v>0</v>
      </c>
      <c r="BS140" s="9"/>
      <c r="BT140" s="9">
        <f>+BN140+BR140</f>
        <v>0</v>
      </c>
      <c r="BU140" s="9"/>
      <c r="BV140" s="9">
        <f>+R140-BT140</f>
        <v>0</v>
      </c>
      <c r="BW140" s="9"/>
    </row>
    <row r="141" spans="1:75" s="21" customFormat="1">
      <c r="A141" s="62"/>
      <c r="B141" s="58"/>
      <c r="J141" s="8"/>
      <c r="L141" s="143"/>
      <c r="M141" s="9"/>
      <c r="N141" s="9"/>
      <c r="O141" s="9"/>
      <c r="P141" s="9"/>
      <c r="Q141" s="9"/>
      <c r="R141" s="9">
        <v>0</v>
      </c>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216</v>
      </c>
      <c r="B142" s="31"/>
      <c r="J142" s="8" t="s">
        <v>0</v>
      </c>
      <c r="L142" s="134" t="s">
        <v>202</v>
      </c>
      <c r="M142" s="9"/>
      <c r="N142" s="9">
        <v>400000</v>
      </c>
      <c r="O142" s="9"/>
      <c r="P142" s="9">
        <v>100000</v>
      </c>
      <c r="Q142" s="9"/>
      <c r="R142" s="9">
        <v>0</v>
      </c>
      <c r="S142" s="9"/>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0</v>
      </c>
      <c r="BS142" s="9"/>
      <c r="BT142" s="9">
        <f>+BN142+BR142</f>
        <v>0</v>
      </c>
      <c r="BU142" s="9"/>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s="31" customFormat="1">
      <c r="A144" s="58" t="s">
        <v>30</v>
      </c>
      <c r="J144" s="159" t="s">
        <v>0</v>
      </c>
      <c r="L144" s="145" t="s">
        <v>202</v>
      </c>
      <c r="M144" s="10"/>
      <c r="N144" s="10">
        <v>0</v>
      </c>
      <c r="O144" s="10"/>
      <c r="P144" s="10">
        <v>0</v>
      </c>
      <c r="Q144" s="10"/>
      <c r="R144" s="9">
        <v>0</v>
      </c>
      <c r="S144" s="10"/>
      <c r="T144" s="10">
        <v>0</v>
      </c>
      <c r="U144" s="10"/>
      <c r="V144" s="10">
        <v>0</v>
      </c>
      <c r="W144" s="10"/>
      <c r="X144" s="10">
        <v>0</v>
      </c>
      <c r="Y144" s="10"/>
      <c r="Z144" s="10">
        <v>0</v>
      </c>
      <c r="AA144" s="10"/>
      <c r="AB144" s="10">
        <v>0</v>
      </c>
      <c r="AC144" s="10"/>
      <c r="AD144" s="10">
        <v>0</v>
      </c>
      <c r="AE144" s="10"/>
      <c r="AF144" s="10">
        <v>0</v>
      </c>
      <c r="AG144" s="10"/>
      <c r="AH144" s="10">
        <v>0</v>
      </c>
      <c r="AI144" s="10"/>
      <c r="AJ144" s="10">
        <v>0</v>
      </c>
      <c r="AK144" s="10"/>
      <c r="AL144" s="10"/>
      <c r="AM144" s="10"/>
      <c r="AN144" s="10">
        <v>0</v>
      </c>
      <c r="AO144" s="10"/>
      <c r="AP144" s="10">
        <v>0</v>
      </c>
      <c r="AQ144" s="10"/>
      <c r="AR144" s="10">
        <v>0</v>
      </c>
      <c r="AS144" s="10"/>
      <c r="AT144" s="10">
        <v>0</v>
      </c>
      <c r="AU144" s="10"/>
      <c r="AV144" s="10">
        <v>0</v>
      </c>
      <c r="AW144" s="10"/>
      <c r="AX144" s="10">
        <v>0</v>
      </c>
      <c r="AY144" s="10"/>
      <c r="AZ144" s="10">
        <v>0</v>
      </c>
      <c r="BA144" s="10"/>
      <c r="BB144" s="10">
        <v>0</v>
      </c>
      <c r="BC144" s="10"/>
      <c r="BD144" s="10">
        <v>0</v>
      </c>
      <c r="BE144" s="10"/>
      <c r="BF144" s="10">
        <v>0</v>
      </c>
      <c r="BG144" s="10"/>
      <c r="BH144" s="10">
        <v>0</v>
      </c>
      <c r="BI144" s="10"/>
      <c r="BJ144" s="10">
        <v>0</v>
      </c>
      <c r="BK144" s="10"/>
      <c r="BL144" s="10">
        <v>0</v>
      </c>
      <c r="BM144" s="10"/>
      <c r="BN144" s="10">
        <f>SUM(T144:BM144)</f>
        <v>0</v>
      </c>
      <c r="BO144" s="10"/>
      <c r="BP144" s="10">
        <v>0</v>
      </c>
      <c r="BQ144" s="10"/>
      <c r="BR144" s="6">
        <f>IF(+R144-BN144+BP144&gt;0,R144-BN144+BP144,0)</f>
        <v>0</v>
      </c>
      <c r="BS144" s="10"/>
      <c r="BT144" s="9">
        <f>+BN144+BR144</f>
        <v>0</v>
      </c>
      <c r="BU144" s="10"/>
      <c r="BV144" s="9">
        <f>+R144-BT144</f>
        <v>0</v>
      </c>
      <c r="BW144" s="10"/>
    </row>
    <row r="145" spans="1:75" s="21" customFormat="1">
      <c r="A145" s="56"/>
      <c r="B145" s="31"/>
      <c r="J145" s="8"/>
      <c r="L145" s="134"/>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row>
    <row r="146" spans="1:75" s="21" customFormat="1">
      <c r="A146" s="56" t="s">
        <v>26</v>
      </c>
      <c r="B146" s="58"/>
      <c r="J146" s="8" t="s">
        <v>0</v>
      </c>
      <c r="L146" s="134" t="s">
        <v>202</v>
      </c>
      <c r="M146" s="16"/>
      <c r="N146" s="9">
        <v>0</v>
      </c>
      <c r="O146" s="16"/>
      <c r="P146" s="9">
        <v>0</v>
      </c>
      <c r="Q146" s="16"/>
      <c r="R146" s="9">
        <v>0</v>
      </c>
      <c r="S146" s="16"/>
      <c r="T146" s="9">
        <v>0</v>
      </c>
      <c r="U146" s="9"/>
      <c r="V146" s="9">
        <v>0</v>
      </c>
      <c r="W146" s="9"/>
      <c r="X146" s="9">
        <v>0</v>
      </c>
      <c r="Y146" s="9"/>
      <c r="Z146" s="9">
        <v>0</v>
      </c>
      <c r="AA146" s="9"/>
      <c r="AB146" s="9">
        <v>0</v>
      </c>
      <c r="AC146" s="9"/>
      <c r="AD146" s="9">
        <v>0</v>
      </c>
      <c r="AE146" s="9"/>
      <c r="AF146" s="9">
        <v>0</v>
      </c>
      <c r="AG146" s="9"/>
      <c r="AH146" s="9">
        <v>0</v>
      </c>
      <c r="AI146" s="9"/>
      <c r="AJ146" s="9">
        <v>0</v>
      </c>
      <c r="AK146" s="9"/>
      <c r="AL146" s="9"/>
      <c r="AM146" s="9"/>
      <c r="AN146" s="9">
        <v>0</v>
      </c>
      <c r="AO146" s="9"/>
      <c r="AP146" s="9">
        <v>0</v>
      </c>
      <c r="AQ146" s="9"/>
      <c r="AR146" s="9">
        <v>0</v>
      </c>
      <c r="AS146" s="9"/>
      <c r="AT146" s="9">
        <v>0</v>
      </c>
      <c r="AU146" s="9"/>
      <c r="AV146" s="9">
        <v>0</v>
      </c>
      <c r="AW146" s="9"/>
      <c r="AX146" s="9">
        <v>0</v>
      </c>
      <c r="AY146" s="9"/>
      <c r="AZ146" s="9">
        <v>0</v>
      </c>
      <c r="BA146" s="9"/>
      <c r="BB146" s="9">
        <v>0</v>
      </c>
      <c r="BC146" s="9"/>
      <c r="BD146" s="9">
        <v>0</v>
      </c>
      <c r="BE146" s="9"/>
      <c r="BF146" s="9">
        <v>0</v>
      </c>
      <c r="BG146" s="9"/>
      <c r="BH146" s="9">
        <v>0</v>
      </c>
      <c r="BI146" s="9"/>
      <c r="BJ146" s="9">
        <v>0</v>
      </c>
      <c r="BK146" s="9"/>
      <c r="BL146" s="9">
        <v>0</v>
      </c>
      <c r="BM146" s="9"/>
      <c r="BN146" s="9">
        <f>SUM(T146:BM146)</f>
        <v>0</v>
      </c>
      <c r="BO146" s="9"/>
      <c r="BP146" s="9">
        <v>0</v>
      </c>
      <c r="BQ146" s="9"/>
      <c r="BR146" s="6">
        <f>IF(+R146-BN146+BP146&gt;0,R146-BN146+BP146,0)</f>
        <v>0</v>
      </c>
      <c r="BS146" s="16"/>
      <c r="BT146" s="9">
        <f>+BN146+BR146</f>
        <v>0</v>
      </c>
      <c r="BU146" s="16"/>
      <c r="BV146" s="9">
        <f>+R146-BT146</f>
        <v>0</v>
      </c>
      <c r="BW146" s="9"/>
    </row>
    <row r="147" spans="1:75" s="21" customFormat="1">
      <c r="A147" s="56"/>
      <c r="B147" s="31"/>
      <c r="J147" s="8"/>
      <c r="L147" s="134"/>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row>
    <row r="148" spans="1:75">
      <c r="A148" s="56" t="s">
        <v>27</v>
      </c>
      <c r="B148" s="11"/>
      <c r="C148"/>
      <c r="D148"/>
      <c r="E148"/>
      <c r="F148"/>
      <c r="G148"/>
      <c r="H148"/>
      <c r="I148"/>
      <c r="J148" s="49"/>
      <c r="K148"/>
      <c r="L148" s="134"/>
      <c r="M148" s="6"/>
      <c r="O148" s="6"/>
      <c r="Q148" s="6"/>
      <c r="S148" s="6"/>
      <c r="T148" s="6"/>
      <c r="U148" s="6"/>
      <c r="V148" s="6"/>
      <c r="X148" s="6"/>
      <c r="Z148" s="6"/>
      <c r="AB148" s="6"/>
      <c r="AD148" s="6"/>
      <c r="BL148" s="6"/>
      <c r="BM148" s="6"/>
      <c r="BO148" s="6"/>
      <c r="BP148" s="6"/>
      <c r="BQ148" s="6"/>
      <c r="BW148" s="6"/>
    </row>
    <row r="149" spans="1:75">
      <c r="A149" s="61"/>
      <c r="B149" s="11" t="s">
        <v>207</v>
      </c>
      <c r="E149" s="4"/>
      <c r="G149" s="4"/>
      <c r="I149" s="4"/>
      <c r="J149" s="5" t="s">
        <v>0</v>
      </c>
      <c r="L149" s="134" t="s">
        <v>202</v>
      </c>
      <c r="M149" s="6"/>
      <c r="N149" s="6">
        <v>0</v>
      </c>
      <c r="O149" s="6"/>
      <c r="P149" s="6">
        <v>0</v>
      </c>
      <c r="Q149" s="6"/>
      <c r="R149" s="6">
        <v>0</v>
      </c>
      <c r="S149" s="6"/>
      <c r="T149" s="6">
        <v>0</v>
      </c>
      <c r="U149" s="6"/>
      <c r="V149" s="6">
        <v>0</v>
      </c>
      <c r="X149" s="6">
        <v>0</v>
      </c>
      <c r="Z149" s="6">
        <v>0</v>
      </c>
      <c r="AB149" s="6">
        <v>0</v>
      </c>
      <c r="AD149" s="6">
        <v>0</v>
      </c>
      <c r="AF149" s="6">
        <v>6000</v>
      </c>
      <c r="AH149" s="6">
        <v>0</v>
      </c>
      <c r="AJ149" s="6">
        <v>0</v>
      </c>
      <c r="AN149" s="6">
        <v>0</v>
      </c>
      <c r="AP149" s="6">
        <v>0</v>
      </c>
      <c r="AR149" s="6">
        <v>0</v>
      </c>
      <c r="AT149" s="6">
        <v>0</v>
      </c>
      <c r="AV149" s="6">
        <v>0</v>
      </c>
      <c r="AX149" s="6">
        <v>0</v>
      </c>
      <c r="AZ149" s="6">
        <v>0</v>
      </c>
      <c r="BB149" s="6">
        <v>0</v>
      </c>
      <c r="BD149" s="6">
        <v>0</v>
      </c>
      <c r="BF149" s="6">
        <v>0</v>
      </c>
      <c r="BH149" s="6">
        <v>0</v>
      </c>
      <c r="BJ149" s="6">
        <v>0</v>
      </c>
      <c r="BL149" s="6">
        <v>0</v>
      </c>
      <c r="BM149" s="6"/>
      <c r="BN149" s="6">
        <f>SUM(T149:BM149)</f>
        <v>6000</v>
      </c>
      <c r="BO149" s="6"/>
      <c r="BP149" s="6">
        <v>0</v>
      </c>
      <c r="BQ149" s="6"/>
      <c r="BR149" s="6">
        <f>IF(+R149-BN149+BP149&gt;0,R149-BN149+BP149,0)</f>
        <v>0</v>
      </c>
      <c r="BT149" s="6">
        <f>+BN149+BR149</f>
        <v>6000</v>
      </c>
      <c r="BV149" s="6">
        <f>+R149-BT149</f>
        <v>-6000</v>
      </c>
      <c r="BW149" s="6"/>
    </row>
    <row r="150" spans="1:75">
      <c r="A150" s="61"/>
      <c r="B150" s="11" t="s">
        <v>208</v>
      </c>
      <c r="E150" s="4"/>
      <c r="G150" s="4"/>
      <c r="I150" s="4"/>
      <c r="J150" s="5" t="s">
        <v>0</v>
      </c>
      <c r="L150" s="134" t="s">
        <v>202</v>
      </c>
      <c r="M150" s="6"/>
      <c r="O150" s="6"/>
      <c r="Q150" s="6"/>
      <c r="R150" s="6">
        <v>0</v>
      </c>
      <c r="S150" s="6"/>
      <c r="T150" s="6">
        <v>0</v>
      </c>
      <c r="U150" s="6"/>
      <c r="V150" s="6">
        <v>0</v>
      </c>
      <c r="X150" s="6">
        <v>0</v>
      </c>
      <c r="Z150" s="6">
        <v>0</v>
      </c>
      <c r="AB150" s="6">
        <v>0</v>
      </c>
      <c r="AD150" s="6">
        <v>0</v>
      </c>
      <c r="AF150" s="6">
        <v>0</v>
      </c>
      <c r="AH150" s="6">
        <v>0</v>
      </c>
      <c r="AJ150" s="6">
        <v>0</v>
      </c>
      <c r="AN150" s="6">
        <v>0</v>
      </c>
      <c r="AP150" s="6">
        <v>0</v>
      </c>
      <c r="AR150" s="6">
        <v>0</v>
      </c>
      <c r="AT150" s="6">
        <v>0</v>
      </c>
      <c r="AV150" s="6">
        <v>0</v>
      </c>
      <c r="AX150" s="6">
        <v>0</v>
      </c>
      <c r="AZ150" s="6">
        <v>0</v>
      </c>
      <c r="BB150" s="6">
        <v>0</v>
      </c>
      <c r="BD150" s="6">
        <v>0</v>
      </c>
      <c r="BF150" s="6">
        <v>0</v>
      </c>
      <c r="BH150" s="6">
        <v>0</v>
      </c>
      <c r="BJ150" s="6">
        <v>0</v>
      </c>
      <c r="BL150" s="6">
        <v>0</v>
      </c>
      <c r="BM150" s="6"/>
      <c r="BN150" s="6">
        <f>SUM(T150:BM150)</f>
        <v>0</v>
      </c>
      <c r="BO150" s="6"/>
      <c r="BP150" s="6">
        <v>0</v>
      </c>
      <c r="BQ150" s="6"/>
      <c r="BR150" s="6">
        <f>IF(+R150-BN150+BP150&gt;0,R150-BN150+BP150,0)</f>
        <v>0</v>
      </c>
      <c r="BT150" s="6">
        <f>+BN150+BR150</f>
        <v>0</v>
      </c>
      <c r="BV150" s="6">
        <f>+R150-BT150</f>
        <v>0</v>
      </c>
      <c r="BW150" s="6"/>
    </row>
    <row r="151" spans="1:75">
      <c r="A151" s="61"/>
      <c r="B151" s="11" t="s">
        <v>209</v>
      </c>
      <c r="E151" s="4"/>
      <c r="G151" s="4"/>
      <c r="I151" s="4"/>
      <c r="J151" s="5" t="s">
        <v>0</v>
      </c>
      <c r="L151" s="134" t="s">
        <v>202</v>
      </c>
      <c r="M151" s="6"/>
      <c r="O151" s="6"/>
      <c r="Q151" s="6"/>
      <c r="R151" s="6">
        <v>0</v>
      </c>
      <c r="S151" s="6"/>
      <c r="T151" s="6">
        <v>0</v>
      </c>
      <c r="U151" s="6"/>
      <c r="V151" s="6">
        <v>0</v>
      </c>
      <c r="X151" s="6">
        <v>0</v>
      </c>
      <c r="Z151" s="6">
        <v>0</v>
      </c>
      <c r="AB151" s="6">
        <v>0</v>
      </c>
      <c r="AD151" s="6">
        <v>0</v>
      </c>
      <c r="AF151" s="6">
        <v>0</v>
      </c>
      <c r="AH151" s="6">
        <v>0</v>
      </c>
      <c r="AJ151" s="6">
        <v>0</v>
      </c>
      <c r="AL151" s="6">
        <v>-369041</v>
      </c>
      <c r="AN151" s="6">
        <v>369040.52</v>
      </c>
      <c r="AP151" s="6">
        <v>294743.67999999999</v>
      </c>
      <c r="AR151" s="6">
        <v>6000</v>
      </c>
      <c r="AT151" s="6">
        <v>0</v>
      </c>
      <c r="AV151" s="6">
        <v>0</v>
      </c>
      <c r="AX151" s="6">
        <v>0</v>
      </c>
      <c r="AZ151" s="6">
        <v>0</v>
      </c>
      <c r="BB151" s="6">
        <v>0</v>
      </c>
      <c r="BD151" s="6">
        <v>0</v>
      </c>
      <c r="BF151" s="6">
        <v>0</v>
      </c>
      <c r="BH151" s="6">
        <v>0</v>
      </c>
      <c r="BJ151" s="6">
        <v>0</v>
      </c>
      <c r="BL151" s="6">
        <v>0</v>
      </c>
      <c r="BM151" s="6"/>
      <c r="BN151" s="6">
        <f>SUM(T151:BM151)</f>
        <v>300743.2</v>
      </c>
      <c r="BO151" s="6"/>
      <c r="BP151" s="6">
        <v>0</v>
      </c>
      <c r="BQ151" s="6"/>
      <c r="BR151" s="6">
        <f>IF(+R151-BN151+BP151&gt;0,R151-BN151+BP151,0)</f>
        <v>0</v>
      </c>
      <c r="BT151" s="6">
        <f>+BN151+BR151</f>
        <v>300743.2</v>
      </c>
      <c r="BV151" s="6">
        <f>+R151-BT151</f>
        <v>-300743.2</v>
      </c>
      <c r="BW151" s="6"/>
    </row>
    <row r="152" spans="1:75">
      <c r="A152" s="61"/>
      <c r="B152" s="11" t="s">
        <v>210</v>
      </c>
      <c r="E152" s="4"/>
      <c r="G152" s="4"/>
      <c r="I152" s="4"/>
      <c r="J152" s="5" t="s">
        <v>0</v>
      </c>
      <c r="L152" s="134" t="s">
        <v>202</v>
      </c>
      <c r="M152" s="6"/>
      <c r="O152" s="6"/>
      <c r="Q152" s="6"/>
      <c r="R152" s="6">
        <v>0</v>
      </c>
      <c r="S152" s="6"/>
      <c r="T152" s="6"/>
      <c r="U152" s="6"/>
      <c r="V152" s="6"/>
      <c r="X152" s="6"/>
      <c r="Z152" s="6"/>
      <c r="AB152" s="6"/>
      <c r="AD152" s="6"/>
      <c r="BL152" s="6"/>
      <c r="BM152" s="6"/>
      <c r="BO152" s="6"/>
      <c r="BP152" s="6"/>
      <c r="BQ152" s="6"/>
      <c r="BR152" s="6">
        <f>IF(+R152-BN152+BP152&gt;0,R152-BN152+BP152,0)</f>
        <v>0</v>
      </c>
      <c r="BT152" s="6">
        <f>+BN152+BR152</f>
        <v>0</v>
      </c>
      <c r="BV152" s="6">
        <f>+R152-BT152</f>
        <v>0</v>
      </c>
      <c r="BW152" s="6"/>
    </row>
    <row r="153" spans="1:75" s="21" customFormat="1">
      <c r="A153" s="56"/>
      <c r="B153" s="31" t="s">
        <v>182</v>
      </c>
      <c r="J153" s="8"/>
      <c r="L153" s="143"/>
      <c r="M153" s="9"/>
      <c r="N153" s="102">
        <f>SUM(N149:N152)</f>
        <v>0</v>
      </c>
      <c r="O153" s="9"/>
      <c r="P153" s="102">
        <f>SUM(P149:P152)</f>
        <v>0</v>
      </c>
      <c r="Q153" s="9"/>
      <c r="R153" s="102">
        <f>SUM(R149:R152)</f>
        <v>0</v>
      </c>
      <c r="S153" s="9"/>
      <c r="T153" s="102">
        <f>SUM(T149:T152)</f>
        <v>0</v>
      </c>
      <c r="U153" s="9"/>
      <c r="V153" s="102">
        <f>SUM(V149:V152)</f>
        <v>0</v>
      </c>
      <c r="W153" s="9"/>
      <c r="X153" s="102">
        <f>SUM(X149:X152)</f>
        <v>0</v>
      </c>
      <c r="Y153" s="9"/>
      <c r="Z153" s="102">
        <f>SUM(Z149:Z152)</f>
        <v>0</v>
      </c>
      <c r="AA153" s="9"/>
      <c r="AB153" s="102">
        <f>SUM(AB149:AB152)</f>
        <v>0</v>
      </c>
      <c r="AC153" s="9"/>
      <c r="AD153" s="102">
        <f>SUM(AD149:AD152)</f>
        <v>0</v>
      </c>
      <c r="AE153" s="9"/>
      <c r="AF153" s="102">
        <f>SUM(AF149:AF152)</f>
        <v>6000</v>
      </c>
      <c r="AG153" s="9"/>
      <c r="AH153" s="102">
        <f>SUM(AH149:AH152)</f>
        <v>0</v>
      </c>
      <c r="AI153" s="9"/>
      <c r="AJ153" s="102">
        <f>SUM(AJ149:AJ152)</f>
        <v>0</v>
      </c>
      <c r="AK153" s="9"/>
      <c r="AL153" s="102">
        <f>SUM(AL149:AL152)</f>
        <v>-369041</v>
      </c>
      <c r="AM153" s="102"/>
      <c r="AN153" s="102">
        <f>SUM(AN149:AN152)</f>
        <v>369040.52</v>
      </c>
      <c r="AO153" s="9"/>
      <c r="AP153" s="102">
        <f>SUM(AP149:AP152)</f>
        <v>294743.67999999999</v>
      </c>
      <c r="AQ153" s="9"/>
      <c r="AR153" s="102">
        <f>SUM(AR149:AR152)</f>
        <v>6000</v>
      </c>
      <c r="AS153" s="9"/>
      <c r="AT153" s="102">
        <f>SUM(AT149:AT152)</f>
        <v>0</v>
      </c>
      <c r="AU153" s="9"/>
      <c r="AV153" s="102">
        <f>SUM(AV149:AV152)</f>
        <v>0</v>
      </c>
      <c r="AW153" s="10"/>
      <c r="AX153" s="102">
        <f>SUM(AX149:AX152)</f>
        <v>0</v>
      </c>
      <c r="AY153" s="10"/>
      <c r="AZ153" s="102">
        <f>SUM(AZ149:AZ152)</f>
        <v>0</v>
      </c>
      <c r="BA153" s="10"/>
      <c r="BB153" s="102">
        <f>SUM(BB149:BB152)</f>
        <v>0</v>
      </c>
      <c r="BC153" s="10"/>
      <c r="BD153" s="102">
        <f>SUM(BD149:BD152)</f>
        <v>0</v>
      </c>
      <c r="BE153" s="10"/>
      <c r="BF153" s="102">
        <f>SUM(BF149:BF152)</f>
        <v>0</v>
      </c>
      <c r="BG153" s="10"/>
      <c r="BH153" s="102">
        <f>SUM(BH149:BH152)</f>
        <v>0</v>
      </c>
      <c r="BI153" s="10"/>
      <c r="BJ153" s="102">
        <f>SUM(BJ149:BJ152)</f>
        <v>0</v>
      </c>
      <c r="BK153" s="10"/>
      <c r="BL153" s="102">
        <f>SUM(BL149:BL152)</f>
        <v>0</v>
      </c>
      <c r="BM153" s="9"/>
      <c r="BN153" s="102">
        <f>SUM(BN149:BN152)</f>
        <v>306743.2</v>
      </c>
      <c r="BO153" s="9"/>
      <c r="BP153" s="102">
        <f>SUM(BP149:BP152)</f>
        <v>0</v>
      </c>
      <c r="BQ153" s="9"/>
      <c r="BR153" s="102">
        <f>SUM(BR149:BR152)</f>
        <v>0</v>
      </c>
      <c r="BS153" s="9"/>
      <c r="BT153" s="102">
        <f>SUM(BT149:BT152)</f>
        <v>306743.2</v>
      </c>
      <c r="BU153" s="9"/>
      <c r="BV153" s="102">
        <f>SUM(BV149:BV152)</f>
        <v>-306743.2</v>
      </c>
      <c r="BW153" s="9"/>
    </row>
    <row r="154" spans="1:75" s="21" customFormat="1">
      <c r="A154" s="56"/>
      <c r="B154" s="31"/>
      <c r="J154" s="8"/>
      <c r="L154" s="134"/>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row>
    <row r="155" spans="1:75">
      <c r="A155" s="56" t="s">
        <v>28</v>
      </c>
      <c r="B155" s="11"/>
      <c r="C155"/>
      <c r="D155"/>
      <c r="E155"/>
      <c r="F155"/>
      <c r="G155"/>
      <c r="H155"/>
      <c r="I155"/>
      <c r="J155" s="49"/>
      <c r="K155"/>
      <c r="L155" s="134"/>
      <c r="M155" s="6"/>
      <c r="O155" s="6"/>
      <c r="Q155" s="6"/>
      <c r="S155" s="6"/>
      <c r="T155" s="6"/>
      <c r="U155" s="6"/>
      <c r="V155" s="6"/>
      <c r="X155" s="6"/>
      <c r="Z155" s="6"/>
      <c r="AB155" s="6"/>
      <c r="AD155" s="6"/>
      <c r="BL155" s="6"/>
      <c r="BM155" s="6"/>
      <c r="BO155" s="6"/>
      <c r="BP155" s="6"/>
      <c r="BQ155" s="6"/>
      <c r="BW155" s="6"/>
    </row>
    <row r="156" spans="1:75">
      <c r="A156" s="56"/>
      <c r="B156" s="11" t="s">
        <v>211</v>
      </c>
      <c r="C156"/>
      <c r="D156"/>
      <c r="E156"/>
      <c r="F156"/>
      <c r="G156"/>
      <c r="H156"/>
      <c r="I156"/>
      <c r="J156" s="49"/>
      <c r="K156"/>
      <c r="L156" s="134" t="s">
        <v>203</v>
      </c>
      <c r="M156" s="6"/>
      <c r="N156" s="6">
        <v>0</v>
      </c>
      <c r="O156" s="6"/>
      <c r="P156" s="6">
        <v>0</v>
      </c>
      <c r="Q156" s="6"/>
      <c r="R156" s="6">
        <v>0</v>
      </c>
      <c r="S156" s="6"/>
      <c r="T156" s="6">
        <v>0</v>
      </c>
      <c r="U156" s="6"/>
      <c r="V156" s="6">
        <v>0</v>
      </c>
      <c r="X156" s="6">
        <v>0</v>
      </c>
      <c r="Z156" s="6">
        <v>0</v>
      </c>
      <c r="AB156" s="6">
        <v>0</v>
      </c>
      <c r="AD156" s="6">
        <v>23801.200000000001</v>
      </c>
      <c r="AF156" s="6">
        <v>35510.120000000003</v>
      </c>
      <c r="AH156" s="6">
        <f>30284.2+9574.9</f>
        <v>39859.1</v>
      </c>
      <c r="AJ156" s="6">
        <v>0</v>
      </c>
      <c r="AL156" s="6">
        <v>-69419</v>
      </c>
      <c r="AN156" s="6">
        <v>0</v>
      </c>
      <c r="AP156" s="6">
        <v>0</v>
      </c>
      <c r="AR156" s="6">
        <v>0</v>
      </c>
      <c r="AT156" s="6">
        <v>0</v>
      </c>
      <c r="AV156" s="6">
        <v>0</v>
      </c>
      <c r="AX156" s="6">
        <v>0</v>
      </c>
      <c r="AZ156" s="6">
        <v>0</v>
      </c>
      <c r="BB156" s="6">
        <v>0</v>
      </c>
      <c r="BD156" s="6">
        <v>0</v>
      </c>
      <c r="BF156" s="6">
        <v>0</v>
      </c>
      <c r="BH156" s="6">
        <v>0</v>
      </c>
      <c r="BJ156" s="6">
        <v>0</v>
      </c>
      <c r="BL156" s="6">
        <v>0</v>
      </c>
      <c r="BM156" s="6"/>
      <c r="BN156" s="6">
        <f t="shared" ref="BN156:BN161" si="31">SUM(T156:BM156)</f>
        <v>29751.420000000013</v>
      </c>
      <c r="BO156" s="6"/>
      <c r="BP156" s="227">
        <v>0</v>
      </c>
      <c r="BQ156" s="6"/>
      <c r="BR156" s="6">
        <f t="shared" ref="BR156:BR162" si="32">IF(+R156-BN156+BP156&gt;0,R156-BN156+BP156,0)</f>
        <v>0</v>
      </c>
      <c r="BT156" s="6">
        <f t="shared" ref="BT156:BT161" si="33">+BN156+BR156</f>
        <v>29751.420000000013</v>
      </c>
      <c r="BV156" s="6">
        <f>+R156-BN156-BR156</f>
        <v>-29751.420000000013</v>
      </c>
      <c r="BW156" s="6"/>
    </row>
    <row r="157" spans="1:75">
      <c r="A157" s="57"/>
      <c r="B157" s="17" t="s">
        <v>212</v>
      </c>
      <c r="C157"/>
      <c r="D157"/>
      <c r="E157"/>
      <c r="F157"/>
      <c r="G157"/>
      <c r="H157"/>
      <c r="I157"/>
      <c r="J157" s="49"/>
      <c r="K157"/>
      <c r="L157" s="134" t="s">
        <v>203</v>
      </c>
      <c r="M157" s="6"/>
      <c r="N157" s="6">
        <v>0</v>
      </c>
      <c r="O157" s="6"/>
      <c r="P157" s="6">
        <v>0</v>
      </c>
      <c r="Q157" s="6"/>
      <c r="R157" s="6">
        <v>0</v>
      </c>
      <c r="S157" s="6"/>
      <c r="T157" s="6">
        <v>0</v>
      </c>
      <c r="U157" s="6"/>
      <c r="V157" s="6">
        <v>0</v>
      </c>
      <c r="X157" s="6">
        <v>0</v>
      </c>
      <c r="Z157" s="6">
        <v>0</v>
      </c>
      <c r="AB157" s="6">
        <v>0</v>
      </c>
      <c r="AD157" s="6">
        <v>4183.38</v>
      </c>
      <c r="AF157" s="6">
        <v>10970</v>
      </c>
      <c r="AH157" s="6">
        <f>4864.1+4137.5</f>
        <v>9001.6</v>
      </c>
      <c r="AJ157" s="6">
        <v>0</v>
      </c>
      <c r="AN157" s="6">
        <v>0</v>
      </c>
      <c r="AP157" s="6">
        <v>0</v>
      </c>
      <c r="AR157" s="6">
        <v>0</v>
      </c>
      <c r="AT157" s="6">
        <v>0</v>
      </c>
      <c r="AV157" s="6">
        <v>0</v>
      </c>
      <c r="AX157" s="6">
        <v>0</v>
      </c>
      <c r="AZ157" s="6">
        <v>0</v>
      </c>
      <c r="BB157" s="6">
        <v>0</v>
      </c>
      <c r="BD157" s="6">
        <v>0</v>
      </c>
      <c r="BF157" s="6">
        <v>0</v>
      </c>
      <c r="BH157" s="6">
        <v>0</v>
      </c>
      <c r="BJ157" s="6">
        <v>0</v>
      </c>
      <c r="BL157" s="6">
        <v>0</v>
      </c>
      <c r="BM157" s="6"/>
      <c r="BN157" s="6">
        <f t="shared" si="31"/>
        <v>24154.980000000003</v>
      </c>
      <c r="BO157" s="6"/>
      <c r="BP157" s="227">
        <v>0</v>
      </c>
      <c r="BQ157" s="6"/>
      <c r="BR157" s="6">
        <f t="shared" si="32"/>
        <v>0</v>
      </c>
      <c r="BT157" s="6">
        <f t="shared" si="33"/>
        <v>24154.980000000003</v>
      </c>
      <c r="BV157" s="6">
        <f>+R157-BT157</f>
        <v>-24154.980000000003</v>
      </c>
      <c r="BW157" s="6"/>
    </row>
    <row r="158" spans="1:75">
      <c r="A158" s="57"/>
      <c r="B158" s="17" t="s">
        <v>213</v>
      </c>
      <c r="C158"/>
      <c r="D158"/>
      <c r="E158"/>
      <c r="F158"/>
      <c r="G158"/>
      <c r="H158"/>
      <c r="I158"/>
      <c r="J158" s="49"/>
      <c r="K158"/>
      <c r="L158" s="134" t="s">
        <v>203</v>
      </c>
      <c r="M158" s="6"/>
      <c r="O158" s="6"/>
      <c r="P158" s="6">
        <v>0</v>
      </c>
      <c r="Q158" s="6"/>
      <c r="R158" s="6">
        <v>0</v>
      </c>
      <c r="S158" s="6"/>
      <c r="T158" s="6">
        <v>0</v>
      </c>
      <c r="U158" s="6"/>
      <c r="V158" s="6">
        <v>0</v>
      </c>
      <c r="X158" s="6">
        <f>776+5384.28</f>
        <v>6160.28</v>
      </c>
      <c r="Z158" s="6">
        <v>12971</v>
      </c>
      <c r="AB158" s="6">
        <v>0</v>
      </c>
      <c r="AD158" s="6">
        <f>26787.21+127637.14</f>
        <v>154424.35</v>
      </c>
      <c r="AF158" s="6">
        <v>0</v>
      </c>
      <c r="AH158" s="6">
        <v>0</v>
      </c>
      <c r="AJ158" s="6">
        <v>0</v>
      </c>
      <c r="AN158" s="6">
        <v>0</v>
      </c>
      <c r="AP158" s="6">
        <v>0</v>
      </c>
      <c r="AR158" s="6">
        <v>0</v>
      </c>
      <c r="AT158" s="6">
        <v>0</v>
      </c>
      <c r="AV158" s="6">
        <v>0</v>
      </c>
      <c r="AX158" s="6">
        <v>0</v>
      </c>
      <c r="AZ158" s="6">
        <v>0</v>
      </c>
      <c r="BB158" s="6">
        <v>0</v>
      </c>
      <c r="BD158" s="6">
        <v>0</v>
      </c>
      <c r="BF158" s="6">
        <v>0</v>
      </c>
      <c r="BH158" s="6">
        <v>0</v>
      </c>
      <c r="BJ158" s="6">
        <v>0</v>
      </c>
      <c r="BL158" s="6">
        <v>0</v>
      </c>
      <c r="BM158" s="6"/>
      <c r="BN158" s="6">
        <f t="shared" si="31"/>
        <v>173555.63</v>
      </c>
      <c r="BO158" s="6"/>
      <c r="BP158" s="227">
        <v>0</v>
      </c>
      <c r="BQ158" s="6"/>
      <c r="BR158" s="6">
        <f t="shared" si="32"/>
        <v>0</v>
      </c>
      <c r="BT158" s="6">
        <f t="shared" si="33"/>
        <v>173555.63</v>
      </c>
      <c r="BV158" s="6">
        <f>+R158-BT158</f>
        <v>-173555.63</v>
      </c>
      <c r="BW158" s="6"/>
    </row>
    <row r="159" spans="1:75">
      <c r="A159" s="57"/>
      <c r="B159" s="17" t="s">
        <v>214</v>
      </c>
      <c r="C159"/>
      <c r="D159"/>
      <c r="E159"/>
      <c r="F159"/>
      <c r="G159"/>
      <c r="H159"/>
      <c r="I159"/>
      <c r="J159" s="49"/>
      <c r="K159"/>
      <c r="L159" s="134" t="s">
        <v>203</v>
      </c>
      <c r="M159" s="6"/>
      <c r="O159" s="6"/>
      <c r="P159" s="6">
        <v>0</v>
      </c>
      <c r="Q159" s="6"/>
      <c r="R159" s="6">
        <v>0</v>
      </c>
      <c r="S159" s="6"/>
      <c r="T159" s="6">
        <v>0</v>
      </c>
      <c r="U159" s="6"/>
      <c r="V159" s="6">
        <v>500</v>
      </c>
      <c r="X159" s="6">
        <f>26175.94+7761.28+9133.76-776-5384.28</f>
        <v>36910.700000000004</v>
      </c>
      <c r="Z159" s="6">
        <f>32361-12971</f>
        <v>19390</v>
      </c>
      <c r="AB159" s="6">
        <f>4296.87+2351.76</f>
        <v>6648.63</v>
      </c>
      <c r="AD159" s="6">
        <f>32813.71+11410.49+1</f>
        <v>44225.2</v>
      </c>
      <c r="AF159" s="6">
        <v>0</v>
      </c>
      <c r="AH159" s="6">
        <v>13721.51</v>
      </c>
      <c r="AJ159" s="6">
        <v>7968.98</v>
      </c>
      <c r="AN159" s="6">
        <v>0</v>
      </c>
      <c r="AP159" s="6">
        <v>0</v>
      </c>
      <c r="AR159" s="6">
        <v>0</v>
      </c>
      <c r="AT159" s="6">
        <v>0</v>
      </c>
      <c r="AV159" s="6">
        <v>0</v>
      </c>
      <c r="AX159" s="6">
        <v>0</v>
      </c>
      <c r="AZ159" s="6">
        <v>0</v>
      </c>
      <c r="BB159" s="6">
        <v>0</v>
      </c>
      <c r="BD159" s="6">
        <v>0</v>
      </c>
      <c r="BF159" s="6">
        <v>0</v>
      </c>
      <c r="BH159" s="6">
        <v>0</v>
      </c>
      <c r="BJ159" s="6">
        <v>0</v>
      </c>
      <c r="BL159" s="6">
        <v>0</v>
      </c>
      <c r="BM159" s="6"/>
      <c r="BN159" s="6">
        <f t="shared" si="31"/>
        <v>129365.01999999999</v>
      </c>
      <c r="BO159" s="6"/>
      <c r="BP159" s="227">
        <v>0</v>
      </c>
      <c r="BQ159" s="6"/>
      <c r="BR159" s="6">
        <f t="shared" si="32"/>
        <v>0</v>
      </c>
      <c r="BT159" s="6">
        <f t="shared" si="33"/>
        <v>129365.01999999999</v>
      </c>
      <c r="BV159" s="6">
        <f>+R159-BT159</f>
        <v>-129365.01999999999</v>
      </c>
      <c r="BW159" s="6"/>
    </row>
    <row r="160" spans="1:75">
      <c r="A160" s="57"/>
      <c r="B160" s="17" t="s">
        <v>215</v>
      </c>
      <c r="C160"/>
      <c r="D160"/>
      <c r="E160"/>
      <c r="F160"/>
      <c r="G160"/>
      <c r="H160"/>
      <c r="I160"/>
      <c r="J160" s="49"/>
      <c r="K160"/>
      <c r="L160" s="134" t="s">
        <v>203</v>
      </c>
      <c r="M160" s="6"/>
      <c r="O160" s="6"/>
      <c r="P160" s="6">
        <v>0</v>
      </c>
      <c r="Q160" s="6"/>
      <c r="R160" s="6">
        <v>0</v>
      </c>
      <c r="S160" s="6"/>
      <c r="T160" s="6">
        <v>0</v>
      </c>
      <c r="U160" s="6"/>
      <c r="V160" s="6">
        <v>0</v>
      </c>
      <c r="X160" s="6">
        <v>0</v>
      </c>
      <c r="Z160" s="6">
        <v>0</v>
      </c>
      <c r="AB160" s="6">
        <v>0</v>
      </c>
      <c r="AD160" s="6">
        <v>13095</v>
      </c>
      <c r="AF160" s="6">
        <v>0</v>
      </c>
      <c r="AH160" s="6">
        <v>0</v>
      </c>
      <c r="AJ160" s="6">
        <v>0</v>
      </c>
      <c r="AN160" s="6">
        <v>0</v>
      </c>
      <c r="AP160" s="6">
        <v>0</v>
      </c>
      <c r="AR160" s="6">
        <v>0</v>
      </c>
      <c r="AT160" s="6">
        <v>0</v>
      </c>
      <c r="AV160" s="6">
        <v>0</v>
      </c>
      <c r="AX160" s="6">
        <v>0</v>
      </c>
      <c r="AZ160" s="6">
        <v>0</v>
      </c>
      <c r="BB160" s="6">
        <v>0</v>
      </c>
      <c r="BD160" s="6">
        <v>0</v>
      </c>
      <c r="BF160" s="6">
        <v>0</v>
      </c>
      <c r="BH160" s="6">
        <v>0</v>
      </c>
      <c r="BJ160" s="6">
        <v>0</v>
      </c>
      <c r="BL160" s="6">
        <v>0</v>
      </c>
      <c r="BM160" s="6"/>
      <c r="BN160" s="6">
        <f t="shared" si="31"/>
        <v>13095</v>
      </c>
      <c r="BO160" s="6"/>
      <c r="BP160" s="227">
        <v>0</v>
      </c>
      <c r="BQ160" s="6"/>
      <c r="BR160" s="6">
        <f t="shared" si="32"/>
        <v>0</v>
      </c>
      <c r="BT160" s="6">
        <f t="shared" si="33"/>
        <v>13095</v>
      </c>
      <c r="BV160" s="6">
        <f>+R160-BT160</f>
        <v>-13095</v>
      </c>
      <c r="BW160" s="6"/>
    </row>
    <row r="161" spans="1:75">
      <c r="A161" s="57"/>
      <c r="B161" s="17" t="s">
        <v>121</v>
      </c>
      <c r="C161"/>
      <c r="D161"/>
      <c r="E161"/>
      <c r="F161"/>
      <c r="G161"/>
      <c r="H161"/>
      <c r="I161"/>
      <c r="J161" s="49"/>
      <c r="K161"/>
      <c r="L161" s="134"/>
      <c r="M161" s="6"/>
      <c r="O161" s="6"/>
      <c r="Q161" s="6"/>
      <c r="R161" s="6">
        <v>0</v>
      </c>
      <c r="S161" s="6"/>
      <c r="T161" s="6"/>
      <c r="U161" s="6"/>
      <c r="V161" s="6"/>
      <c r="X161" s="6"/>
      <c r="Z161" s="6"/>
      <c r="AB161" s="6"/>
      <c r="AD161" s="6"/>
      <c r="AH161" s="6">
        <v>100</v>
      </c>
      <c r="AL161" s="6">
        <f>0</f>
        <v>0</v>
      </c>
      <c r="AN161" s="6">
        <f>379522-370022</f>
        <v>9500</v>
      </c>
      <c r="BL161" s="6"/>
      <c r="BM161" s="6"/>
      <c r="BN161" s="6">
        <f t="shared" si="31"/>
        <v>9600</v>
      </c>
      <c r="BO161" s="6"/>
      <c r="BP161" s="227">
        <v>0</v>
      </c>
      <c r="BQ161" s="6"/>
      <c r="BR161" s="6">
        <f t="shared" si="32"/>
        <v>0</v>
      </c>
      <c r="BT161" s="6">
        <f t="shared" si="33"/>
        <v>9600</v>
      </c>
      <c r="BV161" s="6">
        <f>+R161-BT161</f>
        <v>-9600</v>
      </c>
      <c r="BW161" s="6"/>
    </row>
    <row r="162" spans="1:75">
      <c r="A162" s="57"/>
      <c r="B162" s="17"/>
      <c r="C162"/>
      <c r="D162"/>
      <c r="E162"/>
      <c r="F162"/>
      <c r="G162"/>
      <c r="H162"/>
      <c r="I162"/>
      <c r="J162" s="49"/>
      <c r="K162"/>
      <c r="L162" s="134"/>
      <c r="M162" s="6"/>
      <c r="O162" s="6"/>
      <c r="Q162" s="6"/>
      <c r="S162" s="6"/>
      <c r="T162" s="6"/>
      <c r="U162" s="6"/>
      <c r="V162" s="6"/>
      <c r="X162" s="6"/>
      <c r="Z162" s="6"/>
      <c r="AB162" s="6"/>
      <c r="AD162" s="6"/>
      <c r="BL162" s="6"/>
      <c r="BM162" s="6"/>
      <c r="BO162" s="6"/>
      <c r="BP162" s="227"/>
      <c r="BQ162" s="6"/>
      <c r="BR162" s="6">
        <f t="shared" si="32"/>
        <v>0</v>
      </c>
      <c r="BW162" s="6"/>
    </row>
    <row r="163" spans="1:75" s="21" customFormat="1">
      <c r="A163" s="118"/>
      <c r="B163" s="58" t="s">
        <v>183</v>
      </c>
      <c r="J163" s="8"/>
      <c r="L163" s="143"/>
      <c r="M163" s="9"/>
      <c r="N163" s="102">
        <f>SUM(N156:N162)</f>
        <v>0</v>
      </c>
      <c r="O163" s="9"/>
      <c r="P163" s="102">
        <f>SUM(P156:P162)</f>
        <v>0</v>
      </c>
      <c r="Q163" s="9"/>
      <c r="R163" s="102">
        <f>SUM(R156:R162)</f>
        <v>0</v>
      </c>
      <c r="S163" s="9"/>
      <c r="T163" s="102">
        <f>SUM(T156:T162)</f>
        <v>0</v>
      </c>
      <c r="U163" s="9"/>
      <c r="V163" s="102">
        <f>SUM(V156:V162)</f>
        <v>500</v>
      </c>
      <c r="W163" s="9"/>
      <c r="X163" s="102">
        <f>SUM(X156:X162)</f>
        <v>43070.98</v>
      </c>
      <c r="Y163" s="9"/>
      <c r="Z163" s="102">
        <f>SUM(Z156:Z162)</f>
        <v>32361</v>
      </c>
      <c r="AA163" s="9"/>
      <c r="AB163" s="102">
        <f>SUM(AB156:AB162)</f>
        <v>6648.63</v>
      </c>
      <c r="AC163" s="9"/>
      <c r="AD163" s="102">
        <f>SUM(AD156:AD162)</f>
        <v>239729.13</v>
      </c>
      <c r="AE163" s="9"/>
      <c r="AF163" s="102">
        <f>SUM(AF156:AF162)</f>
        <v>46480.12</v>
      </c>
      <c r="AG163" s="9"/>
      <c r="AH163" s="102">
        <f>SUM(AH156:AH162)</f>
        <v>62682.21</v>
      </c>
      <c r="AI163" s="9"/>
      <c r="AJ163" s="102">
        <f>SUM(AJ156:AJ162)</f>
        <v>7968.98</v>
      </c>
      <c r="AK163" s="9"/>
      <c r="AL163" s="102">
        <f>SUM(AL156:AL162)</f>
        <v>-69419</v>
      </c>
      <c r="AM163" s="102"/>
      <c r="AN163" s="102">
        <f>SUM(AN156:AN162)</f>
        <v>9500</v>
      </c>
      <c r="AO163" s="9"/>
      <c r="AP163" s="102">
        <f>SUM(AP156:AP162)</f>
        <v>0</v>
      </c>
      <c r="AQ163" s="9"/>
      <c r="AR163" s="102">
        <f>SUM(AR156:AR162)</f>
        <v>0</v>
      </c>
      <c r="AS163" s="9"/>
      <c r="AT163" s="102">
        <f>SUM(AT156:AT162)</f>
        <v>0</v>
      </c>
      <c r="AU163" s="9"/>
      <c r="AV163" s="102">
        <f>SUM(AV156:AV162)</f>
        <v>0</v>
      </c>
      <c r="AW163" s="10"/>
      <c r="AX163" s="102">
        <f>SUM(AX156:AX162)</f>
        <v>0</v>
      </c>
      <c r="AY163" s="10"/>
      <c r="AZ163" s="102">
        <f>SUM(AZ156:AZ162)</f>
        <v>0</v>
      </c>
      <c r="BA163" s="10"/>
      <c r="BB163" s="102">
        <f>SUM(BB156:BB162)</f>
        <v>0</v>
      </c>
      <c r="BC163" s="10"/>
      <c r="BD163" s="102">
        <f>SUM(BD156:BD162)</f>
        <v>0</v>
      </c>
      <c r="BE163" s="10"/>
      <c r="BF163" s="102">
        <f>SUM(BF156:BF162)</f>
        <v>0</v>
      </c>
      <c r="BG163" s="10"/>
      <c r="BH163" s="102">
        <f>SUM(BH156:BH162)</f>
        <v>0</v>
      </c>
      <c r="BI163" s="10"/>
      <c r="BJ163" s="102">
        <f>SUM(BJ156:BJ162)</f>
        <v>0</v>
      </c>
      <c r="BK163" s="10"/>
      <c r="BL163" s="102">
        <f>SUM(BL156:BL162)</f>
        <v>0</v>
      </c>
      <c r="BM163" s="9"/>
      <c r="BN163" s="102">
        <f>SUM(BN156:BN162)</f>
        <v>379522.05000000005</v>
      </c>
      <c r="BO163" s="9"/>
      <c r="BP163" s="102">
        <f>SUM(BP156:BP162)</f>
        <v>0</v>
      </c>
      <c r="BQ163" s="9"/>
      <c r="BR163" s="102">
        <f>SUM(BR156:BR162)</f>
        <v>0</v>
      </c>
      <c r="BS163" s="9"/>
      <c r="BT163" s="102">
        <f>SUM(BT156:BT162)</f>
        <v>379522.05000000005</v>
      </c>
      <c r="BU163" s="9"/>
      <c r="BV163" s="102">
        <f>SUM(BV156:BV162)</f>
        <v>-379522.05000000005</v>
      </c>
      <c r="BW163" s="9"/>
    </row>
    <row r="164" spans="1:75" s="21" customFormat="1">
      <c r="A164" s="118"/>
      <c r="B164" s="58"/>
      <c r="J164" s="8"/>
      <c r="L164" s="143"/>
      <c r="M164" s="9"/>
      <c r="N164" s="10"/>
      <c r="O164" s="9"/>
      <c r="P164" s="10"/>
      <c r="Q164" s="9"/>
      <c r="R164" s="10"/>
      <c r="S164" s="9"/>
      <c r="T164" s="10"/>
      <c r="U164" s="9"/>
      <c r="V164" s="10"/>
      <c r="W164" s="9"/>
      <c r="X164" s="10"/>
      <c r="Y164" s="9"/>
      <c r="Z164" s="10"/>
      <c r="AA164" s="9"/>
      <c r="AB164" s="10"/>
      <c r="AC164" s="9"/>
      <c r="AD164" s="10"/>
      <c r="AE164" s="9"/>
      <c r="AF164" s="10"/>
      <c r="AG164" s="9"/>
      <c r="AH164" s="10"/>
      <c r="AI164" s="9"/>
      <c r="AJ164" s="10"/>
      <c r="AK164" s="9"/>
      <c r="AL164" s="10"/>
      <c r="AM164" s="9"/>
      <c r="AN164" s="10"/>
      <c r="AO164" s="9"/>
      <c r="AP164" s="10"/>
      <c r="AQ164" s="9"/>
      <c r="AR164" s="10"/>
      <c r="AS164" s="9"/>
      <c r="AT164" s="10"/>
      <c r="AU164" s="9"/>
      <c r="AV164" s="10"/>
      <c r="AW164" s="10"/>
      <c r="AX164" s="10"/>
      <c r="AY164" s="10"/>
      <c r="AZ164" s="10"/>
      <c r="BA164" s="10"/>
      <c r="BB164" s="10"/>
      <c r="BC164" s="10"/>
      <c r="BD164" s="10"/>
      <c r="BE164" s="10"/>
      <c r="BF164" s="10"/>
      <c r="BG164" s="10"/>
      <c r="BH164" s="10"/>
      <c r="BI164" s="10"/>
      <c r="BJ164" s="10"/>
      <c r="BK164" s="10"/>
      <c r="BL164" s="10"/>
      <c r="BM164" s="9"/>
      <c r="BN164" s="10"/>
      <c r="BO164" s="9"/>
      <c r="BP164" s="10"/>
      <c r="BQ164" s="9"/>
      <c r="BR164" s="10"/>
      <c r="BS164" s="9"/>
      <c r="BT164" s="10"/>
      <c r="BU164" s="9"/>
      <c r="BV164" s="10"/>
      <c r="BW164" s="9"/>
    </row>
    <row r="165" spans="1:75">
      <c r="A165" s="56" t="s">
        <v>273</v>
      </c>
      <c r="B165" s="11"/>
      <c r="C165"/>
      <c r="D165"/>
      <c r="E165"/>
      <c r="F165"/>
      <c r="G165"/>
      <c r="H165"/>
      <c r="I165"/>
      <c r="J165"/>
      <c r="K165" s="134"/>
      <c r="L165" s="6"/>
      <c r="M165" s="6"/>
      <c r="O165" s="6"/>
      <c r="Q165" s="6"/>
      <c r="S165" s="6"/>
      <c r="T165" s="6"/>
      <c r="U165" s="6"/>
      <c r="V165" s="6"/>
      <c r="X165" s="6"/>
      <c r="Z165" s="6"/>
      <c r="AB165" s="6"/>
      <c r="AD165" s="6"/>
      <c r="BL165" s="6"/>
      <c r="BM165" s="6"/>
      <c r="BO165" s="6"/>
      <c r="BP165" s="6"/>
      <c r="BQ165" s="6"/>
      <c r="BV165" s="4"/>
    </row>
    <row r="166" spans="1:75">
      <c r="A166" s="56"/>
      <c r="B166" s="11" t="s">
        <v>274</v>
      </c>
      <c r="C166"/>
      <c r="D166"/>
      <c r="E166"/>
      <c r="F166"/>
      <c r="G166"/>
      <c r="H166"/>
      <c r="I166"/>
      <c r="J166"/>
      <c r="K166" s="134" t="s">
        <v>202</v>
      </c>
      <c r="L166" s="6"/>
      <c r="M166" s="6">
        <v>0</v>
      </c>
      <c r="O166" s="6">
        <v>60000</v>
      </c>
      <c r="Q166" s="6">
        <f>+M166+O166</f>
        <v>60000</v>
      </c>
      <c r="R166" s="6">
        <v>0</v>
      </c>
      <c r="S166" s="6"/>
      <c r="T166" s="6">
        <v>0</v>
      </c>
      <c r="U166" s="6"/>
      <c r="V166" s="4"/>
      <c r="X166" s="6">
        <v>7500</v>
      </c>
      <c r="Z166" s="6">
        <v>0</v>
      </c>
      <c r="AB166" s="6">
        <v>0</v>
      </c>
      <c r="AD166" s="6">
        <v>0</v>
      </c>
      <c r="AF166" s="6">
        <v>0</v>
      </c>
      <c r="AH166" s="6">
        <v>0</v>
      </c>
      <c r="AJ166" s="6">
        <v>0</v>
      </c>
      <c r="AN166" s="6">
        <v>0</v>
      </c>
      <c r="AP166" s="6">
        <v>0</v>
      </c>
      <c r="AR166" s="6">
        <v>0</v>
      </c>
      <c r="AT166" s="6">
        <v>0</v>
      </c>
      <c r="AV166" s="6">
        <v>0</v>
      </c>
      <c r="AX166" s="6">
        <v>0</v>
      </c>
      <c r="AZ166" s="6">
        <v>0</v>
      </c>
      <c r="BB166" s="6">
        <v>0</v>
      </c>
      <c r="BD166" s="6">
        <v>0</v>
      </c>
      <c r="BF166" s="6">
        <v>0</v>
      </c>
      <c r="BH166" s="6">
        <v>0</v>
      </c>
      <c r="BJ166" s="6">
        <v>0</v>
      </c>
      <c r="BL166" s="6">
        <v>0</v>
      </c>
      <c r="BM166" s="6"/>
      <c r="BN166" s="6">
        <f>SUM(T166:BM166)</f>
        <v>7500</v>
      </c>
      <c r="BO166" s="6"/>
      <c r="BP166" s="6">
        <v>0</v>
      </c>
      <c r="BQ166" s="6"/>
      <c r="BR166" s="6">
        <f>IF(+R166-BN166+BP166&gt;0,R166-BN166+BP166,0)</f>
        <v>0</v>
      </c>
      <c r="BT166" s="6">
        <f>+BN166+BR166</f>
        <v>7500</v>
      </c>
      <c r="BU166" s="6">
        <f>+BO166+BS166</f>
        <v>0</v>
      </c>
      <c r="BV166" s="6">
        <f>+R166-BT166</f>
        <v>-7500</v>
      </c>
    </row>
    <row r="167" spans="1:75">
      <c r="A167" s="56"/>
      <c r="B167" s="11" t="s">
        <v>275</v>
      </c>
      <c r="C167"/>
      <c r="D167"/>
      <c r="E167"/>
      <c r="F167"/>
      <c r="G167"/>
      <c r="H167"/>
      <c r="I167"/>
      <c r="J167"/>
      <c r="K167" s="134" t="s">
        <v>202</v>
      </c>
      <c r="L167" s="6"/>
      <c r="M167" s="6">
        <v>7500</v>
      </c>
      <c r="O167" s="6">
        <f>35000-M167</f>
        <v>27500</v>
      </c>
      <c r="Q167" s="6">
        <f>+M167+O167</f>
        <v>35000</v>
      </c>
      <c r="R167" s="6">
        <v>0</v>
      </c>
      <c r="S167" s="6"/>
      <c r="T167" s="6">
        <v>0</v>
      </c>
      <c r="U167" s="6"/>
      <c r="V167" s="6">
        <v>0</v>
      </c>
      <c r="X167" s="6">
        <v>0</v>
      </c>
      <c r="Z167" s="6">
        <v>0</v>
      </c>
      <c r="AB167" s="6">
        <v>0</v>
      </c>
      <c r="AD167" s="6">
        <v>0</v>
      </c>
      <c r="AF167" s="6">
        <v>0</v>
      </c>
      <c r="AH167" s="6">
        <v>0</v>
      </c>
      <c r="AJ167" s="6">
        <v>0</v>
      </c>
      <c r="AN167" s="6">
        <v>0</v>
      </c>
      <c r="AP167" s="6">
        <v>0</v>
      </c>
      <c r="AR167" s="6">
        <v>0</v>
      </c>
      <c r="AT167" s="6">
        <v>0</v>
      </c>
      <c r="AV167" s="6">
        <v>0</v>
      </c>
      <c r="AX167" s="6">
        <v>0</v>
      </c>
      <c r="AZ167" s="6">
        <v>0</v>
      </c>
      <c r="BB167" s="6">
        <v>0</v>
      </c>
      <c r="BD167" s="6">
        <v>0</v>
      </c>
      <c r="BF167" s="6">
        <v>0</v>
      </c>
      <c r="BH167" s="6">
        <v>0</v>
      </c>
      <c r="BJ167" s="6">
        <v>0</v>
      </c>
      <c r="BL167" s="6">
        <v>0</v>
      </c>
      <c r="BM167" s="6"/>
      <c r="BN167" s="6">
        <f>SUM(T167:BM167)</f>
        <v>0</v>
      </c>
      <c r="BO167" s="6"/>
      <c r="BP167" s="6">
        <v>0</v>
      </c>
      <c r="BQ167" s="6"/>
      <c r="BR167" s="6">
        <f>IF(+R167-BN167+BP167&gt;0,R167-BN167+BP167,0)</f>
        <v>0</v>
      </c>
      <c r="BT167" s="6">
        <f>+BN167+BR167</f>
        <v>0</v>
      </c>
      <c r="BV167" s="4"/>
    </row>
    <row r="168" spans="1:75">
      <c r="A168" s="56"/>
      <c r="B168" s="11" t="s">
        <v>276</v>
      </c>
      <c r="C168"/>
      <c r="D168"/>
      <c r="E168"/>
      <c r="F168"/>
      <c r="G168"/>
      <c r="H168"/>
      <c r="I168"/>
      <c r="J168"/>
      <c r="K168" s="134" t="s">
        <v>202</v>
      </c>
      <c r="L168" s="6"/>
      <c r="M168" s="6">
        <f>1992500</f>
        <v>1992500</v>
      </c>
      <c r="O168" s="6">
        <f>2200000-M168</f>
        <v>207500</v>
      </c>
      <c r="Q168" s="6">
        <f>+M168+O168</f>
        <v>2200000</v>
      </c>
      <c r="R168" s="6">
        <v>0</v>
      </c>
      <c r="S168" s="6"/>
      <c r="T168" s="6">
        <v>0</v>
      </c>
      <c r="U168" s="6"/>
      <c r="V168" s="6">
        <v>0</v>
      </c>
      <c r="X168" s="6">
        <v>0</v>
      </c>
      <c r="Z168" s="6">
        <v>0</v>
      </c>
      <c r="AB168" s="6">
        <v>0</v>
      </c>
      <c r="AD168" s="6">
        <v>0</v>
      </c>
      <c r="AF168" s="6">
        <v>0</v>
      </c>
      <c r="AH168" s="6">
        <v>0</v>
      </c>
      <c r="AJ168" s="6">
        <v>0</v>
      </c>
      <c r="AN168" s="6">
        <v>0</v>
      </c>
      <c r="AP168" s="6">
        <v>0</v>
      </c>
      <c r="AR168" s="6">
        <v>0</v>
      </c>
      <c r="AT168" s="6">
        <v>0</v>
      </c>
      <c r="AV168" s="6">
        <v>0</v>
      </c>
      <c r="AX168" s="6">
        <v>0</v>
      </c>
      <c r="AZ168" s="6">
        <v>0</v>
      </c>
      <c r="BB168" s="6">
        <v>0</v>
      </c>
      <c r="BD168" s="6">
        <v>0</v>
      </c>
      <c r="BF168" s="6">
        <v>0</v>
      </c>
      <c r="BH168" s="6">
        <v>0</v>
      </c>
      <c r="BJ168" s="6">
        <v>0</v>
      </c>
      <c r="BL168" s="6">
        <v>0</v>
      </c>
      <c r="BM168" s="6"/>
      <c r="BN168" s="6">
        <f>SUM(T168:BM168)</f>
        <v>0</v>
      </c>
      <c r="BO168" s="6"/>
      <c r="BP168" s="6">
        <v>0</v>
      </c>
      <c r="BQ168" s="6"/>
      <c r="BR168" s="6">
        <f>IF(+R168-BN168+BP168&gt;0,R168-BN168+BP168,0)</f>
        <v>0</v>
      </c>
      <c r="BT168" s="6">
        <f>+BN168+BR168</f>
        <v>0</v>
      </c>
      <c r="BV168" s="4"/>
    </row>
    <row r="169" spans="1:75">
      <c r="A169" s="56"/>
      <c r="B169" s="11"/>
      <c r="C169"/>
      <c r="D169"/>
      <c r="E169"/>
      <c r="F169"/>
      <c r="G169"/>
      <c r="H169"/>
      <c r="I169"/>
      <c r="J169"/>
      <c r="K169" s="134"/>
      <c r="L169" s="6"/>
      <c r="M169" s="6"/>
      <c r="O169" s="6"/>
      <c r="Q169" s="6"/>
      <c r="S169" s="6"/>
      <c r="T169" s="6"/>
      <c r="U169" s="6"/>
      <c r="V169" s="6"/>
      <c r="X169" s="6"/>
      <c r="Z169" s="6"/>
      <c r="AB169" s="6"/>
      <c r="AD169" s="6"/>
      <c r="BL169" s="6"/>
      <c r="BM169" s="6"/>
      <c r="BO169" s="6"/>
      <c r="BP169" s="6"/>
      <c r="BQ169" s="6"/>
      <c r="BR169" s="6">
        <f>IF(+R169-BN169+BP169&gt;0,R169-BN169+BP169,0)</f>
        <v>0</v>
      </c>
      <c r="BT169" s="6">
        <f>+BN169+BR169</f>
        <v>0</v>
      </c>
      <c r="BV169" s="4"/>
    </row>
    <row r="170" spans="1:75" s="21" customFormat="1">
      <c r="A170" s="56"/>
      <c r="B170" s="31" t="s">
        <v>277</v>
      </c>
      <c r="K170" s="143"/>
      <c r="L170" s="9"/>
      <c r="M170" s="102">
        <f>SUM(M166:M169)</f>
        <v>2000000</v>
      </c>
      <c r="N170" s="9"/>
      <c r="O170" s="102">
        <f>SUM(O166:O169)</f>
        <v>295000</v>
      </c>
      <c r="P170" s="9"/>
      <c r="Q170" s="102">
        <f>SUM(Q166:Q169)</f>
        <v>2295000</v>
      </c>
      <c r="R170" s="102">
        <f>SUM(R166:R169)</f>
        <v>0</v>
      </c>
      <c r="S170" s="9"/>
      <c r="T170" s="102">
        <f>SUM(T166:T169)</f>
        <v>0</v>
      </c>
      <c r="U170" s="9"/>
      <c r="V170" s="102">
        <f>SUM(V166:V169)</f>
        <v>0</v>
      </c>
      <c r="W170" s="9"/>
      <c r="X170" s="102">
        <f>SUM(X166:X169)</f>
        <v>7500</v>
      </c>
      <c r="Y170" s="9"/>
      <c r="Z170" s="102">
        <f>SUM(Z166:Z169)</f>
        <v>0</v>
      </c>
      <c r="AA170" s="9"/>
      <c r="AB170" s="102">
        <f>SUM(AB166:AB169)</f>
        <v>0</v>
      </c>
      <c r="AC170" s="9"/>
      <c r="AD170" s="102">
        <f>SUM(AD166:AD169)</f>
        <v>0</v>
      </c>
      <c r="AE170" s="9"/>
      <c r="AF170" s="102">
        <f>SUM(AF166:AF169)</f>
        <v>0</v>
      </c>
      <c r="AG170" s="9"/>
      <c r="AH170" s="102">
        <f>SUM(AH166:AH169)</f>
        <v>0</v>
      </c>
      <c r="AI170" s="9"/>
      <c r="AJ170" s="102">
        <f>SUM(AJ166:AJ169)</f>
        <v>0</v>
      </c>
      <c r="AK170" s="9"/>
      <c r="AL170" s="102">
        <f>SUM(AL166:AL169)</f>
        <v>0</v>
      </c>
      <c r="AM170" s="102"/>
      <c r="AN170" s="102">
        <f>SUM(AN166:AN169)</f>
        <v>0</v>
      </c>
      <c r="AO170" s="9"/>
      <c r="AP170" s="102">
        <f>SUM(AP166:AP169)</f>
        <v>0</v>
      </c>
      <c r="AQ170" s="9"/>
      <c r="AR170" s="102">
        <f>SUM(AR166:AR169)</f>
        <v>0</v>
      </c>
      <c r="AS170" s="9"/>
      <c r="AT170" s="102">
        <f>SUM(AT166:AT169)</f>
        <v>0</v>
      </c>
      <c r="AU170" s="10"/>
      <c r="AV170" s="102">
        <f>SUM(AV166:AV169)</f>
        <v>0</v>
      </c>
      <c r="AW170" s="10"/>
      <c r="AX170" s="102">
        <f>SUM(AX166:AX169)</f>
        <v>0</v>
      </c>
      <c r="AY170" s="10"/>
      <c r="AZ170" s="102">
        <f>SUM(AZ166:AZ169)</f>
        <v>0</v>
      </c>
      <c r="BA170" s="10"/>
      <c r="BB170" s="102">
        <f>SUM(BB166:BB169)</f>
        <v>0</v>
      </c>
      <c r="BC170" s="10"/>
      <c r="BD170" s="102">
        <f>SUM(BD166:BD169)</f>
        <v>0</v>
      </c>
      <c r="BE170" s="10"/>
      <c r="BF170" s="102">
        <f>SUM(BF166:BF169)</f>
        <v>0</v>
      </c>
      <c r="BG170" s="10"/>
      <c r="BH170" s="102">
        <f>SUM(BH166:BH169)</f>
        <v>0</v>
      </c>
      <c r="BI170" s="10"/>
      <c r="BJ170" s="102">
        <f>SUM(BJ166:BJ169)</f>
        <v>0</v>
      </c>
      <c r="BK170" s="9"/>
      <c r="BL170" s="102">
        <f>SUM(BL166:BL169)</f>
        <v>0</v>
      </c>
      <c r="BM170" s="9"/>
      <c r="BN170" s="102">
        <f>SUM(BN166:BN169)</f>
        <v>7500</v>
      </c>
      <c r="BO170" s="9"/>
      <c r="BP170" s="102">
        <f>SUM(BP166:BP169)</f>
        <v>0</v>
      </c>
      <c r="BQ170" s="9"/>
      <c r="BR170" s="102">
        <f>SUM(BR166:BR169)</f>
        <v>0</v>
      </c>
      <c r="BS170" s="9"/>
      <c r="BT170" s="102">
        <f>SUM(BT166:BT169)</f>
        <v>7500</v>
      </c>
      <c r="BU170" s="102">
        <f>SUM(BU166:BU169)</f>
        <v>0</v>
      </c>
      <c r="BV170" s="102">
        <f>SUM(BV166:BV169)</f>
        <v>-7500</v>
      </c>
    </row>
    <row r="171" spans="1:75" s="21" customFormat="1">
      <c r="A171" s="56"/>
      <c r="B171" s="31"/>
      <c r="K171" s="143"/>
      <c r="L171" s="9"/>
      <c r="M171" s="10"/>
      <c r="N171" s="9"/>
      <c r="O171" s="10"/>
      <c r="P171" s="9"/>
      <c r="Q171" s="10"/>
      <c r="R171" s="10"/>
      <c r="S171" s="9"/>
      <c r="T171" s="10"/>
      <c r="U171" s="9"/>
      <c r="V171" s="10"/>
      <c r="W171" s="9"/>
      <c r="X171" s="10"/>
      <c r="Y171" s="9"/>
      <c r="Z171" s="10"/>
      <c r="AA171" s="9"/>
      <c r="AB171" s="10"/>
      <c r="AC171" s="9"/>
      <c r="AD171" s="10"/>
      <c r="AE171" s="9"/>
      <c r="AF171" s="10"/>
      <c r="AG171" s="9"/>
      <c r="AH171" s="10"/>
      <c r="AI171" s="9"/>
      <c r="AJ171" s="10"/>
      <c r="AK171" s="9"/>
      <c r="AL171" s="10"/>
      <c r="AM171" s="9"/>
      <c r="AN171" s="10"/>
      <c r="AO171" s="9"/>
      <c r="AP171" s="10"/>
      <c r="AQ171" s="9"/>
      <c r="AR171" s="10"/>
      <c r="AS171" s="9"/>
      <c r="AT171" s="10"/>
      <c r="AU171" s="10"/>
      <c r="AV171" s="10"/>
      <c r="AW171" s="10"/>
      <c r="AX171" s="10"/>
      <c r="AY171" s="10"/>
      <c r="AZ171" s="10"/>
      <c r="BA171" s="10"/>
      <c r="BB171" s="10"/>
      <c r="BC171" s="10"/>
      <c r="BD171" s="10"/>
      <c r="BE171" s="10"/>
      <c r="BF171" s="10"/>
      <c r="BG171" s="10"/>
      <c r="BH171" s="10"/>
      <c r="BI171" s="10"/>
      <c r="BJ171" s="10"/>
      <c r="BK171" s="9"/>
      <c r="BL171" s="10"/>
      <c r="BM171" s="9"/>
      <c r="BN171" s="10"/>
      <c r="BO171" s="9"/>
      <c r="BP171" s="10"/>
      <c r="BQ171" s="9"/>
      <c r="BR171" s="10"/>
      <c r="BS171" s="9"/>
      <c r="BT171" s="10"/>
      <c r="BU171" s="9"/>
    </row>
    <row r="172" spans="1:75" s="21" customFormat="1">
      <c r="A172" s="56" t="s">
        <v>29</v>
      </c>
      <c r="B172" s="31"/>
      <c r="J172" s="8" t="s">
        <v>0</v>
      </c>
      <c r="L172" s="134" t="s">
        <v>202</v>
      </c>
      <c r="M172" s="9"/>
      <c r="N172" s="9">
        <v>0</v>
      </c>
      <c r="O172" s="9"/>
      <c r="P172" s="9">
        <v>0</v>
      </c>
      <c r="Q172" s="9"/>
      <c r="R172" s="9">
        <v>0</v>
      </c>
      <c r="S172" s="9"/>
      <c r="T172" s="9">
        <v>0</v>
      </c>
      <c r="U172" s="9"/>
      <c r="V172" s="9">
        <v>0</v>
      </c>
      <c r="W172" s="9"/>
      <c r="X172" s="9">
        <v>0</v>
      </c>
      <c r="Y172" s="9"/>
      <c r="Z172" s="9">
        <v>0</v>
      </c>
      <c r="AA172" s="9"/>
      <c r="AB172" s="9">
        <v>0</v>
      </c>
      <c r="AC172" s="9"/>
      <c r="AD172" s="9">
        <v>0</v>
      </c>
      <c r="AE172" s="9"/>
      <c r="AF172" s="9">
        <v>0</v>
      </c>
      <c r="AG172" s="9"/>
      <c r="AH172" s="9">
        <v>0</v>
      </c>
      <c r="AI172" s="9"/>
      <c r="AJ172" s="9">
        <v>0</v>
      </c>
      <c r="AK172" s="9"/>
      <c r="AL172" s="9"/>
      <c r="AM172" s="9"/>
      <c r="AN172" s="9">
        <v>0</v>
      </c>
      <c r="AO172" s="9"/>
      <c r="AP172" s="9">
        <v>0</v>
      </c>
      <c r="AQ172" s="9"/>
      <c r="AR172" s="9">
        <v>0</v>
      </c>
      <c r="AS172" s="9"/>
      <c r="AT172" s="9">
        <v>0</v>
      </c>
      <c r="AU172" s="9"/>
      <c r="AV172" s="9">
        <v>0</v>
      </c>
      <c r="AW172" s="9"/>
      <c r="AX172" s="9">
        <v>0</v>
      </c>
      <c r="AY172" s="9"/>
      <c r="AZ172" s="9">
        <v>0</v>
      </c>
      <c r="BA172" s="9"/>
      <c r="BB172" s="9">
        <v>0</v>
      </c>
      <c r="BC172" s="9"/>
      <c r="BD172" s="9">
        <v>0</v>
      </c>
      <c r="BE172" s="9"/>
      <c r="BF172" s="9">
        <v>0</v>
      </c>
      <c r="BG172" s="9"/>
      <c r="BH172" s="9">
        <v>0</v>
      </c>
      <c r="BI172" s="9"/>
      <c r="BJ172" s="9">
        <v>0</v>
      </c>
      <c r="BK172" s="9"/>
      <c r="BL172" s="9">
        <v>0</v>
      </c>
      <c r="BM172" s="9"/>
      <c r="BN172" s="9">
        <f>SUM(T172:BM172)</f>
        <v>0</v>
      </c>
      <c r="BO172" s="9"/>
      <c r="BP172" s="9">
        <v>0</v>
      </c>
      <c r="BQ172" s="9"/>
      <c r="BR172" s="6">
        <f>IF(+R172-BN172+BP172&gt;0,R172-BN172+BP172,0)</f>
        <v>0</v>
      </c>
      <c r="BS172" s="9"/>
      <c r="BT172" s="9">
        <f>+BN172+BR172</f>
        <v>0</v>
      </c>
      <c r="BU172" s="9"/>
      <c r="BV172" s="9">
        <f>+R172-BT172</f>
        <v>0</v>
      </c>
      <c r="BW172" s="9"/>
    </row>
    <row r="173" spans="1:75" s="21" customFormat="1">
      <c r="A173" s="118"/>
      <c r="B173" s="58"/>
      <c r="J173" s="8"/>
      <c r="L173" s="143"/>
      <c r="M173" s="9"/>
      <c r="N173" s="10"/>
      <c r="O173" s="9"/>
      <c r="P173" s="10"/>
      <c r="Q173" s="9"/>
      <c r="R173" s="10"/>
      <c r="S173" s="9"/>
      <c r="T173" s="10"/>
      <c r="U173" s="9"/>
      <c r="V173" s="10"/>
      <c r="W173" s="9"/>
      <c r="X173" s="10"/>
      <c r="Y173" s="9"/>
      <c r="Z173" s="10"/>
      <c r="AA173" s="9"/>
      <c r="AB173" s="10"/>
      <c r="AC173" s="9"/>
      <c r="AD173" s="10"/>
      <c r="AE173" s="9"/>
      <c r="AF173" s="10"/>
      <c r="AG173" s="9"/>
      <c r="AH173" s="10"/>
      <c r="AI173" s="9"/>
      <c r="AJ173" s="10"/>
      <c r="AK173" s="9"/>
      <c r="AL173" s="10"/>
      <c r="AM173" s="9"/>
      <c r="AN173" s="10"/>
      <c r="AO173" s="9"/>
      <c r="AP173" s="10"/>
      <c r="AQ173" s="9"/>
      <c r="AR173" s="10"/>
      <c r="AS173" s="9"/>
      <c r="AT173" s="10"/>
      <c r="AU173" s="9"/>
      <c r="AV173" s="10"/>
      <c r="AW173" s="10"/>
      <c r="AX173" s="10"/>
      <c r="AY173" s="10"/>
      <c r="AZ173" s="10"/>
      <c r="BA173" s="10"/>
      <c r="BB173" s="10"/>
      <c r="BC173" s="10"/>
      <c r="BD173" s="10"/>
      <c r="BE173" s="10"/>
      <c r="BF173" s="10"/>
      <c r="BG173" s="10"/>
      <c r="BH173" s="10"/>
      <c r="BI173" s="10"/>
      <c r="BJ173" s="10"/>
      <c r="BK173" s="10"/>
      <c r="BL173" s="10"/>
      <c r="BM173" s="9"/>
      <c r="BN173" s="10"/>
      <c r="BO173" s="9"/>
      <c r="BP173" s="10"/>
      <c r="BQ173" s="9"/>
      <c r="BR173" s="10"/>
      <c r="BS173" s="9"/>
      <c r="BT173" s="10"/>
      <c r="BU173" s="9"/>
      <c r="BV173" s="10"/>
      <c r="BW173" s="9"/>
    </row>
    <row r="174" spans="1:75" s="15" customFormat="1">
      <c r="A174" s="111" t="s">
        <v>178</v>
      </c>
      <c r="B174" s="60"/>
      <c r="C174"/>
      <c r="D174"/>
      <c r="E174"/>
      <c r="F174"/>
      <c r="G174"/>
      <c r="H174"/>
      <c r="I174"/>
      <c r="J174" s="49"/>
      <c r="K174"/>
      <c r="L174" s="134"/>
      <c r="M174" s="22"/>
      <c r="N174" s="22"/>
      <c r="O174" s="22"/>
      <c r="P174" s="22"/>
      <c r="Q174" s="22"/>
      <c r="R174" s="22"/>
      <c r="S174" s="22"/>
      <c r="T174" s="22"/>
      <c r="U174" s="22"/>
      <c r="V174" s="22"/>
      <c r="W174" s="22"/>
      <c r="X174" s="22"/>
      <c r="Y174" s="22"/>
      <c r="Z174" s="22"/>
      <c r="AA174" s="22"/>
      <c r="AB174" s="22"/>
      <c r="AC174" s="22"/>
      <c r="AD174" s="22"/>
      <c r="AE174" s="22"/>
      <c r="AF174" s="22"/>
      <c r="AG174" s="22"/>
      <c r="AH174" s="22"/>
      <c r="AI174" s="22"/>
      <c r="AJ174" s="22"/>
      <c r="AK174" s="22"/>
      <c r="AL174" s="22"/>
      <c r="AM174" s="22"/>
      <c r="AN174" s="22"/>
      <c r="AO174" s="22"/>
      <c r="AP174" s="22"/>
      <c r="AQ174" s="22"/>
      <c r="AR174" s="22"/>
      <c r="AS174" s="22"/>
      <c r="AT174" s="22"/>
      <c r="AU174" s="22"/>
      <c r="AV174" s="22"/>
      <c r="AW174" s="22"/>
      <c r="AX174" s="22"/>
      <c r="AY174" s="22"/>
      <c r="AZ174" s="22"/>
      <c r="BA174" s="22"/>
      <c r="BB174" s="22"/>
      <c r="BC174" s="22"/>
      <c r="BD174" s="22"/>
      <c r="BE174" s="22"/>
      <c r="BF174" s="22"/>
      <c r="BG174" s="22"/>
      <c r="BH174" s="22"/>
      <c r="BI174" s="22"/>
      <c r="BJ174" s="22"/>
      <c r="BK174" s="22"/>
      <c r="BL174" s="22"/>
      <c r="BM174" s="22"/>
      <c r="BN174" s="22"/>
      <c r="BO174" s="22"/>
      <c r="BP174" s="22"/>
      <c r="BQ174" s="22"/>
      <c r="BR174" s="22"/>
      <c r="BS174" s="22"/>
      <c r="BT174" s="22"/>
      <c r="BU174" s="22"/>
      <c r="BV174" s="22"/>
      <c r="BW174" s="22"/>
    </row>
    <row r="175" spans="1:75" s="15" customFormat="1" hidden="1">
      <c r="A175" s="14"/>
      <c r="B175" s="60" t="s">
        <v>179</v>
      </c>
      <c r="C175"/>
      <c r="D175"/>
      <c r="E175"/>
      <c r="F175"/>
      <c r="G175"/>
      <c r="H175"/>
      <c r="I175"/>
      <c r="J175" s="49"/>
      <c r="K175"/>
      <c r="L175" s="134" t="s">
        <v>202</v>
      </c>
      <c r="M175" s="22"/>
      <c r="N175" s="22">
        <v>0</v>
      </c>
      <c r="O175" s="22"/>
      <c r="P175" s="22">
        <v>0</v>
      </c>
      <c r="Q175" s="22"/>
      <c r="R175" s="6">
        <f>+N175+P175</f>
        <v>0</v>
      </c>
      <c r="S175" s="22"/>
      <c r="T175" s="22">
        <v>0</v>
      </c>
      <c r="U175" s="22"/>
      <c r="V175" s="22">
        <v>0</v>
      </c>
      <c r="W175" s="22"/>
      <c r="X175" s="22">
        <v>0</v>
      </c>
      <c r="Y175" s="22"/>
      <c r="Z175" s="22">
        <v>0</v>
      </c>
      <c r="AA175" s="22"/>
      <c r="AB175" s="22">
        <v>0</v>
      </c>
      <c r="AC175" s="22"/>
      <c r="AD175" s="22">
        <v>0</v>
      </c>
      <c r="AE175" s="22"/>
      <c r="AF175" s="22">
        <v>0</v>
      </c>
      <c r="AG175" s="22"/>
      <c r="AH175" s="22">
        <v>0</v>
      </c>
      <c r="AI175" s="22"/>
      <c r="AJ175" s="22">
        <v>0</v>
      </c>
      <c r="AK175" s="22"/>
      <c r="AL175" s="22"/>
      <c r="AM175" s="22"/>
      <c r="AN175" s="22">
        <v>0</v>
      </c>
      <c r="AO175" s="22"/>
      <c r="AP175" s="22">
        <v>0</v>
      </c>
      <c r="AQ175" s="22"/>
      <c r="AR175" s="22">
        <v>0</v>
      </c>
      <c r="AS175" s="22"/>
      <c r="AT175" s="22">
        <v>0</v>
      </c>
      <c r="AU175" s="22"/>
      <c r="AV175" s="22">
        <v>0</v>
      </c>
      <c r="AW175" s="22"/>
      <c r="AX175" s="22">
        <v>0</v>
      </c>
      <c r="AY175" s="22"/>
      <c r="AZ175" s="22">
        <v>0</v>
      </c>
      <c r="BA175" s="22"/>
      <c r="BB175" s="22">
        <v>0</v>
      </c>
      <c r="BC175" s="22"/>
      <c r="BD175" s="22">
        <v>0</v>
      </c>
      <c r="BE175" s="22"/>
      <c r="BF175" s="22">
        <v>0</v>
      </c>
      <c r="BG175" s="22"/>
      <c r="BH175" s="22">
        <v>0</v>
      </c>
      <c r="BI175" s="22"/>
      <c r="BJ175" s="22">
        <v>0</v>
      </c>
      <c r="BK175" s="22"/>
      <c r="BL175" s="22">
        <v>0</v>
      </c>
      <c r="BM175" s="22"/>
      <c r="BN175" s="22">
        <f>SUM(T175:BM175)</f>
        <v>0</v>
      </c>
      <c r="BO175" s="22"/>
      <c r="BP175" s="22">
        <v>0</v>
      </c>
      <c r="BQ175" s="22"/>
      <c r="BR175" s="22">
        <f>+R175-BN175+BP175</f>
        <v>0</v>
      </c>
      <c r="BS175" s="22"/>
      <c r="BT175" s="6">
        <f>+BN175+BR175</f>
        <v>0</v>
      </c>
      <c r="BU175" s="22"/>
      <c r="BV175" s="6">
        <f>+R175-BT175</f>
        <v>0</v>
      </c>
      <c r="BW175" s="22"/>
    </row>
    <row r="176" spans="1:75" s="15" customFormat="1">
      <c r="A176" s="14"/>
      <c r="B176" s="60" t="s">
        <v>180</v>
      </c>
      <c r="C176"/>
      <c r="D176"/>
      <c r="E176"/>
      <c r="F176"/>
      <c r="G176"/>
      <c r="H176"/>
      <c r="I176"/>
      <c r="J176" s="49"/>
      <c r="K176"/>
      <c r="L176" s="134" t="s">
        <v>202</v>
      </c>
      <c r="M176" s="22"/>
      <c r="N176" s="22">
        <v>0</v>
      </c>
      <c r="O176" s="22"/>
      <c r="P176" s="22">
        <v>0</v>
      </c>
      <c r="Q176" s="22"/>
      <c r="R176" s="6">
        <v>0</v>
      </c>
      <c r="S176" s="22"/>
      <c r="T176" s="22">
        <v>0</v>
      </c>
      <c r="U176" s="22"/>
      <c r="V176" s="22">
        <v>0</v>
      </c>
      <c r="W176" s="22"/>
      <c r="X176" s="22">
        <v>0</v>
      </c>
      <c r="Y176" s="22"/>
      <c r="Z176" s="22">
        <v>0</v>
      </c>
      <c r="AA176" s="22"/>
      <c r="AB176" s="22">
        <v>0</v>
      </c>
      <c r="AC176" s="22"/>
      <c r="AD176" s="22">
        <v>0</v>
      </c>
      <c r="AE176" s="22"/>
      <c r="AF176" s="22">
        <v>0</v>
      </c>
      <c r="AG176" s="22"/>
      <c r="AH176" s="22">
        <v>0</v>
      </c>
      <c r="AI176" s="22"/>
      <c r="AJ176" s="22">
        <v>0</v>
      </c>
      <c r="AK176" s="22"/>
      <c r="AL176" s="22"/>
      <c r="AM176" s="22"/>
      <c r="AN176" s="22">
        <v>0</v>
      </c>
      <c r="AO176" s="22"/>
      <c r="AP176" s="22">
        <v>0</v>
      </c>
      <c r="AQ176" s="22"/>
      <c r="AR176" s="22">
        <v>0</v>
      </c>
      <c r="AS176" s="22"/>
      <c r="AT176" s="22">
        <v>0</v>
      </c>
      <c r="AU176" s="22"/>
      <c r="AV176" s="22">
        <v>0</v>
      </c>
      <c r="AW176" s="22"/>
      <c r="AX176" s="22">
        <v>0</v>
      </c>
      <c r="AY176" s="22"/>
      <c r="AZ176" s="22">
        <v>0</v>
      </c>
      <c r="BA176" s="22"/>
      <c r="BB176" s="22">
        <v>0</v>
      </c>
      <c r="BC176" s="22"/>
      <c r="BD176" s="22">
        <v>0</v>
      </c>
      <c r="BE176" s="22"/>
      <c r="BF176" s="22">
        <v>0</v>
      </c>
      <c r="BG176" s="22"/>
      <c r="BH176" s="22">
        <v>0</v>
      </c>
      <c r="BI176" s="22"/>
      <c r="BJ176" s="22">
        <v>0</v>
      </c>
      <c r="BK176" s="22"/>
      <c r="BL176" s="22">
        <v>0</v>
      </c>
      <c r="BM176" s="22"/>
      <c r="BN176" s="22">
        <f>SUM(T176:BM176)</f>
        <v>0</v>
      </c>
      <c r="BO176" s="22"/>
      <c r="BP176" s="22">
        <v>0</v>
      </c>
      <c r="BQ176" s="22"/>
      <c r="BR176" s="6">
        <f>IF(+R176-BN176+BP176&gt;0,R176-BN176+BP176,0)</f>
        <v>0</v>
      </c>
      <c r="BS176" s="22"/>
      <c r="BT176" s="6">
        <f>+BN176+BR176</f>
        <v>0</v>
      </c>
      <c r="BU176" s="22"/>
      <c r="BV176" s="6">
        <f>+R176-BT176</f>
        <v>0</v>
      </c>
      <c r="BW176" s="22"/>
    </row>
    <row r="177" spans="1:124" s="15" customFormat="1" hidden="1">
      <c r="A177" s="14"/>
      <c r="B177" s="60" t="s">
        <v>121</v>
      </c>
      <c r="C177"/>
      <c r="D177"/>
      <c r="E177"/>
      <c r="F177"/>
      <c r="G177"/>
      <c r="H177"/>
      <c r="I177"/>
      <c r="J177" s="49"/>
      <c r="K177"/>
      <c r="L177" s="134" t="s">
        <v>202</v>
      </c>
      <c r="M177" s="22"/>
      <c r="N177" s="22">
        <v>0</v>
      </c>
      <c r="O177" s="22"/>
      <c r="P177" s="22">
        <v>0</v>
      </c>
      <c r="Q177" s="22"/>
      <c r="R177" s="6">
        <v>0</v>
      </c>
      <c r="S177" s="22"/>
      <c r="T177" s="22">
        <v>0</v>
      </c>
      <c r="U177" s="22"/>
      <c r="V177" s="22">
        <v>0</v>
      </c>
      <c r="W177" s="22"/>
      <c r="X177" s="22">
        <v>0</v>
      </c>
      <c r="Y177" s="22"/>
      <c r="Z177" s="22">
        <v>0</v>
      </c>
      <c r="AA177" s="22"/>
      <c r="AB177" s="22">
        <v>0</v>
      </c>
      <c r="AC177" s="22"/>
      <c r="AD177" s="22">
        <v>0</v>
      </c>
      <c r="AE177" s="22"/>
      <c r="AF177" s="22">
        <v>0</v>
      </c>
      <c r="AG177" s="22"/>
      <c r="AH177" s="22">
        <v>0</v>
      </c>
      <c r="AI177" s="22"/>
      <c r="AJ177" s="22">
        <v>0</v>
      </c>
      <c r="AK177" s="22"/>
      <c r="AL177" s="22"/>
      <c r="AM177" s="22"/>
      <c r="AN177" s="22">
        <v>0</v>
      </c>
      <c r="AO177" s="22"/>
      <c r="AP177" s="22">
        <v>0</v>
      </c>
      <c r="AQ177" s="22"/>
      <c r="AR177" s="22">
        <v>0</v>
      </c>
      <c r="AS177" s="22"/>
      <c r="AT177" s="22">
        <v>0</v>
      </c>
      <c r="AU177" s="22"/>
      <c r="AV177" s="22">
        <v>0</v>
      </c>
      <c r="AW177" s="22"/>
      <c r="AX177" s="22">
        <v>0</v>
      </c>
      <c r="AY177" s="22"/>
      <c r="AZ177" s="22">
        <v>0</v>
      </c>
      <c r="BA177" s="22"/>
      <c r="BB177" s="22">
        <v>0</v>
      </c>
      <c r="BC177" s="22"/>
      <c r="BD177" s="22">
        <v>0</v>
      </c>
      <c r="BE177" s="22"/>
      <c r="BF177" s="22">
        <v>0</v>
      </c>
      <c r="BG177" s="22"/>
      <c r="BH177" s="22">
        <v>0</v>
      </c>
      <c r="BI177" s="22"/>
      <c r="BJ177" s="22">
        <v>0</v>
      </c>
      <c r="BK177" s="22"/>
      <c r="BL177" s="22">
        <v>0</v>
      </c>
      <c r="BM177" s="22"/>
      <c r="BN177" s="22">
        <f>SUM(T177:BM177)</f>
        <v>0</v>
      </c>
      <c r="BO177" s="22"/>
      <c r="BP177" s="22">
        <v>0</v>
      </c>
      <c r="BQ177" s="22"/>
      <c r="BR177" s="22">
        <f>+R177-BN177+BP177</f>
        <v>0</v>
      </c>
      <c r="BS177" s="22"/>
      <c r="BT177" s="6">
        <f>+BN177+BR177</f>
        <v>0</v>
      </c>
      <c r="BU177" s="22"/>
      <c r="BV177" s="6">
        <f>+R177-BT177</f>
        <v>0</v>
      </c>
      <c r="BW177" s="22"/>
    </row>
    <row r="178" spans="1:124" s="104" customFormat="1">
      <c r="A178" s="111"/>
      <c r="B178" s="77" t="s">
        <v>181</v>
      </c>
      <c r="C178" s="21"/>
      <c r="D178" s="21"/>
      <c r="E178" s="21"/>
      <c r="F178" s="21"/>
      <c r="G178" s="21"/>
      <c r="H178" s="21"/>
      <c r="I178" s="21"/>
      <c r="J178" s="8"/>
      <c r="K178" s="21"/>
      <c r="L178" s="143"/>
      <c r="M178" s="16"/>
      <c r="N178" s="108">
        <f>SUM(N175:N177)</f>
        <v>0</v>
      </c>
      <c r="O178" s="16"/>
      <c r="P178" s="108">
        <f>SUM(P175:P177)</f>
        <v>0</v>
      </c>
      <c r="Q178" s="16"/>
      <c r="R178" s="108">
        <f>SUM(R175:R177)</f>
        <v>0</v>
      </c>
      <c r="S178" s="16"/>
      <c r="T178" s="108">
        <f>SUM(T175:T177)</f>
        <v>0</v>
      </c>
      <c r="U178" s="16"/>
      <c r="V178" s="108">
        <f>SUM(V175:V177)</f>
        <v>0</v>
      </c>
      <c r="W178" s="16"/>
      <c r="X178" s="108">
        <f>SUM(X175:X177)</f>
        <v>0</v>
      </c>
      <c r="Y178" s="16"/>
      <c r="Z178" s="108">
        <f>SUM(Z175:Z177)</f>
        <v>0</v>
      </c>
      <c r="AA178" s="16"/>
      <c r="AB178" s="108">
        <f>SUM(AB175:AB177)</f>
        <v>0</v>
      </c>
      <c r="AC178" s="16"/>
      <c r="AD178" s="108">
        <f>SUM(AD175:AD177)</f>
        <v>0</v>
      </c>
      <c r="AE178" s="16"/>
      <c r="AF178" s="108">
        <f>SUM(AF175:AF177)</f>
        <v>0</v>
      </c>
      <c r="AG178" s="16"/>
      <c r="AH178" s="108">
        <f>SUM(AH175:AH177)</f>
        <v>0</v>
      </c>
      <c r="AI178" s="16"/>
      <c r="AJ178" s="108">
        <f>SUM(AJ175:AJ177)</f>
        <v>0</v>
      </c>
      <c r="AK178" s="16"/>
      <c r="AL178" s="108">
        <f>SUM(AL175:AL177)</f>
        <v>0</v>
      </c>
      <c r="AM178" s="108"/>
      <c r="AN178" s="108">
        <f>SUM(AN175:AN177)</f>
        <v>0</v>
      </c>
      <c r="AO178" s="16"/>
      <c r="AP178" s="108">
        <f>SUM(AP175:AP177)</f>
        <v>0</v>
      </c>
      <c r="AQ178" s="16"/>
      <c r="AR178" s="108">
        <f>SUM(AR175:AR177)</f>
        <v>0</v>
      </c>
      <c r="AS178" s="16"/>
      <c r="AT178" s="108">
        <f>SUM(AT175:AT177)</f>
        <v>0</v>
      </c>
      <c r="AU178" s="16"/>
      <c r="AV178" s="108">
        <f>SUM(AV175:AV177)</f>
        <v>0</v>
      </c>
      <c r="AW178" s="103"/>
      <c r="AX178" s="108">
        <f>SUM(AX175:AX177)</f>
        <v>0</v>
      </c>
      <c r="AY178" s="103"/>
      <c r="AZ178" s="108">
        <f>SUM(AZ175:AZ177)</f>
        <v>0</v>
      </c>
      <c r="BA178" s="103"/>
      <c r="BB178" s="108">
        <f>SUM(BB175:BB177)</f>
        <v>0</v>
      </c>
      <c r="BC178" s="103"/>
      <c r="BD178" s="108">
        <f>SUM(BD175:BD177)</f>
        <v>0</v>
      </c>
      <c r="BE178" s="103"/>
      <c r="BF178" s="108">
        <f>SUM(BF175:BF177)</f>
        <v>0</v>
      </c>
      <c r="BG178" s="103"/>
      <c r="BH178" s="108">
        <f>SUM(BH175:BH177)</f>
        <v>0</v>
      </c>
      <c r="BI178" s="103"/>
      <c r="BJ178" s="108">
        <f>SUM(BJ175:BJ177)</f>
        <v>0</v>
      </c>
      <c r="BK178" s="103"/>
      <c r="BL178" s="108">
        <f>SUM(BL175:BL177)</f>
        <v>0</v>
      </c>
      <c r="BM178" s="16"/>
      <c r="BN178" s="108">
        <f>SUM(BN175:BN177)</f>
        <v>0</v>
      </c>
      <c r="BO178" s="16"/>
      <c r="BP178" s="108">
        <f>SUM(BP175:BP177)</f>
        <v>0</v>
      </c>
      <c r="BQ178" s="16"/>
      <c r="BR178" s="108">
        <f>SUM(BR175:BR177)</f>
        <v>0</v>
      </c>
      <c r="BS178" s="16"/>
      <c r="BT178" s="108">
        <f>SUM(BT175:BT177)</f>
        <v>0</v>
      </c>
      <c r="BU178" s="16"/>
      <c r="BV178" s="108">
        <f>SUM(BV175:BV177)</f>
        <v>0</v>
      </c>
      <c r="BW178" s="16"/>
    </row>
    <row r="179" spans="1:124" s="104" customFormat="1">
      <c r="A179" s="32"/>
      <c r="B179" s="77"/>
      <c r="C179" s="21"/>
      <c r="D179" s="21"/>
      <c r="E179" s="21"/>
      <c r="F179" s="21"/>
      <c r="G179" s="21"/>
      <c r="H179" s="21"/>
      <c r="I179" s="21"/>
      <c r="J179" s="8"/>
      <c r="K179" s="21"/>
      <c r="L179" s="143"/>
      <c r="M179" s="16"/>
      <c r="N179" s="103"/>
      <c r="O179" s="16"/>
      <c r="P179" s="103"/>
      <c r="Q179" s="16"/>
      <c r="R179" s="103"/>
      <c r="S179" s="16"/>
      <c r="T179" s="103"/>
      <c r="U179" s="16"/>
      <c r="V179" s="103"/>
      <c r="W179" s="16"/>
      <c r="X179" s="103"/>
      <c r="Y179" s="16"/>
      <c r="Z179" s="103"/>
      <c r="AA179" s="16"/>
      <c r="AB179" s="103"/>
      <c r="AC179" s="16"/>
      <c r="AD179" s="103"/>
      <c r="AE179" s="16"/>
      <c r="AF179" s="103"/>
      <c r="AG179" s="16"/>
      <c r="AH179" s="103"/>
      <c r="AI179" s="16"/>
      <c r="AJ179" s="103"/>
      <c r="AK179" s="16"/>
      <c r="AL179" s="103"/>
      <c r="AM179" s="16"/>
      <c r="AN179" s="103"/>
      <c r="AO179" s="16"/>
      <c r="AP179" s="103"/>
      <c r="AQ179" s="16"/>
      <c r="AR179" s="103"/>
      <c r="AS179" s="16"/>
      <c r="AT179" s="103"/>
      <c r="AU179" s="16"/>
      <c r="AV179" s="103"/>
      <c r="AW179" s="103"/>
      <c r="AX179" s="103"/>
      <c r="AY179" s="103"/>
      <c r="AZ179" s="103"/>
      <c r="BA179" s="103"/>
      <c r="BB179" s="103"/>
      <c r="BC179" s="103"/>
      <c r="BD179" s="103"/>
      <c r="BE179" s="103"/>
      <c r="BF179" s="103"/>
      <c r="BG179" s="103"/>
      <c r="BH179" s="103"/>
      <c r="BI179" s="103"/>
      <c r="BJ179" s="103"/>
      <c r="BK179" s="103"/>
      <c r="BL179" s="103"/>
      <c r="BM179" s="16"/>
      <c r="BN179" s="103"/>
      <c r="BO179" s="16"/>
      <c r="BP179" s="103"/>
      <c r="BQ179" s="16"/>
      <c r="BR179" s="103"/>
      <c r="BS179" s="16"/>
      <c r="BT179" s="103"/>
      <c r="BU179" s="16"/>
      <c r="BV179" s="103"/>
      <c r="BW179" s="16"/>
    </row>
    <row r="180" spans="1:124" s="31" customFormat="1">
      <c r="A180" s="58" t="s">
        <v>31</v>
      </c>
      <c r="J180" s="159"/>
      <c r="L180" s="145" t="s">
        <v>202</v>
      </c>
      <c r="M180" s="10"/>
      <c r="N180" s="10">
        <v>0</v>
      </c>
      <c r="O180" s="10"/>
      <c r="P180" s="10">
        <v>0</v>
      </c>
      <c r="Q180" s="10"/>
      <c r="R180" s="9">
        <v>0</v>
      </c>
      <c r="S180" s="10"/>
      <c r="T180" s="10">
        <v>0</v>
      </c>
      <c r="U180" s="10"/>
      <c r="V180" s="10">
        <v>0</v>
      </c>
      <c r="W180" s="10"/>
      <c r="X180" s="10">
        <v>0</v>
      </c>
      <c r="Y180" s="10"/>
      <c r="Z180" s="10">
        <v>0</v>
      </c>
      <c r="AA180" s="10"/>
      <c r="AB180" s="10">
        <v>0</v>
      </c>
      <c r="AC180" s="10"/>
      <c r="AD180" s="10">
        <v>0</v>
      </c>
      <c r="AE180" s="10"/>
      <c r="AF180" s="10">
        <v>0</v>
      </c>
      <c r="AG180" s="10"/>
      <c r="AH180" s="10">
        <v>0</v>
      </c>
      <c r="AI180" s="10"/>
      <c r="AJ180" s="10">
        <v>0</v>
      </c>
      <c r="AK180" s="10"/>
      <c r="AL180" s="10"/>
      <c r="AM180" s="10"/>
      <c r="AN180" s="10">
        <v>0</v>
      </c>
      <c r="AO180" s="10"/>
      <c r="AP180" s="10">
        <v>0</v>
      </c>
      <c r="AQ180" s="10"/>
      <c r="AR180" s="10">
        <v>0</v>
      </c>
      <c r="AS180" s="10"/>
      <c r="AT180" s="10">
        <v>0</v>
      </c>
      <c r="AU180" s="10"/>
      <c r="AV180" s="10">
        <v>0</v>
      </c>
      <c r="AW180" s="10"/>
      <c r="AX180" s="10">
        <v>0</v>
      </c>
      <c r="AY180" s="10"/>
      <c r="AZ180" s="10">
        <v>0</v>
      </c>
      <c r="BA180" s="10"/>
      <c r="BB180" s="10">
        <v>0</v>
      </c>
      <c r="BC180" s="10"/>
      <c r="BD180" s="10">
        <v>0</v>
      </c>
      <c r="BE180" s="10"/>
      <c r="BF180" s="10">
        <v>0</v>
      </c>
      <c r="BG180" s="10"/>
      <c r="BH180" s="10">
        <v>0</v>
      </c>
      <c r="BI180" s="10"/>
      <c r="BJ180" s="10">
        <v>0</v>
      </c>
      <c r="BK180" s="10"/>
      <c r="BL180" s="10">
        <v>0</v>
      </c>
      <c r="BM180" s="10"/>
      <c r="BN180" s="10">
        <f>SUM(T180:BM180)</f>
        <v>0</v>
      </c>
      <c r="BO180" s="10"/>
      <c r="BP180" s="10">
        <v>0</v>
      </c>
      <c r="BQ180" s="10"/>
      <c r="BR180" s="6">
        <f>IF(+R180-BN180+BP180&gt;0,R180-BN180+BP180,0)</f>
        <v>0</v>
      </c>
      <c r="BS180" s="10"/>
      <c r="BT180" s="9">
        <f>+BN180+BR180</f>
        <v>0</v>
      </c>
      <c r="BU180" s="10"/>
      <c r="BV180" s="9">
        <f>+R180-BT180</f>
        <v>0</v>
      </c>
      <c r="BW180" s="10"/>
    </row>
    <row r="181" spans="1:124" s="15" customFormat="1">
      <c r="A181" s="14"/>
      <c r="B181" s="60"/>
      <c r="C181"/>
      <c r="D181"/>
      <c r="E181"/>
      <c r="F181"/>
      <c r="G181"/>
      <c r="H181"/>
      <c r="I181"/>
      <c r="J181" s="49"/>
      <c r="K181"/>
      <c r="L181" s="134"/>
      <c r="M181" s="22"/>
      <c r="N181" s="22"/>
      <c r="O181" s="22"/>
      <c r="P181" s="22"/>
      <c r="Q181" s="22"/>
      <c r="R181" s="22"/>
      <c r="S181" s="22"/>
      <c r="T181" s="22"/>
      <c r="U181" s="22"/>
      <c r="V181" s="22"/>
      <c r="W181" s="22"/>
      <c r="X181" s="22"/>
      <c r="Y181" s="22"/>
      <c r="Z181" s="22"/>
      <c r="AA181" s="22"/>
      <c r="AB181" s="22"/>
      <c r="AC181" s="22"/>
      <c r="AD181" s="22"/>
      <c r="AE181" s="22"/>
      <c r="AF181" s="22"/>
      <c r="AG181" s="22"/>
      <c r="AH181" s="22"/>
      <c r="AI181" s="22"/>
      <c r="AJ181" s="22"/>
      <c r="AK181" s="22"/>
      <c r="AL181" s="22"/>
      <c r="AM181" s="22"/>
      <c r="AN181" s="22"/>
      <c r="AO181" s="22"/>
      <c r="AP181" s="22"/>
      <c r="AQ181" s="22"/>
      <c r="AR181" s="22"/>
      <c r="AS181" s="22"/>
      <c r="AT181" s="22"/>
      <c r="AU181" s="22"/>
      <c r="AV181" s="22"/>
      <c r="AW181" s="22"/>
      <c r="AX181" s="22"/>
      <c r="AY181" s="22"/>
      <c r="AZ181" s="22"/>
      <c r="BA181" s="22"/>
      <c r="BB181" s="22"/>
      <c r="BC181" s="22"/>
      <c r="BD181" s="22"/>
      <c r="BE181" s="22"/>
      <c r="BF181" s="22"/>
      <c r="BG181" s="22"/>
      <c r="BH181" s="22"/>
      <c r="BI181" s="22"/>
      <c r="BJ181" s="22"/>
      <c r="BK181" s="22"/>
      <c r="BL181" s="22"/>
      <c r="BM181" s="22"/>
      <c r="BN181" s="22"/>
      <c r="BO181" s="22"/>
      <c r="BP181" s="22"/>
      <c r="BQ181" s="22"/>
      <c r="BR181" s="22"/>
      <c r="BS181" s="22"/>
      <c r="BT181" s="22"/>
      <c r="BU181" s="22"/>
      <c r="BV181" s="22"/>
      <c r="BW181" s="22"/>
    </row>
    <row r="182" spans="1:124" s="31" customFormat="1">
      <c r="A182" s="58" t="s">
        <v>32</v>
      </c>
      <c r="J182" s="159"/>
      <c r="L182" s="145" t="s">
        <v>202</v>
      </c>
      <c r="M182" s="10"/>
      <c r="N182" s="10">
        <v>0</v>
      </c>
      <c r="O182" s="10"/>
      <c r="P182" s="10">
        <v>0</v>
      </c>
      <c r="Q182" s="10"/>
      <c r="R182" s="9">
        <v>0</v>
      </c>
      <c r="S182" s="10"/>
      <c r="T182" s="10">
        <v>0</v>
      </c>
      <c r="U182" s="10"/>
      <c r="V182" s="10">
        <v>0</v>
      </c>
      <c r="W182" s="10"/>
      <c r="X182" s="10"/>
      <c r="Y182" s="10"/>
      <c r="Z182" s="10">
        <v>0</v>
      </c>
      <c r="AA182" s="10"/>
      <c r="AB182" s="10">
        <v>4234.96</v>
      </c>
      <c r="AC182" s="10"/>
      <c r="AD182" s="10">
        <f>5808.82+4463.57+8741.21+1074.93+910.57</f>
        <v>20999.1</v>
      </c>
      <c r="AE182" s="10"/>
      <c r="AF182" s="10">
        <v>10759.47</v>
      </c>
      <c r="AG182" s="10"/>
      <c r="AH182" s="10">
        <v>6023.47</v>
      </c>
      <c r="AI182" s="10"/>
      <c r="AJ182" s="10">
        <v>6145.77</v>
      </c>
      <c r="AK182" s="10"/>
      <c r="AL182" s="10">
        <v>-48163</v>
      </c>
      <c r="AM182" s="10"/>
      <c r="AN182" s="10">
        <v>0</v>
      </c>
      <c r="AO182" s="10"/>
      <c r="AP182" s="10">
        <v>0</v>
      </c>
      <c r="AQ182" s="10"/>
      <c r="AR182" s="10">
        <v>0</v>
      </c>
      <c r="AS182" s="10"/>
      <c r="AT182" s="10">
        <v>0</v>
      </c>
      <c r="AU182" s="10"/>
      <c r="AV182" s="10">
        <v>0</v>
      </c>
      <c r="AW182" s="10"/>
      <c r="AX182" s="10">
        <v>0</v>
      </c>
      <c r="AY182" s="10"/>
      <c r="AZ182" s="10">
        <v>0</v>
      </c>
      <c r="BA182" s="10"/>
      <c r="BB182" s="10">
        <v>0</v>
      </c>
      <c r="BC182" s="10"/>
      <c r="BD182" s="10">
        <v>0</v>
      </c>
      <c r="BE182" s="10"/>
      <c r="BF182" s="10">
        <v>0</v>
      </c>
      <c r="BG182" s="10"/>
      <c r="BH182" s="10">
        <v>0</v>
      </c>
      <c r="BI182" s="10"/>
      <c r="BJ182" s="10">
        <v>0</v>
      </c>
      <c r="BK182" s="10"/>
      <c r="BL182" s="10">
        <v>0</v>
      </c>
      <c r="BM182" s="10"/>
      <c r="BN182" s="10">
        <f>SUM(T182:BM182)</f>
        <v>-0.22999999999592546</v>
      </c>
      <c r="BO182" s="10"/>
      <c r="BP182" s="10">
        <v>0</v>
      </c>
      <c r="BQ182" s="10"/>
      <c r="BR182" s="6">
        <f>IF(+R182-BN182+BP182&gt;0,R182-BN182+BP182,0)</f>
        <v>0.22999999999592546</v>
      </c>
      <c r="BS182" s="10"/>
      <c r="BT182" s="9">
        <f>+BN182+BR182</f>
        <v>0</v>
      </c>
      <c r="BU182" s="10"/>
      <c r="BV182" s="9">
        <f>+R182-BT182</f>
        <v>0</v>
      </c>
      <c r="BW182" s="10"/>
    </row>
    <row r="183" spans="1:124" s="15" customFormat="1">
      <c r="A183" s="14"/>
      <c r="B183" s="60"/>
      <c r="C183"/>
      <c r="D183"/>
      <c r="E183"/>
      <c r="F183"/>
      <c r="G183"/>
      <c r="H183"/>
      <c r="I183"/>
      <c r="J183" s="49"/>
      <c r="K183"/>
      <c r="L183" s="134"/>
      <c r="M183" s="22"/>
      <c r="N183" s="22"/>
      <c r="O183" s="22"/>
      <c r="P183" s="22"/>
      <c r="Q183" s="22"/>
      <c r="R183" s="22"/>
      <c r="S183" s="22"/>
      <c r="T183" s="22"/>
      <c r="U183" s="22"/>
      <c r="V183" s="22"/>
      <c r="W183" s="22"/>
      <c r="X183" s="22"/>
      <c r="Y183" s="22"/>
      <c r="Z183" s="22"/>
      <c r="AA183" s="22"/>
      <c r="AB183" s="22"/>
      <c r="AC183" s="22"/>
      <c r="AD183" s="22"/>
      <c r="AE183" s="22"/>
      <c r="AF183" s="22"/>
      <c r="AG183" s="22"/>
      <c r="AH183" s="22"/>
      <c r="AI183" s="22"/>
      <c r="AJ183" s="22"/>
      <c r="AK183" s="22"/>
      <c r="AL183" s="22"/>
      <c r="AM183" s="22"/>
      <c r="AN183" s="22"/>
      <c r="AO183" s="22"/>
      <c r="AP183" s="22"/>
      <c r="AQ183" s="22"/>
      <c r="AR183" s="22"/>
      <c r="AS183" s="22"/>
      <c r="AT183" s="22"/>
      <c r="AU183" s="22"/>
      <c r="AV183" s="22"/>
      <c r="AW183" s="22"/>
      <c r="AX183" s="22"/>
      <c r="AY183" s="22"/>
      <c r="AZ183" s="22"/>
      <c r="BA183" s="22"/>
      <c r="BB183" s="22"/>
      <c r="BC183" s="22"/>
      <c r="BD183" s="22"/>
      <c r="BE183" s="22"/>
      <c r="BF183" s="22"/>
      <c r="BG183" s="22"/>
      <c r="BH183" s="22"/>
      <c r="BI183" s="22"/>
      <c r="BJ183" s="22"/>
      <c r="BK183" s="22"/>
      <c r="BL183" s="22"/>
      <c r="BM183" s="22"/>
      <c r="BN183" s="22"/>
      <c r="BO183" s="22"/>
      <c r="BP183" s="22"/>
      <c r="BQ183" s="22"/>
      <c r="BR183" s="22"/>
      <c r="BS183" s="22"/>
      <c r="BT183" s="22"/>
      <c r="BU183" s="22"/>
      <c r="BV183" s="22"/>
      <c r="BW183" s="22"/>
    </row>
    <row r="184" spans="1:124">
      <c r="A184" s="56" t="s">
        <v>33</v>
      </c>
      <c r="B184" s="11"/>
      <c r="C184"/>
      <c r="D184"/>
      <c r="E184"/>
      <c r="F184"/>
      <c r="G184"/>
      <c r="H184"/>
      <c r="I184"/>
      <c r="J184" s="49"/>
      <c r="K184"/>
      <c r="L184" s="134"/>
      <c r="M184" s="6"/>
      <c r="O184" s="6"/>
      <c r="Q184" s="6"/>
      <c r="S184" s="6"/>
      <c r="T184" s="6"/>
      <c r="U184" s="6"/>
      <c r="V184" s="6"/>
      <c r="X184" s="6"/>
      <c r="Z184" s="6"/>
      <c r="AB184" s="6"/>
      <c r="AD184" s="6"/>
      <c r="BL184" s="6"/>
      <c r="BM184" s="6"/>
      <c r="BO184" s="6"/>
      <c r="BP184" s="6"/>
      <c r="BQ184" s="6"/>
      <c r="BW184" s="6"/>
    </row>
    <row r="185" spans="1:124" s="11" customFormat="1">
      <c r="A185" s="17"/>
      <c r="B185" s="11" t="s">
        <v>184</v>
      </c>
      <c r="J185" s="160"/>
      <c r="L185" s="146" t="s">
        <v>203</v>
      </c>
      <c r="M185" s="12"/>
      <c r="N185" s="12">
        <v>200000</v>
      </c>
      <c r="O185" s="12"/>
      <c r="P185" s="12">
        <v>0</v>
      </c>
      <c r="Q185" s="12"/>
      <c r="R185" s="6">
        <v>0</v>
      </c>
      <c r="S185" s="12"/>
      <c r="T185" s="12">
        <v>0</v>
      </c>
      <c r="U185" s="12"/>
      <c r="V185" s="12">
        <v>0</v>
      </c>
      <c r="W185" s="12"/>
      <c r="X185" s="12">
        <v>21983.72</v>
      </c>
      <c r="Y185" s="12"/>
      <c r="Z185" s="12">
        <v>0</v>
      </c>
      <c r="AA185" s="12"/>
      <c r="AB185" s="12">
        <v>0</v>
      </c>
      <c r="AC185" s="12"/>
      <c r="AD185" s="12">
        <v>0</v>
      </c>
      <c r="AE185" s="12"/>
      <c r="AF185" s="12"/>
      <c r="AG185" s="12"/>
      <c r="AH185" s="12">
        <v>0</v>
      </c>
      <c r="AI185" s="12"/>
      <c r="AJ185" s="12">
        <v>0</v>
      </c>
      <c r="AK185" s="12"/>
      <c r="AL185" s="12">
        <v>14449</v>
      </c>
      <c r="AM185" s="12"/>
      <c r="AN185" s="12">
        <v>0</v>
      </c>
      <c r="AO185" s="12"/>
      <c r="AP185" s="12">
        <v>0</v>
      </c>
      <c r="AQ185" s="12"/>
      <c r="AR185" s="12">
        <v>0</v>
      </c>
      <c r="AS185" s="12"/>
      <c r="AT185" s="12">
        <v>0</v>
      </c>
      <c r="AU185" s="12"/>
      <c r="AV185" s="12">
        <v>0</v>
      </c>
      <c r="AW185" s="12"/>
      <c r="AX185" s="12">
        <v>0</v>
      </c>
      <c r="AY185" s="12"/>
      <c r="AZ185" s="12">
        <v>0</v>
      </c>
      <c r="BA185" s="12"/>
      <c r="BB185" s="12">
        <v>0</v>
      </c>
      <c r="BC185" s="12"/>
      <c r="BD185" s="12">
        <v>0</v>
      </c>
      <c r="BE185" s="12"/>
      <c r="BF185" s="12">
        <v>0</v>
      </c>
      <c r="BG185" s="12"/>
      <c r="BH185" s="12">
        <v>0</v>
      </c>
      <c r="BI185" s="12"/>
      <c r="BJ185" s="12">
        <v>0</v>
      </c>
      <c r="BK185" s="12"/>
      <c r="BL185" s="12">
        <v>0</v>
      </c>
      <c r="BM185" s="12"/>
      <c r="BN185" s="12">
        <f>SUM(T185:BM185)</f>
        <v>36432.720000000001</v>
      </c>
      <c r="BO185" s="12"/>
      <c r="BP185" s="12">
        <v>0</v>
      </c>
      <c r="BQ185" s="12"/>
      <c r="BR185" s="6">
        <f>IF(+R185-BN185+BP185&gt;0,R185-BN185+BP185,0)</f>
        <v>0</v>
      </c>
      <c r="BS185" s="12"/>
      <c r="BT185" s="6">
        <f>+BN185+BR185</f>
        <v>36432.720000000001</v>
      </c>
      <c r="BU185" s="12"/>
      <c r="BV185" s="6">
        <f>+R185-BT185</f>
        <v>-36432.720000000001</v>
      </c>
      <c r="BW185" s="12"/>
    </row>
    <row r="186" spans="1:124" s="11" customFormat="1">
      <c r="A186" s="17"/>
      <c r="B186" s="11" t="s">
        <v>34</v>
      </c>
      <c r="J186" s="160"/>
      <c r="L186" s="146" t="s">
        <v>203</v>
      </c>
      <c r="M186" s="12"/>
      <c r="N186" s="12">
        <v>0</v>
      </c>
      <c r="O186" s="12"/>
      <c r="P186" s="12">
        <v>50000</v>
      </c>
      <c r="Q186" s="12"/>
      <c r="R186" s="6">
        <v>0</v>
      </c>
      <c r="S186" s="12"/>
      <c r="T186" s="12">
        <v>0</v>
      </c>
      <c r="U186" s="12"/>
      <c r="V186" s="12">
        <v>135</v>
      </c>
      <c r="W186" s="12"/>
      <c r="X186" s="12">
        <v>2870.91</v>
      </c>
      <c r="Y186" s="12"/>
      <c r="Z186" s="12">
        <f>5474.86+28.91+701.87+1037.61+26+59</f>
        <v>7328.2499999999991</v>
      </c>
      <c r="AA186" s="12"/>
      <c r="AB186" s="12">
        <f>1153.98+1626.89</f>
        <v>2780.87</v>
      </c>
      <c r="AC186" s="12"/>
      <c r="AD186" s="12">
        <f>1321.7+4943.09+4483.05+927.58+431.74+260.99+2710.2</f>
        <v>15078.349999999999</v>
      </c>
      <c r="AE186" s="12"/>
      <c r="AF186" s="12">
        <f>1416.27+8201.74+60.53+956.07+795</f>
        <v>11429.61</v>
      </c>
      <c r="AG186" s="12"/>
      <c r="AH186" s="12">
        <v>15496.73</v>
      </c>
      <c r="AI186" s="12"/>
      <c r="AJ186" s="12">
        <v>12735.73</v>
      </c>
      <c r="AK186" s="12"/>
      <c r="AL186" s="12">
        <v>0</v>
      </c>
      <c r="AM186" s="12"/>
      <c r="AN186" s="12">
        <v>0</v>
      </c>
      <c r="AO186" s="12"/>
      <c r="AP186" s="12">
        <v>0</v>
      </c>
      <c r="AQ186" s="12"/>
      <c r="AR186" s="12">
        <v>0</v>
      </c>
      <c r="AS186" s="12"/>
      <c r="AT186" s="12">
        <v>0</v>
      </c>
      <c r="AU186" s="12"/>
      <c r="AV186" s="12">
        <v>0</v>
      </c>
      <c r="AW186" s="12"/>
      <c r="AX186" s="12">
        <v>0</v>
      </c>
      <c r="AY186" s="12"/>
      <c r="AZ186" s="12">
        <v>0</v>
      </c>
      <c r="BA186" s="12"/>
      <c r="BB186" s="12">
        <v>0</v>
      </c>
      <c r="BC186" s="12"/>
      <c r="BD186" s="12">
        <v>0</v>
      </c>
      <c r="BE186" s="12"/>
      <c r="BF186" s="12">
        <v>0</v>
      </c>
      <c r="BG186" s="12"/>
      <c r="BH186" s="12">
        <v>0</v>
      </c>
      <c r="BI186" s="12"/>
      <c r="BJ186" s="12">
        <v>0</v>
      </c>
      <c r="BK186" s="12"/>
      <c r="BL186" s="12">
        <v>0</v>
      </c>
      <c r="BM186" s="12"/>
      <c r="BN186" s="12">
        <f>SUM(T186:BM186)</f>
        <v>67855.45</v>
      </c>
      <c r="BO186" s="12"/>
      <c r="BP186" s="12">
        <v>0</v>
      </c>
      <c r="BQ186" s="12"/>
      <c r="BR186" s="6">
        <f>IF(+R186-BN186+BP186&gt;0,R186-BN186+BP186,0)</f>
        <v>0</v>
      </c>
      <c r="BS186" s="12"/>
      <c r="BT186" s="6">
        <f>+BN186+BR186</f>
        <v>67855.45</v>
      </c>
      <c r="BU186" s="12"/>
      <c r="BV186" s="6">
        <f>+R186-BT186</f>
        <v>-67855.45</v>
      </c>
      <c r="BW186" s="12"/>
    </row>
    <row r="187" spans="1:124" s="11" customFormat="1">
      <c r="A187" s="17"/>
      <c r="B187" s="11" t="s">
        <v>217</v>
      </c>
      <c r="J187" s="160"/>
      <c r="L187" s="146" t="s">
        <v>203</v>
      </c>
      <c r="M187" s="12"/>
      <c r="N187" s="12">
        <v>0</v>
      </c>
      <c r="O187" s="12"/>
      <c r="P187" s="12">
        <v>24235</v>
      </c>
      <c r="Q187" s="12"/>
      <c r="R187" s="6">
        <v>0</v>
      </c>
      <c r="S187" s="12"/>
      <c r="T187" s="12">
        <v>0</v>
      </c>
      <c r="U187" s="12"/>
      <c r="V187" s="12">
        <v>0</v>
      </c>
      <c r="W187" s="12"/>
      <c r="X187" s="12">
        <v>24235</v>
      </c>
      <c r="Y187" s="12"/>
      <c r="Z187" s="12">
        <v>0</v>
      </c>
      <c r="AA187" s="12"/>
      <c r="AB187" s="12">
        <v>0</v>
      </c>
      <c r="AC187" s="12"/>
      <c r="AD187" s="12">
        <v>0</v>
      </c>
      <c r="AE187" s="12"/>
      <c r="AF187" s="12">
        <v>0</v>
      </c>
      <c r="AG187" s="12"/>
      <c r="AH187" s="12">
        <v>0</v>
      </c>
      <c r="AI187" s="12"/>
      <c r="AJ187" s="12">
        <v>0</v>
      </c>
      <c r="AK187" s="12"/>
      <c r="AL187" s="12">
        <f>16768.34-177866+173000+36433</f>
        <v>48335.34</v>
      </c>
      <c r="AM187" s="12"/>
      <c r="AN187" s="12">
        <v>0</v>
      </c>
      <c r="AO187" s="12"/>
      <c r="AP187" s="12">
        <v>0</v>
      </c>
      <c r="AQ187" s="12"/>
      <c r="AR187" s="12">
        <v>0</v>
      </c>
      <c r="AS187" s="12"/>
      <c r="AT187" s="12">
        <v>0</v>
      </c>
      <c r="AU187" s="12"/>
      <c r="AV187" s="12">
        <v>0</v>
      </c>
      <c r="AW187" s="12"/>
      <c r="AX187" s="12">
        <v>0</v>
      </c>
      <c r="AY187" s="12"/>
      <c r="AZ187" s="12">
        <v>0</v>
      </c>
      <c r="BA187" s="12"/>
      <c r="BB187" s="12">
        <v>0</v>
      </c>
      <c r="BC187" s="12"/>
      <c r="BD187" s="12">
        <v>0</v>
      </c>
      <c r="BE187" s="12"/>
      <c r="BF187" s="12">
        <v>0</v>
      </c>
      <c r="BG187" s="12"/>
      <c r="BH187" s="12">
        <v>0</v>
      </c>
      <c r="BI187" s="12"/>
      <c r="BJ187" s="12">
        <v>0</v>
      </c>
      <c r="BK187" s="12"/>
      <c r="BL187" s="12">
        <v>0</v>
      </c>
      <c r="BM187" s="12"/>
      <c r="BN187" s="12">
        <f>SUM(T187:BM187)</f>
        <v>72570.34</v>
      </c>
      <c r="BO187" s="12"/>
      <c r="BP187" s="12">
        <v>0</v>
      </c>
      <c r="BQ187" s="12"/>
      <c r="BR187" s="6">
        <f>IF(+R187-BN187+BP187&gt;0,R187-BN187+BP187,0)</f>
        <v>0</v>
      </c>
      <c r="BS187" s="12"/>
      <c r="BT187" s="6">
        <f>+BN187+BR187</f>
        <v>72570.34</v>
      </c>
      <c r="BU187" s="12"/>
      <c r="BV187" s="6">
        <f>+R187-BT187</f>
        <v>-72570.34</v>
      </c>
      <c r="BW187" s="12"/>
    </row>
    <row r="188" spans="1:124" s="11" customFormat="1">
      <c r="A188" s="17"/>
      <c r="B188" s="11" t="s">
        <v>121</v>
      </c>
      <c r="J188" s="160"/>
      <c r="L188" s="146" t="s">
        <v>203</v>
      </c>
      <c r="M188" s="12"/>
      <c r="N188" s="12">
        <v>400000</v>
      </c>
      <c r="O188" s="12"/>
      <c r="P188" s="12">
        <f>49065-N188-6000</f>
        <v>-356935</v>
      </c>
      <c r="Q188" s="12"/>
      <c r="R188" s="6">
        <v>0</v>
      </c>
      <c r="S188" s="12"/>
      <c r="T188" s="12">
        <v>0</v>
      </c>
      <c r="U188" s="12"/>
      <c r="V188" s="12">
        <v>0</v>
      </c>
      <c r="W188" s="12"/>
      <c r="X188" s="12">
        <v>0</v>
      </c>
      <c r="Y188" s="12"/>
      <c r="Z188" s="12">
        <v>0</v>
      </c>
      <c r="AA188" s="12"/>
      <c r="AB188" s="12">
        <v>0</v>
      </c>
      <c r="AC188" s="12"/>
      <c r="AD188" s="12">
        <v>2287.5</v>
      </c>
      <c r="AE188" s="12"/>
      <c r="AF188" s="12">
        <v>0</v>
      </c>
      <c r="AG188" s="12"/>
      <c r="AH188" s="12">
        <v>0</v>
      </c>
      <c r="AI188" s="12"/>
      <c r="AJ188" s="12">
        <v>0</v>
      </c>
      <c r="AK188" s="12"/>
      <c r="AL188" s="12">
        <v>0</v>
      </c>
      <c r="AM188" s="12"/>
      <c r="AN188" s="12">
        <v>0</v>
      </c>
      <c r="AO188" s="12"/>
      <c r="AP188" s="12">
        <v>0</v>
      </c>
      <c r="AQ188" s="12"/>
      <c r="AR188" s="12">
        <f>9600+716.66+380.63</f>
        <v>10697.289999999999</v>
      </c>
      <c r="AS188" s="12"/>
      <c r="AT188" s="12">
        <v>0</v>
      </c>
      <c r="AU188" s="12"/>
      <c r="AV188" s="12">
        <v>0</v>
      </c>
      <c r="AW188" s="12"/>
      <c r="AX188" s="12">
        <v>0</v>
      </c>
      <c r="AY188" s="12"/>
      <c r="AZ188" s="12">
        <v>0</v>
      </c>
      <c r="BA188" s="12"/>
      <c r="BB188" s="12">
        <v>0</v>
      </c>
      <c r="BC188" s="12"/>
      <c r="BD188" s="12">
        <v>0</v>
      </c>
      <c r="BE188" s="12"/>
      <c r="BF188" s="12">
        <v>0</v>
      </c>
      <c r="BG188" s="12"/>
      <c r="BH188" s="12">
        <v>0</v>
      </c>
      <c r="BI188" s="12"/>
      <c r="BJ188" s="12">
        <v>0</v>
      </c>
      <c r="BK188" s="12"/>
      <c r="BL188" s="12">
        <v>0</v>
      </c>
      <c r="BM188" s="12"/>
      <c r="BN188" s="12">
        <f>SUM(T188:BM188)</f>
        <v>12984.789999999999</v>
      </c>
      <c r="BO188" s="12"/>
      <c r="BP188" s="12">
        <v>0</v>
      </c>
      <c r="BQ188" s="12"/>
      <c r="BR188" s="6">
        <f>IF(+R188-BN188+BP188&gt;0,R188-BN188+BP188,0)</f>
        <v>0</v>
      </c>
      <c r="BS188" s="12"/>
      <c r="BT188" s="6">
        <f>+BN188+BR188</f>
        <v>12984.789999999999</v>
      </c>
      <c r="BU188" s="12"/>
      <c r="BV188" s="6">
        <f>+R188-BT188</f>
        <v>-12984.789999999999</v>
      </c>
      <c r="BW188" s="12"/>
    </row>
    <row r="189" spans="1:124" s="11" customFormat="1">
      <c r="A189" s="17"/>
      <c r="B189" s="11" t="s">
        <v>282</v>
      </c>
      <c r="J189" s="160"/>
      <c r="L189" s="146"/>
      <c r="M189" s="12"/>
      <c r="N189" s="12"/>
      <c r="O189" s="12"/>
      <c r="P189" s="12"/>
      <c r="Q189" s="12"/>
      <c r="R189" s="6"/>
      <c r="S189" s="12"/>
      <c r="T189" s="12"/>
      <c r="U189" s="12"/>
      <c r="V189" s="12"/>
      <c r="W189" s="12"/>
      <c r="X189" s="12"/>
      <c r="Y189" s="12"/>
      <c r="Z189" s="12"/>
      <c r="AA189" s="12"/>
      <c r="AB189" s="12"/>
      <c r="AC189" s="12"/>
      <c r="AD189" s="12"/>
      <c r="AE189" s="12"/>
      <c r="AF189" s="12">
        <v>83611.75</v>
      </c>
      <c r="AG189" s="12"/>
      <c r="AH189" s="12">
        <f>1916.59+566.92+17351.64+16608.79+10439.68+3047.18</f>
        <v>49930.8</v>
      </c>
      <c r="AI189" s="12"/>
      <c r="AJ189" s="12">
        <v>30286.69</v>
      </c>
      <c r="AK189" s="12"/>
      <c r="AL189" s="12">
        <f>-163829+30287</f>
        <v>-133542</v>
      </c>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f>SUM(T189:BM189)</f>
        <v>30287.239999999991</v>
      </c>
      <c r="BO189" s="12"/>
      <c r="BP189" s="12"/>
      <c r="BQ189" s="12"/>
      <c r="BR189" s="6">
        <f>IF(+R189-BN189+BP189&gt;0,R189-BN189+BP189,0)</f>
        <v>0</v>
      </c>
      <c r="BS189" s="12"/>
      <c r="BT189" s="6">
        <f>+BN189+BR189</f>
        <v>30287.239999999991</v>
      </c>
      <c r="BU189" s="12"/>
      <c r="BV189" s="6">
        <f>+R189-BT189</f>
        <v>-30287.239999999991</v>
      </c>
      <c r="BW189" s="12"/>
    </row>
    <row r="190" spans="1:124" s="21" customFormat="1">
      <c r="A190" s="56"/>
      <c r="B190" s="31" t="s">
        <v>40</v>
      </c>
      <c r="J190" s="8"/>
      <c r="L190" s="143"/>
      <c r="M190" s="9"/>
      <c r="N190" s="102">
        <f>SUM(N185:N188)</f>
        <v>600000</v>
      </c>
      <c r="O190" s="9"/>
      <c r="P190" s="102">
        <f>SUM(P185:P188)</f>
        <v>-282700</v>
      </c>
      <c r="Q190" s="9"/>
      <c r="R190" s="102">
        <f>SUM(R185:R189)</f>
        <v>0</v>
      </c>
      <c r="S190" s="102">
        <f t="shared" ref="S190:BW190" si="34">SUM(S185:S189)</f>
        <v>0</v>
      </c>
      <c r="T190" s="102">
        <f t="shared" si="34"/>
        <v>0</v>
      </c>
      <c r="U190" s="102">
        <f t="shared" si="34"/>
        <v>0</v>
      </c>
      <c r="V190" s="102">
        <f t="shared" si="34"/>
        <v>135</v>
      </c>
      <c r="W190" s="102">
        <f t="shared" si="34"/>
        <v>0</v>
      </c>
      <c r="X190" s="102">
        <f t="shared" si="34"/>
        <v>49089.630000000005</v>
      </c>
      <c r="Y190" s="102">
        <f t="shared" si="34"/>
        <v>0</v>
      </c>
      <c r="Z190" s="102">
        <f t="shared" si="34"/>
        <v>7328.2499999999991</v>
      </c>
      <c r="AA190" s="102">
        <f t="shared" si="34"/>
        <v>0</v>
      </c>
      <c r="AB190" s="102">
        <f t="shared" si="34"/>
        <v>2780.87</v>
      </c>
      <c r="AC190" s="102">
        <f t="shared" si="34"/>
        <v>0</v>
      </c>
      <c r="AD190" s="102">
        <f t="shared" si="34"/>
        <v>17365.849999999999</v>
      </c>
      <c r="AE190" s="102">
        <f t="shared" si="34"/>
        <v>0</v>
      </c>
      <c r="AF190" s="102">
        <f t="shared" si="34"/>
        <v>95041.36</v>
      </c>
      <c r="AG190" s="102"/>
      <c r="AH190" s="102">
        <f t="shared" si="34"/>
        <v>65427.53</v>
      </c>
      <c r="AI190" s="102"/>
      <c r="AJ190" s="102">
        <f t="shared" si="34"/>
        <v>43022.42</v>
      </c>
      <c r="AK190" s="102"/>
      <c r="AL190" s="102">
        <f>SUM(AL185:AL189)</f>
        <v>-70757.66</v>
      </c>
      <c r="AM190" s="102"/>
      <c r="AN190" s="102">
        <f t="shared" si="34"/>
        <v>0</v>
      </c>
      <c r="AO190" s="102"/>
      <c r="AP190" s="102">
        <f t="shared" si="34"/>
        <v>0</v>
      </c>
      <c r="AQ190" s="102"/>
      <c r="AR190" s="102">
        <f t="shared" si="34"/>
        <v>10697.289999999999</v>
      </c>
      <c r="AS190" s="102"/>
      <c r="AT190" s="102">
        <f t="shared" si="34"/>
        <v>0</v>
      </c>
      <c r="AU190" s="102">
        <f t="shared" si="34"/>
        <v>0</v>
      </c>
      <c r="AV190" s="102">
        <f t="shared" si="34"/>
        <v>0</v>
      </c>
      <c r="AW190" s="102">
        <f t="shared" si="34"/>
        <v>0</v>
      </c>
      <c r="AX190" s="102">
        <f t="shared" si="34"/>
        <v>0</v>
      </c>
      <c r="AY190" s="102">
        <f t="shared" si="34"/>
        <v>0</v>
      </c>
      <c r="AZ190" s="102">
        <f t="shared" si="34"/>
        <v>0</v>
      </c>
      <c r="BA190" s="102">
        <f t="shared" si="34"/>
        <v>0</v>
      </c>
      <c r="BB190" s="102">
        <f t="shared" si="34"/>
        <v>0</v>
      </c>
      <c r="BC190" s="102">
        <f t="shared" si="34"/>
        <v>0</v>
      </c>
      <c r="BD190" s="102">
        <f t="shared" si="34"/>
        <v>0</v>
      </c>
      <c r="BE190" s="102">
        <f t="shared" si="34"/>
        <v>0</v>
      </c>
      <c r="BF190" s="102">
        <f t="shared" si="34"/>
        <v>0</v>
      </c>
      <c r="BG190" s="102">
        <f t="shared" si="34"/>
        <v>0</v>
      </c>
      <c r="BH190" s="102">
        <f t="shared" si="34"/>
        <v>0</v>
      </c>
      <c r="BI190" s="102">
        <f t="shared" si="34"/>
        <v>0</v>
      </c>
      <c r="BJ190" s="102">
        <f t="shared" si="34"/>
        <v>0</v>
      </c>
      <c r="BK190" s="102">
        <f t="shared" si="34"/>
        <v>0</v>
      </c>
      <c r="BL190" s="102">
        <f t="shared" si="34"/>
        <v>0</v>
      </c>
      <c r="BM190" s="102">
        <f t="shared" si="34"/>
        <v>0</v>
      </c>
      <c r="BN190" s="102">
        <f t="shared" si="34"/>
        <v>220130.54</v>
      </c>
      <c r="BO190" s="102">
        <f t="shared" si="34"/>
        <v>0</v>
      </c>
      <c r="BP190" s="102">
        <f t="shared" si="34"/>
        <v>0</v>
      </c>
      <c r="BQ190" s="102">
        <f t="shared" si="34"/>
        <v>0</v>
      </c>
      <c r="BR190" s="102">
        <f t="shared" si="34"/>
        <v>0</v>
      </c>
      <c r="BS190" s="102">
        <f t="shared" si="34"/>
        <v>0</v>
      </c>
      <c r="BT190" s="102">
        <f>SUM(BT185:BT189)</f>
        <v>220130.54</v>
      </c>
      <c r="BU190" s="102">
        <f t="shared" si="34"/>
        <v>0</v>
      </c>
      <c r="BV190" s="102">
        <f t="shared" si="34"/>
        <v>-220130.54</v>
      </c>
      <c r="BW190" s="102">
        <f t="shared" si="34"/>
        <v>0</v>
      </c>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row>
    <row r="191" spans="1:124" s="21" customFormat="1">
      <c r="A191" s="56"/>
      <c r="B191" s="31"/>
      <c r="J191" s="8"/>
      <c r="L191" s="143"/>
      <c r="M191" s="9"/>
      <c r="N191" s="10"/>
      <c r="O191" s="9"/>
      <c r="P191" s="10"/>
      <c r="Q191" s="9"/>
      <c r="R191" s="10"/>
      <c r="S191" s="9"/>
      <c r="T191" s="10"/>
      <c r="U191" s="9"/>
      <c r="V191" s="10"/>
      <c r="W191" s="9"/>
      <c r="X191" s="10"/>
      <c r="Y191" s="9"/>
      <c r="Z191" s="10"/>
      <c r="AA191" s="9"/>
      <c r="AB191" s="10"/>
      <c r="AC191" s="9"/>
      <c r="AD191" s="10"/>
      <c r="AE191" s="9"/>
      <c r="AF191" s="10"/>
      <c r="AG191" s="9"/>
      <c r="AH191" s="10"/>
      <c r="AI191" s="9"/>
      <c r="AJ191" s="10"/>
      <c r="AK191" s="9"/>
      <c r="AL191" s="10"/>
      <c r="AM191" s="9"/>
      <c r="AN191" s="10"/>
      <c r="AO191" s="9"/>
      <c r="AP191" s="10"/>
      <c r="AQ191" s="9"/>
      <c r="AR191" s="10"/>
      <c r="AS191" s="9"/>
      <c r="AT191" s="10"/>
      <c r="AU191" s="9"/>
      <c r="AV191" s="10"/>
      <c r="AW191" s="10"/>
      <c r="AX191" s="10"/>
      <c r="AY191" s="10"/>
      <c r="AZ191" s="10"/>
      <c r="BA191" s="10"/>
      <c r="BB191" s="10"/>
      <c r="BC191" s="10"/>
      <c r="BD191" s="10"/>
      <c r="BE191" s="10"/>
      <c r="BF191" s="10"/>
      <c r="BG191" s="10"/>
      <c r="BH191" s="10"/>
      <c r="BI191" s="10"/>
      <c r="BJ191" s="10"/>
      <c r="BK191" s="10"/>
      <c r="BL191" s="10"/>
      <c r="BM191" s="9"/>
      <c r="BN191" s="10"/>
      <c r="BO191" s="9"/>
      <c r="BP191" s="10"/>
      <c r="BQ191" s="9"/>
      <c r="BR191" s="10"/>
      <c r="BS191" s="9"/>
      <c r="BT191" s="10"/>
      <c r="BU191" s="9"/>
      <c r="BV191" s="10"/>
      <c r="BW191" s="9"/>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row>
    <row r="192" spans="1:124">
      <c r="A192" s="56" t="s">
        <v>35</v>
      </c>
      <c r="B192" s="11"/>
      <c r="C192"/>
      <c r="D192"/>
      <c r="E192"/>
      <c r="F192"/>
      <c r="G192"/>
      <c r="H192"/>
      <c r="I192"/>
      <c r="J192" s="49"/>
      <c r="K192"/>
      <c r="L192" s="134"/>
      <c r="M192" s="6"/>
      <c r="O192" s="6"/>
      <c r="Q192" s="6"/>
      <c r="S192" s="6"/>
      <c r="T192" s="6"/>
      <c r="U192" s="12"/>
      <c r="V192" s="6"/>
      <c r="W192" s="12"/>
      <c r="X192" s="6"/>
      <c r="Y192" s="12"/>
      <c r="Z192" s="6"/>
      <c r="AA192" s="12"/>
      <c r="AB192" s="6"/>
      <c r="AC192" s="12"/>
      <c r="AD192" s="6"/>
      <c r="AE192" s="12"/>
      <c r="AG192" s="12"/>
      <c r="AI192" s="12"/>
      <c r="AK192" s="12"/>
      <c r="AM192" s="12"/>
      <c r="AO192" s="12"/>
      <c r="AQ192" s="12"/>
      <c r="AS192" s="12"/>
      <c r="AU192" s="12"/>
      <c r="BL192" s="6"/>
      <c r="BM192" s="6"/>
      <c r="BO192" s="6"/>
      <c r="BP192" s="6"/>
      <c r="BQ192" s="6"/>
      <c r="BW192" s="1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row>
    <row r="193" spans="1:124" s="11" customFormat="1">
      <c r="A193" s="17"/>
      <c r="B193" s="11" t="s">
        <v>36</v>
      </c>
      <c r="J193" s="160"/>
      <c r="L193" s="146" t="s">
        <v>203</v>
      </c>
      <c r="M193" s="12"/>
      <c r="N193" s="12">
        <v>0</v>
      </c>
      <c r="O193" s="12"/>
      <c r="P193" s="12">
        <f>300000-5511</f>
        <v>294489</v>
      </c>
      <c r="Q193" s="12"/>
      <c r="R193" s="6">
        <v>0</v>
      </c>
      <c r="S193" s="12"/>
      <c r="T193" s="12">
        <v>0</v>
      </c>
      <c r="U193" s="12"/>
      <c r="V193" s="12">
        <v>0</v>
      </c>
      <c r="W193" s="12"/>
      <c r="X193" s="12">
        <v>0</v>
      </c>
      <c r="Y193" s="12"/>
      <c r="Z193" s="12">
        <v>9963.17</v>
      </c>
      <c r="AA193" s="12"/>
      <c r="AB193" s="12">
        <v>0</v>
      </c>
      <c r="AC193" s="12"/>
      <c r="AD193" s="12">
        <v>3785</v>
      </c>
      <c r="AE193" s="12"/>
      <c r="AF193" s="12">
        <v>0</v>
      </c>
      <c r="AG193" s="12"/>
      <c r="AH193" s="12">
        <f>6818.14+6268.5+3560.04+12631+3302.46+787.02</f>
        <v>33367.159999999996</v>
      </c>
      <c r="AI193" s="12"/>
      <c r="AJ193" s="12">
        <v>0</v>
      </c>
      <c r="AK193" s="12"/>
      <c r="AL193" s="12">
        <v>-14302.18</v>
      </c>
      <c r="AM193" s="12"/>
      <c r="AN193" s="12">
        <v>0</v>
      </c>
      <c r="AO193" s="12"/>
      <c r="AP193" s="12">
        <v>28608.51</v>
      </c>
      <c r="AQ193" s="12"/>
      <c r="AR193" s="12">
        <v>0</v>
      </c>
      <c r="AS193" s="12"/>
      <c r="AT193" s="12">
        <v>0</v>
      </c>
      <c r="AU193" s="12"/>
      <c r="AV193" s="12">
        <v>0</v>
      </c>
      <c r="AW193" s="12"/>
      <c r="AX193" s="12">
        <v>0</v>
      </c>
      <c r="AY193" s="12"/>
      <c r="AZ193" s="12">
        <v>0</v>
      </c>
      <c r="BA193" s="12"/>
      <c r="BB193" s="12">
        <v>0</v>
      </c>
      <c r="BC193" s="12"/>
      <c r="BD193" s="12">
        <v>0</v>
      </c>
      <c r="BE193" s="12"/>
      <c r="BF193" s="12">
        <v>0</v>
      </c>
      <c r="BG193" s="12"/>
      <c r="BH193" s="12">
        <v>0</v>
      </c>
      <c r="BI193" s="12"/>
      <c r="BJ193" s="12">
        <v>0</v>
      </c>
      <c r="BK193" s="12"/>
      <c r="BL193" s="12">
        <v>0</v>
      </c>
      <c r="BM193" s="12"/>
      <c r="BN193" s="12">
        <f>SUM(T193:BM193)</f>
        <v>61421.659999999989</v>
      </c>
      <c r="BO193" s="12"/>
      <c r="BP193" s="12">
        <v>0</v>
      </c>
      <c r="BQ193" s="12"/>
      <c r="BR193" s="6">
        <f>IF(+R193-BN193+BP193&gt;0,R193-BN193+BP193,0)</f>
        <v>0</v>
      </c>
      <c r="BS193" s="12"/>
      <c r="BT193" s="6">
        <f>+BN193+BR193</f>
        <v>61421.659999999989</v>
      </c>
      <c r="BU193" s="12"/>
      <c r="BV193" s="6">
        <f>+R193-BT193</f>
        <v>-61421.659999999989</v>
      </c>
      <c r="BW193" s="12"/>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row>
    <row r="194" spans="1:124" s="11" customFormat="1">
      <c r="A194" s="17"/>
      <c r="B194" s="11" t="s">
        <v>218</v>
      </c>
      <c r="J194" s="160"/>
      <c r="L194" s="146" t="s">
        <v>203</v>
      </c>
      <c r="M194" s="12"/>
      <c r="N194" s="12">
        <v>500000</v>
      </c>
      <c r="O194" s="12"/>
      <c r="P194" s="12">
        <f>-300000-10271.2</f>
        <v>-310271.2</v>
      </c>
      <c r="Q194" s="12"/>
      <c r="R194" s="6">
        <v>0</v>
      </c>
      <c r="S194" s="12"/>
      <c r="T194" s="12">
        <v>0</v>
      </c>
      <c r="U194" s="12"/>
      <c r="V194" s="12">
        <v>0</v>
      </c>
      <c r="W194" s="12"/>
      <c r="X194" s="12">
        <v>0</v>
      </c>
      <c r="Y194" s="12"/>
      <c r="Z194" s="12">
        <v>0</v>
      </c>
      <c r="AA194" s="12"/>
      <c r="AB194" s="12">
        <v>76235.100000000006</v>
      </c>
      <c r="AC194" s="12"/>
      <c r="AD194" s="12">
        <v>51621.39</v>
      </c>
      <c r="AE194" s="12"/>
      <c r="AF194" s="12">
        <v>16078.18</v>
      </c>
      <c r="AG194" s="12"/>
      <c r="AH194" s="12">
        <f>8609.85+7441.04</f>
        <v>16050.89</v>
      </c>
      <c r="AI194" s="12"/>
      <c r="AJ194" s="12">
        <v>0</v>
      </c>
      <c r="AK194" s="12"/>
      <c r="AL194" s="12"/>
      <c r="AM194" s="12"/>
      <c r="AN194" s="12">
        <v>0</v>
      </c>
      <c r="AO194" s="12"/>
      <c r="AP194" s="12"/>
      <c r="AQ194" s="12"/>
      <c r="AR194" s="12">
        <v>0</v>
      </c>
      <c r="AS194" s="12"/>
      <c r="AT194" s="12">
        <v>0</v>
      </c>
      <c r="AU194" s="12"/>
      <c r="AV194" s="12">
        <v>0</v>
      </c>
      <c r="AW194" s="12"/>
      <c r="AX194" s="12">
        <v>0</v>
      </c>
      <c r="AY194" s="12"/>
      <c r="AZ194" s="12">
        <v>0</v>
      </c>
      <c r="BA194" s="12"/>
      <c r="BB194" s="12">
        <v>0</v>
      </c>
      <c r="BC194" s="12"/>
      <c r="BD194" s="12">
        <v>0</v>
      </c>
      <c r="BE194" s="12"/>
      <c r="BF194" s="12">
        <v>0</v>
      </c>
      <c r="BG194" s="12"/>
      <c r="BH194" s="12">
        <v>0</v>
      </c>
      <c r="BI194" s="12"/>
      <c r="BJ194" s="12">
        <v>0</v>
      </c>
      <c r="BK194" s="12"/>
      <c r="BL194" s="12">
        <v>0</v>
      </c>
      <c r="BM194" s="12"/>
      <c r="BN194" s="12">
        <f>SUM(T194:BM194)</f>
        <v>159985.56</v>
      </c>
      <c r="BO194" s="12"/>
      <c r="BP194" s="12">
        <v>0</v>
      </c>
      <c r="BQ194" s="12"/>
      <c r="BR194" s="6">
        <f>IF(+R194-BN194+BP194&gt;0,R194-BN194+BP194,0)</f>
        <v>0</v>
      </c>
      <c r="BS194" s="12"/>
      <c r="BT194" s="6">
        <f>+BN194+BR194</f>
        <v>159985.56</v>
      </c>
      <c r="BU194" s="12"/>
      <c r="BV194" s="6">
        <f>+R194-BT194</f>
        <v>-159985.56</v>
      </c>
      <c r="BW194" s="12"/>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row>
    <row r="195" spans="1:124" s="11" customFormat="1">
      <c r="A195" s="17"/>
      <c r="B195" s="11" t="s">
        <v>220</v>
      </c>
      <c r="J195" s="160"/>
      <c r="L195" s="146"/>
      <c r="M195" s="12"/>
      <c r="N195" s="12"/>
      <c r="O195" s="12"/>
      <c r="P195" s="12">
        <v>5511</v>
      </c>
      <c r="Q195" s="12"/>
      <c r="R195" s="6">
        <v>0</v>
      </c>
      <c r="S195" s="12"/>
      <c r="T195" s="12"/>
      <c r="U195" s="12"/>
      <c r="V195" s="12"/>
      <c r="W195" s="12"/>
      <c r="X195" s="12"/>
      <c r="Y195" s="12"/>
      <c r="Z195" s="12"/>
      <c r="AA195" s="12"/>
      <c r="AB195" s="12"/>
      <c r="AC195" s="12"/>
      <c r="AD195" s="12">
        <v>5510.85</v>
      </c>
      <c r="AE195" s="12"/>
      <c r="AF195" s="12">
        <v>10271.200000000001</v>
      </c>
      <c r="AG195" s="12"/>
      <c r="AH195" s="12"/>
      <c r="AI195" s="12"/>
      <c r="AJ195" s="12"/>
      <c r="AK195" s="12"/>
      <c r="AL195" s="12"/>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f>SUM(T195:BM195)</f>
        <v>15782.050000000001</v>
      </c>
      <c r="BO195" s="12"/>
      <c r="BP195" s="12">
        <v>0</v>
      </c>
      <c r="BQ195" s="12"/>
      <c r="BR195" s="6">
        <f>IF(+R195-BN195+BP195&gt;0,R195-BN195+BP195,0)</f>
        <v>0</v>
      </c>
      <c r="BS195" s="12"/>
      <c r="BT195" s="6">
        <f>+BN195+BR195</f>
        <v>15782.050000000001</v>
      </c>
      <c r="BU195" s="12"/>
      <c r="BV195" s="6">
        <f>+R195-BT195</f>
        <v>-15782.050000000001</v>
      </c>
      <c r="BW195" s="12"/>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row>
    <row r="196" spans="1:124" s="21" customFormat="1">
      <c r="A196" s="56"/>
      <c r="B196" s="31" t="s">
        <v>41</v>
      </c>
      <c r="J196" s="8"/>
      <c r="L196" s="143"/>
      <c r="M196" s="9"/>
      <c r="N196" s="102">
        <f>SUM(N193:N195)</f>
        <v>500000</v>
      </c>
      <c r="O196" s="102">
        <f>SUM(O193:O195)</f>
        <v>0</v>
      </c>
      <c r="P196" s="102">
        <f>SUM(P193:P195)</f>
        <v>-10271.200000000012</v>
      </c>
      <c r="Q196" s="102">
        <f>SUM(Q193:Q195)</f>
        <v>0</v>
      </c>
      <c r="R196" s="102">
        <f>SUM(R193:R195)</f>
        <v>0</v>
      </c>
      <c r="S196" s="9"/>
      <c r="T196" s="102">
        <f>SUM(T193:T195)</f>
        <v>0</v>
      </c>
      <c r="U196" s="9"/>
      <c r="V196" s="102">
        <f>SUM(V193:V195)</f>
        <v>0</v>
      </c>
      <c r="W196" s="9"/>
      <c r="X196" s="102">
        <f>SUM(X193:X195)</f>
        <v>0</v>
      </c>
      <c r="Y196" s="9"/>
      <c r="Z196" s="102">
        <f>SUM(Z193:Z195)</f>
        <v>9963.17</v>
      </c>
      <c r="AA196" s="9"/>
      <c r="AB196" s="102">
        <f>SUM(AB193:AB195)</f>
        <v>76235.100000000006</v>
      </c>
      <c r="AC196" s="9"/>
      <c r="AD196" s="102">
        <f>SUM(AD193:AD195)</f>
        <v>60917.24</v>
      </c>
      <c r="AE196" s="9"/>
      <c r="AF196" s="102">
        <f>SUM(AF193:AF195)</f>
        <v>26349.38</v>
      </c>
      <c r="AG196" s="9"/>
      <c r="AH196" s="102">
        <f>SUM(AH193:AH195)</f>
        <v>49418.049999999996</v>
      </c>
      <c r="AI196" s="9"/>
      <c r="AJ196" s="102">
        <f>SUM(AJ193:AJ195)</f>
        <v>0</v>
      </c>
      <c r="AK196" s="9"/>
      <c r="AL196" s="102">
        <f>SUM(AL193:AL195)</f>
        <v>-14302.18</v>
      </c>
      <c r="AM196" s="102"/>
      <c r="AN196" s="102">
        <f>SUM(AN193:AN195)</f>
        <v>0</v>
      </c>
      <c r="AO196" s="9"/>
      <c r="AP196" s="102">
        <f>SUM(AP193:AP195)</f>
        <v>28608.51</v>
      </c>
      <c r="AQ196" s="9"/>
      <c r="AR196" s="102">
        <f>SUM(AR193:AR195)</f>
        <v>0</v>
      </c>
      <c r="AS196" s="9"/>
      <c r="AT196" s="102">
        <f>SUM(AT193:AT195)</f>
        <v>0</v>
      </c>
      <c r="AU196" s="9"/>
      <c r="AV196" s="102">
        <f>SUM(AV193:AV195)</f>
        <v>0</v>
      </c>
      <c r="AW196" s="10"/>
      <c r="AX196" s="102">
        <f>SUM(AX193:AX195)</f>
        <v>0</v>
      </c>
      <c r="AY196" s="10"/>
      <c r="AZ196" s="102">
        <f>SUM(AZ193:AZ195)</f>
        <v>0</v>
      </c>
      <c r="BA196" s="10"/>
      <c r="BB196" s="102">
        <f>SUM(BB193:BB195)</f>
        <v>0</v>
      </c>
      <c r="BC196" s="10"/>
      <c r="BD196" s="102">
        <f>SUM(BD193:BD195)</f>
        <v>0</v>
      </c>
      <c r="BE196" s="10"/>
      <c r="BF196" s="102">
        <f>SUM(BF193:BF195)</f>
        <v>0</v>
      </c>
      <c r="BG196" s="10"/>
      <c r="BH196" s="102">
        <f>SUM(BH193:BH195)</f>
        <v>0</v>
      </c>
      <c r="BI196" s="10"/>
      <c r="BJ196" s="102">
        <f>SUM(BJ193:BJ195)</f>
        <v>0</v>
      </c>
      <c r="BK196" s="10"/>
      <c r="BL196" s="102">
        <f>SUM(BL193:BL195)</f>
        <v>0</v>
      </c>
      <c r="BM196" s="9"/>
      <c r="BN196" s="102">
        <f>SUM(BN193:BN195)</f>
        <v>237189.26999999996</v>
      </c>
      <c r="BO196" s="9"/>
      <c r="BP196" s="102">
        <f>SUM(BP193:BP195)</f>
        <v>0</v>
      </c>
      <c r="BQ196" s="9"/>
      <c r="BR196" s="102">
        <f>SUM(BR193:BR195)</f>
        <v>0</v>
      </c>
      <c r="BS196" s="9"/>
      <c r="BT196" s="102">
        <f>SUM(BT193:BT195)</f>
        <v>237189.26999999996</v>
      </c>
      <c r="BU196" s="9"/>
      <c r="BV196" s="102">
        <f>SUM(BV193:BV195)</f>
        <v>-237189.26999999996</v>
      </c>
      <c r="BW196" s="9"/>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row>
    <row r="197" spans="1:124" s="21" customFormat="1">
      <c r="A197" s="58"/>
      <c r="B197" s="31"/>
      <c r="J197" s="8"/>
      <c r="L197" s="143"/>
      <c r="M197" s="9"/>
      <c r="N197" s="10"/>
      <c r="O197" s="10"/>
      <c r="P197" s="10"/>
      <c r="Q197" s="10"/>
      <c r="R197" s="10"/>
      <c r="S197" s="9"/>
      <c r="T197" s="10"/>
      <c r="U197" s="9"/>
      <c r="V197" s="10"/>
      <c r="W197" s="9"/>
      <c r="X197" s="10"/>
      <c r="Y197" s="9"/>
      <c r="Z197" s="10"/>
      <c r="AA197" s="9"/>
      <c r="AB197" s="10"/>
      <c r="AC197" s="9"/>
      <c r="AD197" s="10"/>
      <c r="AE197" s="9"/>
      <c r="AF197" s="10"/>
      <c r="AG197" s="9"/>
      <c r="AH197" s="10"/>
      <c r="AI197" s="9"/>
      <c r="AJ197" s="10"/>
      <c r="AK197" s="9"/>
      <c r="AL197" s="10"/>
      <c r="AM197" s="9"/>
      <c r="AN197" s="10"/>
      <c r="AO197" s="9"/>
      <c r="AP197" s="10"/>
      <c r="AQ197" s="9"/>
      <c r="AR197" s="10"/>
      <c r="AS197" s="9"/>
      <c r="AT197" s="10"/>
      <c r="AU197" s="9"/>
      <c r="AV197" s="10"/>
      <c r="AW197" s="10"/>
      <c r="AX197" s="10"/>
      <c r="AY197" s="10"/>
      <c r="AZ197" s="10"/>
      <c r="BA197" s="10"/>
      <c r="BB197" s="10"/>
      <c r="BC197" s="10"/>
      <c r="BD197" s="10"/>
      <c r="BE197" s="10"/>
      <c r="BF197" s="10"/>
      <c r="BG197" s="10"/>
      <c r="BH197" s="10"/>
      <c r="BI197" s="10"/>
      <c r="BJ197" s="10"/>
      <c r="BK197" s="10"/>
      <c r="BL197" s="10"/>
      <c r="BM197" s="9"/>
      <c r="BN197" s="10"/>
      <c r="BO197" s="9"/>
      <c r="BP197" s="10"/>
      <c r="BQ197" s="9"/>
      <c r="BR197" s="10"/>
      <c r="BS197" s="9"/>
      <c r="BT197" s="10"/>
      <c r="BU197" s="9"/>
      <c r="BV197" s="10"/>
      <c r="BW197" s="9"/>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row>
    <row r="198" spans="1:124" s="31" customFormat="1">
      <c r="A198" s="58" t="s">
        <v>249</v>
      </c>
      <c r="J198" s="159"/>
      <c r="L198" s="145" t="s">
        <v>202</v>
      </c>
      <c r="M198" s="10"/>
      <c r="N198" s="10">
        <v>10922239</v>
      </c>
      <c r="O198" s="10"/>
      <c r="P198" s="10">
        <f>10969926-N198</f>
        <v>47687</v>
      </c>
      <c r="Q198" s="10"/>
      <c r="R198" s="9">
        <v>0</v>
      </c>
      <c r="S198" s="10"/>
      <c r="T198" s="10">
        <v>704264</v>
      </c>
      <c r="U198" s="10"/>
      <c r="V198" s="10">
        <f>366584-46260</f>
        <v>320324</v>
      </c>
      <c r="W198" s="10"/>
      <c r="X198" s="10">
        <v>477081</v>
      </c>
      <c r="Y198" s="10"/>
      <c r="Z198" s="10">
        <f>-11622+437418</f>
        <v>425796</v>
      </c>
      <c r="AA198" s="10"/>
      <c r="AB198" s="10">
        <v>378280</v>
      </c>
      <c r="AC198" s="10"/>
      <c r="AD198" s="10">
        <v>557261</v>
      </c>
      <c r="AE198" s="10"/>
      <c r="AF198" s="10">
        <f ca="1">'[2]Calvert City'!$I$38</f>
        <v>481371.22496666672</v>
      </c>
      <c r="AG198" s="10"/>
      <c r="AH198" s="10">
        <f ca="1">'[2]Calvert City'!$J$38</f>
        <v>488494.44316995825</v>
      </c>
      <c r="AI198" s="10"/>
      <c r="AJ198" s="10">
        <f ca="1">'[2]Calvert City'!$K$38</f>
        <v>500068.5242301845</v>
      </c>
      <c r="AK198" s="10"/>
      <c r="AL198" s="10">
        <f ca="1">-SUM(T198:AJ198)</f>
        <v>-4332940.1923668096</v>
      </c>
      <c r="AM198" s="10"/>
      <c r="AN198" s="10">
        <v>0</v>
      </c>
      <c r="AO198" s="10"/>
      <c r="AP198" s="10">
        <v>0</v>
      </c>
      <c r="AQ198" s="10"/>
      <c r="AR198" s="10">
        <v>0</v>
      </c>
      <c r="AS198" s="10"/>
      <c r="AT198" s="10">
        <v>0</v>
      </c>
      <c r="AU198" s="10"/>
      <c r="AV198" s="10">
        <v>0</v>
      </c>
      <c r="AW198" s="10"/>
      <c r="AX198" s="10">
        <v>0</v>
      </c>
      <c r="AY198" s="10"/>
      <c r="AZ198" s="10">
        <v>0</v>
      </c>
      <c r="BA198" s="10"/>
      <c r="BB198" s="10">
        <v>0</v>
      </c>
      <c r="BC198" s="10"/>
      <c r="BD198" s="10">
        <v>0</v>
      </c>
      <c r="BE198" s="10"/>
      <c r="BF198" s="10">
        <v>0</v>
      </c>
      <c r="BG198" s="10"/>
      <c r="BH198" s="10">
        <v>0</v>
      </c>
      <c r="BI198" s="10"/>
      <c r="BJ198" s="10">
        <v>0</v>
      </c>
      <c r="BK198" s="10"/>
      <c r="BL198" s="10">
        <v>0</v>
      </c>
      <c r="BM198" s="10"/>
      <c r="BN198" s="10">
        <f ca="1">SUM(T198:BM198)</f>
        <v>0</v>
      </c>
      <c r="BO198" s="10"/>
      <c r="BP198" s="10">
        <v>0</v>
      </c>
      <c r="BQ198" s="10"/>
      <c r="BR198" s="6">
        <f ca="1">IF(+R198-BN198+BP198&gt;0,R198-BN198+BP198,0)</f>
        <v>0</v>
      </c>
      <c r="BS198" s="10"/>
      <c r="BT198" s="9">
        <f ca="1">+BN198+BR198</f>
        <v>0</v>
      </c>
      <c r="BU198" s="10"/>
      <c r="BV198" s="9">
        <f ca="1">+R198-BT198</f>
        <v>0</v>
      </c>
      <c r="BW198" s="10"/>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row>
    <row r="199" spans="1:124" s="21" customFormat="1">
      <c r="A199" s="56"/>
      <c r="B199" s="31"/>
      <c r="J199" s="8"/>
      <c r="L199" s="143"/>
      <c r="M199" s="9"/>
      <c r="N199" s="10"/>
      <c r="O199" s="9"/>
      <c r="P199" s="10"/>
      <c r="Q199" s="9"/>
      <c r="R199" s="10"/>
      <c r="S199" s="9"/>
      <c r="T199" s="10"/>
      <c r="U199" s="9"/>
      <c r="V199" s="10"/>
      <c r="W199" s="9"/>
      <c r="X199" s="10"/>
      <c r="Y199" s="9"/>
      <c r="Z199" s="10"/>
      <c r="AA199" s="9"/>
      <c r="AB199" s="10"/>
      <c r="AC199" s="9"/>
      <c r="AD199" s="10"/>
      <c r="AE199" s="9"/>
      <c r="AF199" s="10"/>
      <c r="AG199" s="9"/>
      <c r="AH199" s="10"/>
      <c r="AI199" s="9"/>
      <c r="AJ199" s="10"/>
      <c r="AK199" s="9"/>
      <c r="AL199" s="10"/>
      <c r="AM199" s="9"/>
      <c r="AN199" s="10"/>
      <c r="AO199" s="9"/>
      <c r="AP199" s="10"/>
      <c r="AQ199" s="9"/>
      <c r="AR199" s="10"/>
      <c r="AS199" s="9"/>
      <c r="AT199" s="10"/>
      <c r="AU199" s="9"/>
      <c r="AV199" s="10"/>
      <c r="AW199" s="10"/>
      <c r="AX199" s="10"/>
      <c r="AY199" s="10"/>
      <c r="AZ199" s="10"/>
      <c r="BA199" s="10"/>
      <c r="BB199" s="10"/>
      <c r="BC199" s="10"/>
      <c r="BD199" s="10"/>
      <c r="BE199" s="10"/>
      <c r="BF199" s="10"/>
      <c r="BG199" s="10"/>
      <c r="BH199" s="10"/>
      <c r="BI199" s="10"/>
      <c r="BJ199" s="10"/>
      <c r="BK199" s="10"/>
      <c r="BL199" s="10"/>
      <c r="BM199" s="9"/>
      <c r="BN199" s="10"/>
      <c r="BO199" s="9"/>
      <c r="BP199" s="10"/>
      <c r="BQ199" s="9"/>
      <c r="BR199" s="10"/>
      <c r="BS199" s="9"/>
      <c r="BT199" s="10"/>
      <c r="BU199" s="9"/>
      <c r="BV199" s="10"/>
      <c r="BW199" s="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row>
    <row r="200" spans="1:124" s="105" customFormat="1">
      <c r="A200" s="84" t="s">
        <v>248</v>
      </c>
      <c r="B200" s="54"/>
      <c r="J200" s="158"/>
      <c r="L200" s="144"/>
      <c r="M200" s="13"/>
      <c r="N200" s="120"/>
      <c r="O200" s="13"/>
      <c r="P200" s="120"/>
      <c r="Q200" s="13"/>
      <c r="R200" s="120">
        <f>R198+R190+R182+R180+R178+R172+R163+R153+R146+R144+R142+R140+R138+R196+R170</f>
        <v>0</v>
      </c>
      <c r="S200" s="120">
        <f t="shared" ref="S200:BS200" si="35">S198+S190+S182+S180+S178+S172+S163+S153+S146+S144+S142+S140+S138+S196</f>
        <v>0</v>
      </c>
      <c r="T200" s="120">
        <f t="shared" si="35"/>
        <v>704264</v>
      </c>
      <c r="U200" s="120">
        <f t="shared" si="35"/>
        <v>0</v>
      </c>
      <c r="V200" s="120">
        <f t="shared" si="35"/>
        <v>320959</v>
      </c>
      <c r="W200" s="120">
        <f t="shared" si="35"/>
        <v>0</v>
      </c>
      <c r="X200" s="120">
        <f t="shared" si="35"/>
        <v>569241.61</v>
      </c>
      <c r="Y200" s="120">
        <f t="shared" si="35"/>
        <v>0</v>
      </c>
      <c r="Z200" s="120">
        <f t="shared" si="35"/>
        <v>475448.42</v>
      </c>
      <c r="AA200" s="120">
        <f t="shared" si="35"/>
        <v>0</v>
      </c>
      <c r="AB200" s="120">
        <f t="shared" si="35"/>
        <v>468179.56000000006</v>
      </c>
      <c r="AC200" s="120">
        <f t="shared" si="35"/>
        <v>0</v>
      </c>
      <c r="AD200" s="120">
        <f t="shared" si="35"/>
        <v>896272.32</v>
      </c>
      <c r="AE200" s="120">
        <f t="shared" si="35"/>
        <v>0</v>
      </c>
      <c r="AF200" s="120">
        <f t="shared" ca="1" si="35"/>
        <v>666001.55496666674</v>
      </c>
      <c r="AG200" s="120"/>
      <c r="AH200" s="120">
        <f t="shared" ca="1" si="35"/>
        <v>672045.7031699582</v>
      </c>
      <c r="AI200" s="120"/>
      <c r="AJ200" s="120">
        <f t="shared" ca="1" si="35"/>
        <v>557205.69423018454</v>
      </c>
      <c r="AK200" s="120"/>
      <c r="AL200" s="120">
        <f t="shared" ca="1" si="35"/>
        <v>-4904623.0323668094</v>
      </c>
      <c r="AM200" s="120"/>
      <c r="AN200" s="120">
        <f t="shared" si="35"/>
        <v>378540.52</v>
      </c>
      <c r="AO200" s="120"/>
      <c r="AP200" s="120">
        <f t="shared" si="35"/>
        <v>323352.19</v>
      </c>
      <c r="AQ200" s="120"/>
      <c r="AR200" s="120">
        <f t="shared" si="35"/>
        <v>16697.29</v>
      </c>
      <c r="AS200" s="120"/>
      <c r="AT200" s="120">
        <f t="shared" si="35"/>
        <v>0</v>
      </c>
      <c r="AU200" s="120">
        <f t="shared" si="35"/>
        <v>0</v>
      </c>
      <c r="AV200" s="120">
        <f t="shared" si="35"/>
        <v>0</v>
      </c>
      <c r="AW200" s="120">
        <f t="shared" si="35"/>
        <v>0</v>
      </c>
      <c r="AX200" s="120">
        <f t="shared" si="35"/>
        <v>0</v>
      </c>
      <c r="AY200" s="120">
        <f t="shared" si="35"/>
        <v>0</v>
      </c>
      <c r="AZ200" s="120">
        <f t="shared" si="35"/>
        <v>0</v>
      </c>
      <c r="BA200" s="120">
        <f t="shared" si="35"/>
        <v>0</v>
      </c>
      <c r="BB200" s="120">
        <f t="shared" si="35"/>
        <v>0</v>
      </c>
      <c r="BC200" s="120">
        <f t="shared" si="35"/>
        <v>0</v>
      </c>
      <c r="BD200" s="120">
        <f t="shared" si="35"/>
        <v>0</v>
      </c>
      <c r="BE200" s="120">
        <f t="shared" si="35"/>
        <v>0</v>
      </c>
      <c r="BF200" s="120">
        <f t="shared" si="35"/>
        <v>0</v>
      </c>
      <c r="BG200" s="120">
        <f t="shared" si="35"/>
        <v>0</v>
      </c>
      <c r="BH200" s="120">
        <f t="shared" si="35"/>
        <v>0</v>
      </c>
      <c r="BI200" s="120">
        <f t="shared" si="35"/>
        <v>0</v>
      </c>
      <c r="BJ200" s="120">
        <f t="shared" si="35"/>
        <v>0</v>
      </c>
      <c r="BK200" s="120">
        <f t="shared" si="35"/>
        <v>0</v>
      </c>
      <c r="BL200" s="120">
        <f t="shared" si="35"/>
        <v>0</v>
      </c>
      <c r="BM200" s="120">
        <f t="shared" si="35"/>
        <v>0</v>
      </c>
      <c r="BN200" s="120">
        <f t="shared" ca="1" si="35"/>
        <v>1143584.83</v>
      </c>
      <c r="BO200" s="120">
        <f t="shared" si="35"/>
        <v>0</v>
      </c>
      <c r="BP200" s="120">
        <f t="shared" si="35"/>
        <v>0</v>
      </c>
      <c r="BQ200" s="120">
        <f t="shared" si="35"/>
        <v>0</v>
      </c>
      <c r="BR200" s="120">
        <f t="shared" ca="1" si="35"/>
        <v>0.22999999999592546</v>
      </c>
      <c r="BS200" s="120">
        <f t="shared" si="35"/>
        <v>0</v>
      </c>
      <c r="BT200" s="120">
        <f ca="1">BT198+BT190+BT182+BT180+BT178+BT172+BT163+BT153+BT146+BT144+BT142+BT140+BT138+BT196</f>
        <v>1143585.06</v>
      </c>
      <c r="BU200" s="120">
        <f>BU198+BU190+BU182+BU180+BU178+BU172+BU163+BU153+BU146+BU144+BU142+BU140+BU138+BU196</f>
        <v>0</v>
      </c>
      <c r="BV200" s="120">
        <f ca="1">BV198+BV190+BV182+BV180+BV178+BV172+BV163+BV153+BV146+BV144+BV142+BV140+BV138+BV196</f>
        <v>-1143585.06</v>
      </c>
      <c r="BW200" s="120">
        <f>BW198+BW190+BW182+BW180+BW178+BW172+BW163+BW153+BW146+BW144+BW142+BW140+BW138+BW196</f>
        <v>0</v>
      </c>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row>
    <row r="201" spans="1:124" s="21" customFormat="1">
      <c r="A201" s="56"/>
      <c r="B201" s="31"/>
      <c r="J201" s="8"/>
      <c r="L201" s="143"/>
      <c r="M201" s="9"/>
      <c r="N201" s="10"/>
      <c r="O201" s="9"/>
      <c r="P201" s="10"/>
      <c r="Q201" s="9"/>
      <c r="R201" s="10"/>
      <c r="S201" s="9"/>
      <c r="T201" s="10"/>
      <c r="U201" s="9"/>
      <c r="V201" s="10"/>
      <c r="W201" s="9"/>
      <c r="X201" s="10"/>
      <c r="Y201" s="9"/>
      <c r="Z201" s="10"/>
      <c r="AA201" s="9"/>
      <c r="AB201" s="10"/>
      <c r="AC201" s="9"/>
      <c r="AD201" s="10"/>
      <c r="AE201" s="9"/>
      <c r="AF201" s="10"/>
      <c r="AG201" s="9"/>
      <c r="AH201" s="10"/>
      <c r="AI201" s="9"/>
      <c r="AJ201" s="10"/>
      <c r="AK201" s="9"/>
      <c r="AL201" s="10"/>
      <c r="AM201" s="9"/>
      <c r="AN201" s="10"/>
      <c r="AO201" s="9"/>
      <c r="AP201" s="10"/>
      <c r="AQ201" s="9"/>
      <c r="AR201" s="10"/>
      <c r="AS201" s="9"/>
      <c r="AT201" s="10"/>
      <c r="AU201" s="9"/>
      <c r="AV201" s="10"/>
      <c r="AW201" s="10"/>
      <c r="AX201" s="10"/>
      <c r="AY201" s="10"/>
      <c r="AZ201" s="10"/>
      <c r="BA201" s="10"/>
      <c r="BB201" s="10"/>
      <c r="BC201" s="10"/>
      <c r="BD201" s="10"/>
      <c r="BE201" s="10"/>
      <c r="BF201" s="10"/>
      <c r="BG201" s="10"/>
      <c r="BH201" s="10"/>
      <c r="BI201" s="10"/>
      <c r="BJ201" s="10"/>
      <c r="BK201" s="10"/>
      <c r="BL201" s="10"/>
      <c r="BM201" s="9"/>
      <c r="BN201" s="10"/>
      <c r="BO201" s="9"/>
      <c r="BP201" s="10"/>
      <c r="BQ201" s="9"/>
      <c r="BR201" s="10"/>
      <c r="BS201" s="9"/>
      <c r="BT201" s="10"/>
      <c r="BU201" s="9"/>
      <c r="BV201" s="10"/>
      <c r="BW201" s="9"/>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row>
    <row r="202" spans="1:124" s="21" customFormat="1">
      <c r="A202" s="56" t="s">
        <v>190</v>
      </c>
      <c r="B202" s="31"/>
      <c r="J202" s="8"/>
      <c r="L202" s="143" t="s">
        <v>202</v>
      </c>
      <c r="M202" s="9"/>
      <c r="N202" s="9">
        <v>5395729</v>
      </c>
      <c r="O202" s="9"/>
      <c r="P202" s="9">
        <f>5463580+-N202</f>
        <v>67851</v>
      </c>
      <c r="Q202" s="9"/>
      <c r="R202" s="9">
        <v>0</v>
      </c>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10">
        <f>SUM(T202:BM202)</f>
        <v>0</v>
      </c>
      <c r="BO202" s="9">
        <v>2030320</v>
      </c>
      <c r="BP202" s="9">
        <v>0</v>
      </c>
      <c r="BQ202" s="9">
        <v>2030320</v>
      </c>
      <c r="BR202" s="6">
        <f>IF(+R202-BN202+BP202&gt;0,R202-BN202+BP202,0)</f>
        <v>0</v>
      </c>
      <c r="BS202" s="9">
        <v>2030320</v>
      </c>
      <c r="BT202" s="9">
        <f>+BN202+BR202</f>
        <v>0</v>
      </c>
      <c r="BU202" s="9">
        <v>2030320</v>
      </c>
      <c r="BV202" s="6">
        <f>+R202-BT202</f>
        <v>0</v>
      </c>
      <c r="BW202" s="9"/>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row>
    <row r="203" spans="1:124" s="21" customFormat="1">
      <c r="A203" s="56"/>
      <c r="B203" s="31"/>
      <c r="J203" s="8"/>
      <c r="L203" s="143"/>
      <c r="M203" s="9"/>
      <c r="N203" s="10"/>
      <c r="O203" s="9"/>
      <c r="P203" s="10"/>
      <c r="Q203" s="9"/>
      <c r="R203" s="10"/>
      <c r="S203" s="9"/>
      <c r="T203" s="10"/>
      <c r="U203" s="9"/>
      <c r="V203" s="10"/>
      <c r="W203" s="9"/>
      <c r="X203" s="10"/>
      <c r="Y203" s="9"/>
      <c r="Z203" s="10"/>
      <c r="AA203" s="9"/>
      <c r="AB203" s="10"/>
      <c r="AC203" s="9"/>
      <c r="AD203" s="10"/>
      <c r="AE203" s="9"/>
      <c r="AF203" s="10"/>
      <c r="AG203" s="9"/>
      <c r="AH203" s="10"/>
      <c r="AI203" s="9"/>
      <c r="AJ203" s="10"/>
      <c r="AK203" s="9"/>
      <c r="AL203" s="10"/>
      <c r="AM203" s="9"/>
      <c r="AN203" s="10"/>
      <c r="AO203" s="9"/>
      <c r="AP203" s="10"/>
      <c r="AQ203" s="9"/>
      <c r="AR203" s="10"/>
      <c r="AS203" s="9"/>
      <c r="AT203" s="10"/>
      <c r="AU203" s="9"/>
      <c r="AV203" s="10"/>
      <c r="AW203" s="10"/>
      <c r="AX203" s="10"/>
      <c r="AY203" s="10"/>
      <c r="AZ203" s="10"/>
      <c r="BA203" s="10"/>
      <c r="BB203" s="10"/>
      <c r="BC203" s="10"/>
      <c r="BD203" s="10"/>
      <c r="BE203" s="10"/>
      <c r="BF203" s="10"/>
      <c r="BG203" s="10"/>
      <c r="BH203" s="10"/>
      <c r="BI203" s="10"/>
      <c r="BJ203" s="10"/>
      <c r="BK203" s="10"/>
      <c r="BL203" s="10"/>
      <c r="BM203" s="9"/>
      <c r="BN203" s="10"/>
      <c r="BO203" s="9"/>
      <c r="BP203" s="10"/>
      <c r="BQ203" s="9"/>
      <c r="BR203" s="10"/>
      <c r="BS203" s="9"/>
      <c r="BT203" s="10"/>
      <c r="BU203" s="9"/>
      <c r="BV203" s="10"/>
      <c r="BW203" s="9"/>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s="170" customFormat="1">
      <c r="A205" s="169" t="s">
        <v>253</v>
      </c>
      <c r="J205" s="171"/>
      <c r="L205" s="172"/>
      <c r="M205" s="173"/>
      <c r="N205" s="173"/>
      <c r="O205" s="173"/>
      <c r="P205" s="173"/>
      <c r="Q205" s="173"/>
      <c r="R205" s="168">
        <f>R202+R200+R80+R70+R37</f>
        <v>0</v>
      </c>
      <c r="S205" s="168">
        <f t="shared" ref="S205:BV205" si="36">S37+S80+S70+S170+S89+S200+S202</f>
        <v>0</v>
      </c>
      <c r="T205" s="168">
        <f t="shared" si="36"/>
        <v>30080814</v>
      </c>
      <c r="U205" s="168">
        <f t="shared" si="36"/>
        <v>0</v>
      </c>
      <c r="V205" s="168">
        <f t="shared" si="36"/>
        <v>44071359</v>
      </c>
      <c r="W205" s="168">
        <f t="shared" si="36"/>
        <v>0</v>
      </c>
      <c r="X205" s="168">
        <f t="shared" si="36"/>
        <v>3684291.61</v>
      </c>
      <c r="Y205" s="168">
        <f t="shared" si="36"/>
        <v>0</v>
      </c>
      <c r="Z205" s="168">
        <f t="shared" si="36"/>
        <v>475448.42</v>
      </c>
      <c r="AA205" s="168">
        <f t="shared" si="36"/>
        <v>0</v>
      </c>
      <c r="AB205" s="168">
        <f t="shared" si="36"/>
        <v>3575429.56</v>
      </c>
      <c r="AC205" s="168">
        <f t="shared" si="36"/>
        <v>0</v>
      </c>
      <c r="AD205" s="168">
        <f t="shared" si="36"/>
        <v>7136491.0300000003</v>
      </c>
      <c r="AE205" s="168">
        <f t="shared" si="36"/>
        <v>0</v>
      </c>
      <c r="AF205" s="168">
        <f t="shared" ca="1" si="36"/>
        <v>666001.55496666674</v>
      </c>
      <c r="AG205" s="168"/>
      <c r="AH205" s="168">
        <f t="shared" ca="1" si="36"/>
        <v>1386914.0565032915</v>
      </c>
      <c r="AI205" s="168"/>
      <c r="AJ205" s="168">
        <f t="shared" ca="1" si="36"/>
        <v>2148326.5742301848</v>
      </c>
      <c r="AK205" s="168"/>
      <c r="AL205" s="168">
        <f t="shared" ca="1" si="36"/>
        <v>-93106786.032366812</v>
      </c>
      <c r="AM205" s="168"/>
      <c r="AN205" s="168">
        <f t="shared" si="36"/>
        <v>692746.19</v>
      </c>
      <c r="AO205" s="168"/>
      <c r="AP205" s="168">
        <f t="shared" si="36"/>
        <v>323352.19</v>
      </c>
      <c r="AQ205" s="168"/>
      <c r="AR205" s="168">
        <f t="shared" si="36"/>
        <v>16697.29</v>
      </c>
      <c r="AS205" s="168"/>
      <c r="AT205" s="168">
        <f t="shared" si="36"/>
        <v>250000</v>
      </c>
      <c r="AU205" s="168">
        <f t="shared" si="36"/>
        <v>0</v>
      </c>
      <c r="AV205" s="168">
        <f t="shared" si="36"/>
        <v>0</v>
      </c>
      <c r="AW205" s="168">
        <f t="shared" si="36"/>
        <v>0</v>
      </c>
      <c r="AX205" s="168">
        <f t="shared" si="36"/>
        <v>0</v>
      </c>
      <c r="AY205" s="168">
        <f t="shared" si="36"/>
        <v>0</v>
      </c>
      <c r="AZ205" s="168">
        <f t="shared" si="36"/>
        <v>0</v>
      </c>
      <c r="BA205" s="168">
        <f t="shared" si="36"/>
        <v>0</v>
      </c>
      <c r="BB205" s="168">
        <f t="shared" si="36"/>
        <v>0</v>
      </c>
      <c r="BC205" s="168">
        <f t="shared" si="36"/>
        <v>0</v>
      </c>
      <c r="BD205" s="168">
        <f t="shared" si="36"/>
        <v>0</v>
      </c>
      <c r="BE205" s="168">
        <f t="shared" si="36"/>
        <v>0</v>
      </c>
      <c r="BF205" s="168">
        <f t="shared" si="36"/>
        <v>0</v>
      </c>
      <c r="BG205" s="168">
        <f t="shared" si="36"/>
        <v>0</v>
      </c>
      <c r="BH205" s="168">
        <f t="shared" si="36"/>
        <v>0</v>
      </c>
      <c r="BI205" s="168">
        <f t="shared" si="36"/>
        <v>0</v>
      </c>
      <c r="BJ205" s="168">
        <f t="shared" si="36"/>
        <v>0</v>
      </c>
      <c r="BK205" s="168">
        <f t="shared" si="36"/>
        <v>0</v>
      </c>
      <c r="BL205" s="168">
        <f t="shared" si="36"/>
        <v>0</v>
      </c>
      <c r="BM205" s="168">
        <f t="shared" si="36"/>
        <v>0</v>
      </c>
      <c r="BN205" s="168">
        <f t="shared" ca="1" si="36"/>
        <v>1401085.4433333327</v>
      </c>
      <c r="BO205" s="168">
        <f t="shared" si="36"/>
        <v>2030320</v>
      </c>
      <c r="BP205" s="168">
        <f t="shared" si="36"/>
        <v>0</v>
      </c>
      <c r="BQ205" s="168">
        <f t="shared" si="36"/>
        <v>2030320</v>
      </c>
      <c r="BR205" s="168">
        <f t="shared" ca="1" si="36"/>
        <v>0.62000000059197191</v>
      </c>
      <c r="BS205" s="168">
        <f t="shared" si="36"/>
        <v>2030320</v>
      </c>
      <c r="BT205" s="168">
        <f t="shared" ca="1" si="36"/>
        <v>1401086.0633333332</v>
      </c>
      <c r="BU205" s="168">
        <f t="shared" si="36"/>
        <v>2030320</v>
      </c>
      <c r="BV205" s="168">
        <f t="shared" ca="1" si="36"/>
        <v>-1401086.0633333332</v>
      </c>
      <c r="BW205" s="173"/>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21" customFormat="1">
      <c r="A206" s="56" t="s">
        <v>251</v>
      </c>
      <c r="B206" s="31"/>
      <c r="J206" s="8"/>
      <c r="L206" s="143"/>
      <c r="M206" s="9"/>
      <c r="N206" s="10"/>
      <c r="O206" s="9"/>
      <c r="P206" s="10"/>
      <c r="Q206" s="9"/>
      <c r="R206" s="10"/>
      <c r="S206" s="9"/>
      <c r="T206" s="10"/>
      <c r="U206" s="9"/>
      <c r="V206" s="10"/>
      <c r="W206" s="9"/>
      <c r="X206" s="10"/>
      <c r="Y206" s="9"/>
      <c r="Z206" s="10"/>
      <c r="AA206" s="9"/>
      <c r="AB206" s="10"/>
      <c r="AC206" s="9"/>
      <c r="AD206" s="10"/>
      <c r="AE206" s="9"/>
      <c r="AF206" s="10"/>
      <c r="AG206" s="9"/>
      <c r="AH206" s="10"/>
      <c r="AI206" s="9"/>
      <c r="AJ206" s="10"/>
      <c r="AK206" s="9"/>
      <c r="AL206" s="10"/>
      <c r="AM206" s="9"/>
      <c r="AN206" s="10"/>
      <c r="AO206" s="9"/>
      <c r="AP206" s="10"/>
      <c r="AQ206" s="9"/>
      <c r="AR206" s="10"/>
      <c r="AS206" s="9"/>
      <c r="AT206" s="10"/>
      <c r="AU206" s="9"/>
      <c r="AV206" s="10"/>
      <c r="AW206" s="10"/>
      <c r="AX206" s="10"/>
      <c r="AY206" s="10"/>
      <c r="AZ206" s="10"/>
      <c r="BA206" s="10"/>
      <c r="BB206" s="10"/>
      <c r="BC206" s="10"/>
      <c r="BD206" s="10"/>
      <c r="BE206" s="10"/>
      <c r="BF206" s="10"/>
      <c r="BG206" s="10"/>
      <c r="BH206" s="10"/>
      <c r="BI206" s="10"/>
      <c r="BJ206" s="10"/>
      <c r="BK206" s="10"/>
      <c r="BL206" s="10"/>
      <c r="BM206" s="9"/>
      <c r="BN206" s="10"/>
      <c r="BO206" s="9"/>
      <c r="BP206" s="10"/>
      <c r="BQ206" s="9"/>
      <c r="BR206" s="10"/>
      <c r="BS206" s="9"/>
      <c r="BT206" s="10">
        <f ca="1">BT205-'[2]Calvert City'!$X$64</f>
        <v>590051.19333333324</v>
      </c>
      <c r="BU206" s="9"/>
      <c r="BV206" s="10"/>
      <c r="BW206" s="9"/>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21" customFormat="1">
      <c r="A207" s="56"/>
      <c r="B207" s="31"/>
      <c r="J207" s="8"/>
      <c r="L207" s="143"/>
      <c r="M207" s="9"/>
      <c r="N207" s="10"/>
      <c r="O207" s="9"/>
      <c r="P207" s="10"/>
      <c r="Q207" s="9"/>
      <c r="R207" s="10"/>
      <c r="S207" s="9"/>
      <c r="T207" s="10"/>
      <c r="U207" s="9"/>
      <c r="V207" s="10"/>
      <c r="W207" s="9"/>
      <c r="X207" s="10"/>
      <c r="Y207" s="9"/>
      <c r="Z207" s="10"/>
      <c r="AA207" s="9"/>
      <c r="AB207" s="10"/>
      <c r="AC207" s="9"/>
      <c r="AD207" s="10"/>
      <c r="AE207" s="9"/>
      <c r="AF207" s="10"/>
      <c r="AG207" s="9"/>
      <c r="AH207" s="10"/>
      <c r="AI207" s="9"/>
      <c r="AJ207" s="10"/>
      <c r="AK207" s="9"/>
      <c r="AL207" s="10"/>
      <c r="AM207" s="9"/>
      <c r="AN207" s="10"/>
      <c r="AO207" s="9"/>
      <c r="AP207" s="10"/>
      <c r="AQ207" s="9"/>
      <c r="AR207" s="10"/>
      <c r="AS207" s="9"/>
      <c r="AT207" s="10"/>
      <c r="AU207" s="9"/>
      <c r="AV207" s="10"/>
      <c r="AW207" s="10"/>
      <c r="AX207" s="10"/>
      <c r="AY207" s="10"/>
      <c r="AZ207" s="10"/>
      <c r="BA207" s="10"/>
      <c r="BB207" s="10"/>
      <c r="BC207" s="10"/>
      <c r="BD207" s="10"/>
      <c r="BE207" s="10"/>
      <c r="BF207" s="10"/>
      <c r="BG207" s="10"/>
      <c r="BH207" s="10"/>
      <c r="BI207" s="10"/>
      <c r="BJ207" s="10"/>
      <c r="BK207" s="10"/>
      <c r="BL207" s="10"/>
      <c r="BM207" s="9"/>
      <c r="BN207" s="10"/>
      <c r="BO207" s="9"/>
      <c r="BP207" s="10"/>
      <c r="BQ207" s="9"/>
      <c r="BR207" s="10"/>
      <c r="BS207" s="9"/>
      <c r="BT207" s="10"/>
      <c r="BU207" s="9"/>
      <c r="BV207" s="10"/>
      <c r="BW207" s="9"/>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21" customFormat="1">
      <c r="A208" s="58" t="s">
        <v>219</v>
      </c>
      <c r="B208" s="31"/>
      <c r="J208" s="8"/>
      <c r="L208" s="143" t="s">
        <v>202</v>
      </c>
      <c r="M208" s="9"/>
      <c r="N208" s="9">
        <v>0</v>
      </c>
      <c r="O208" s="9"/>
      <c r="P208" s="9">
        <f>21557+23365.91</f>
        <v>44922.91</v>
      </c>
      <c r="Q208" s="9"/>
      <c r="R208" s="9">
        <v>0</v>
      </c>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10">
        <f>SUM(T208:BM208)</f>
        <v>0</v>
      </c>
      <c r="BO208" s="9"/>
      <c r="BP208" s="10">
        <v>0</v>
      </c>
      <c r="BQ208" s="10"/>
      <c r="BR208" s="10">
        <v>0</v>
      </c>
      <c r="BS208" s="10"/>
      <c r="BT208" s="9">
        <f>+BN208+BR208</f>
        <v>0</v>
      </c>
      <c r="BU208" s="10"/>
      <c r="BV208" s="9">
        <f>+R208-BT208</f>
        <v>0</v>
      </c>
      <c r="BW208" s="9"/>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c r="J209" s="8"/>
      <c r="L209" s="143"/>
      <c r="M209" s="9"/>
      <c r="N209" s="10"/>
      <c r="O209" s="9"/>
      <c r="P209" s="10"/>
      <c r="Q209" s="9"/>
      <c r="R209" s="10"/>
      <c r="S209" s="9"/>
      <c r="T209" s="10"/>
      <c r="U209" s="9"/>
      <c r="V209" s="10"/>
      <c r="W209" s="9"/>
      <c r="X209" s="10"/>
      <c r="Y209" s="9"/>
      <c r="Z209" s="10"/>
      <c r="AA209" s="9"/>
      <c r="AB209" s="10"/>
      <c r="AC209" s="9"/>
      <c r="AD209" s="10"/>
      <c r="AE209" s="9"/>
      <c r="AF209" s="10"/>
      <c r="AG209" s="9"/>
      <c r="AH209" s="10"/>
      <c r="AI209" s="9"/>
      <c r="AJ209" s="10"/>
      <c r="AK209" s="9"/>
      <c r="AL209" s="10"/>
      <c r="AM209" s="9"/>
      <c r="AN209" s="10"/>
      <c r="AO209" s="9"/>
      <c r="AP209" s="10"/>
      <c r="AQ209" s="9"/>
      <c r="AR209" s="10"/>
      <c r="AS209" s="9"/>
      <c r="AT209" s="10"/>
      <c r="AU209" s="9"/>
      <c r="AV209" s="10"/>
      <c r="AW209" s="10"/>
      <c r="AX209" s="10"/>
      <c r="AY209" s="10"/>
      <c r="AZ209" s="10"/>
      <c r="BA209" s="10"/>
      <c r="BB209" s="10"/>
      <c r="BC209" s="10"/>
      <c r="BD209" s="10"/>
      <c r="BE209" s="10"/>
      <c r="BF209" s="10"/>
      <c r="BG209" s="10"/>
      <c r="BH209" s="10"/>
      <c r="BI209" s="10"/>
      <c r="BJ209" s="10"/>
      <c r="BK209" s="10"/>
      <c r="BL209" s="10"/>
      <c r="BM209" s="9"/>
      <c r="BN209" s="10"/>
      <c r="BO209" s="9"/>
      <c r="BP209" s="10"/>
      <c r="BQ209" s="9"/>
      <c r="BR209" s="10"/>
      <c r="BS209" s="9"/>
      <c r="BT209" s="10"/>
      <c r="BU209" s="9"/>
      <c r="BV209" s="10"/>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6" t="s">
        <v>250</v>
      </c>
      <c r="B210" s="31"/>
      <c r="J210" s="8"/>
      <c r="L210" s="143"/>
      <c r="M210" s="9"/>
      <c r="N210" s="10"/>
      <c r="O210" s="9"/>
      <c r="P210" s="10"/>
      <c r="Q210" s="9"/>
      <c r="R210" s="10">
        <v>0</v>
      </c>
      <c r="S210" s="9"/>
      <c r="T210" s="10"/>
      <c r="U210" s="9"/>
      <c r="V210" s="10"/>
      <c r="W210" s="9"/>
      <c r="X210" s="10"/>
      <c r="Y210" s="9"/>
      <c r="Z210" s="10">
        <v>0</v>
      </c>
      <c r="AA210" s="9"/>
      <c r="AB210" s="10">
        <v>0</v>
      </c>
      <c r="AC210" s="9"/>
      <c r="AD210" s="10">
        <v>0</v>
      </c>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f>SUM(T210:BM210)</f>
        <v>0</v>
      </c>
      <c r="BO210" s="9"/>
      <c r="BP210" s="10">
        <v>0</v>
      </c>
      <c r="BQ210" s="9"/>
      <c r="BR210" s="10">
        <f>+R210-BN210+BP210</f>
        <v>0</v>
      </c>
      <c r="BS210" s="9"/>
      <c r="BT210" s="9">
        <f>+BN210+BR210</f>
        <v>0</v>
      </c>
      <c r="BU210" s="9"/>
      <c r="BV210" s="9">
        <f>+R210-BT210</f>
        <v>0</v>
      </c>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21" customFormat="1">
      <c r="A211" s="56"/>
      <c r="B211" s="31"/>
      <c r="J211" s="8"/>
      <c r="L211" s="143"/>
      <c r="M211" s="9"/>
      <c r="N211" s="10"/>
      <c r="O211" s="9"/>
      <c r="P211" s="10"/>
      <c r="Q211" s="9"/>
      <c r="R211" s="10"/>
      <c r="S211" s="9"/>
      <c r="T211" s="10"/>
      <c r="U211" s="9"/>
      <c r="V211" s="10"/>
      <c r="W211" s="9"/>
      <c r="X211" s="10"/>
      <c r="Y211" s="9"/>
      <c r="Z211" s="10"/>
      <c r="AA211" s="9"/>
      <c r="AB211" s="10"/>
      <c r="AC211" s="9"/>
      <c r="AD211" s="10"/>
      <c r="AE211" s="9"/>
      <c r="AF211" s="10"/>
      <c r="AG211" s="9"/>
      <c r="AH211" s="10"/>
      <c r="AI211" s="9"/>
      <c r="AJ211" s="10"/>
      <c r="AK211" s="9"/>
      <c r="AL211" s="10"/>
      <c r="AM211" s="9"/>
      <c r="AN211" s="10"/>
      <c r="AO211" s="9"/>
      <c r="AP211" s="10"/>
      <c r="AQ211" s="9"/>
      <c r="AR211" s="10"/>
      <c r="AS211" s="9"/>
      <c r="AT211" s="10"/>
      <c r="AU211" s="9"/>
      <c r="AV211" s="10"/>
      <c r="AW211" s="10"/>
      <c r="AX211" s="10"/>
      <c r="AY211" s="10"/>
      <c r="AZ211" s="10"/>
      <c r="BA211" s="10"/>
      <c r="BB211" s="10"/>
      <c r="BC211" s="10"/>
      <c r="BD211" s="10"/>
      <c r="BE211" s="10"/>
      <c r="BF211" s="10"/>
      <c r="BG211" s="10"/>
      <c r="BH211" s="10"/>
      <c r="BI211" s="10"/>
      <c r="BJ211" s="10"/>
      <c r="BK211" s="10"/>
      <c r="BL211" s="10"/>
      <c r="BM211" s="9"/>
      <c r="BN211" s="10"/>
      <c r="BO211" s="9"/>
      <c r="BP211" s="10"/>
      <c r="BQ211" s="9"/>
      <c r="BR211" s="10"/>
      <c r="BS211" s="9"/>
      <c r="BT211" s="10"/>
      <c r="BU211" s="9"/>
      <c r="BV211" s="10"/>
      <c r="BW211" s="9"/>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8" t="s">
        <v>438</v>
      </c>
      <c r="B212" s="31"/>
      <c r="J212" s="8"/>
      <c r="L212" s="143"/>
      <c r="M212" s="9"/>
      <c r="N212" s="10"/>
      <c r="O212" s="9"/>
      <c r="P212" s="10"/>
      <c r="Q212" s="9"/>
      <c r="R212" s="10"/>
      <c r="S212" s="9"/>
      <c r="T212" s="10"/>
      <c r="U212" s="9"/>
      <c r="V212" s="10"/>
      <c r="W212" s="9"/>
      <c r="X212" s="10"/>
      <c r="Y212" s="9"/>
      <c r="Z212" s="10"/>
      <c r="AA212" s="9"/>
      <c r="AB212" s="10"/>
      <c r="AC212" s="9"/>
      <c r="AD212" s="10">
        <v>100</v>
      </c>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f>SUM(T212:BM212)</f>
        <v>100</v>
      </c>
      <c r="BO212" s="9"/>
      <c r="BP212" s="10"/>
      <c r="BQ212" s="9"/>
      <c r="BR212" s="10"/>
      <c r="BS212" s="9"/>
      <c r="BT212" s="9">
        <f>+BN212+BR212</f>
        <v>100</v>
      </c>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21" customFormat="1">
      <c r="A213" s="58"/>
      <c r="B213" s="31"/>
      <c r="J213" s="8"/>
      <c r="L213" s="143"/>
      <c r="M213" s="9"/>
      <c r="N213" s="10"/>
      <c r="O213" s="9"/>
      <c r="P213" s="10"/>
      <c r="Q213" s="9"/>
      <c r="R213" s="10"/>
      <c r="S213" s="9"/>
      <c r="T213" s="10"/>
      <c r="U213" s="9"/>
      <c r="V213" s="10"/>
      <c r="W213" s="9"/>
      <c r="X213" s="10"/>
      <c r="Y213" s="9"/>
      <c r="Z213" s="10"/>
      <c r="AA213" s="9"/>
      <c r="AB213" s="10"/>
      <c r="AC213" s="9"/>
      <c r="AD213" s="10"/>
      <c r="AE213" s="9"/>
      <c r="AF213" s="10"/>
      <c r="AG213" s="9"/>
      <c r="AH213" s="10"/>
      <c r="AI213" s="9"/>
      <c r="AJ213" s="10"/>
      <c r="AK213" s="9"/>
      <c r="AL213" s="10"/>
      <c r="AM213" s="9"/>
      <c r="AN213" s="10"/>
      <c r="AO213" s="9"/>
      <c r="AP213" s="10"/>
      <c r="AQ213" s="9"/>
      <c r="AR213" s="10"/>
      <c r="AS213" s="9"/>
      <c r="AT213" s="10"/>
      <c r="AU213" s="9"/>
      <c r="AV213" s="10"/>
      <c r="AW213" s="10"/>
      <c r="AX213" s="10"/>
      <c r="AY213" s="10"/>
      <c r="AZ213" s="10"/>
      <c r="BA213" s="10"/>
      <c r="BB213" s="10"/>
      <c r="BC213" s="10"/>
      <c r="BD213" s="10"/>
      <c r="BE213" s="10"/>
      <c r="BF213" s="10"/>
      <c r="BG213" s="10"/>
      <c r="BH213" s="10"/>
      <c r="BI213" s="10"/>
      <c r="BJ213" s="10"/>
      <c r="BK213" s="10"/>
      <c r="BL213" s="10"/>
      <c r="BM213" s="9"/>
      <c r="BN213" s="10"/>
      <c r="BO213" s="9"/>
      <c r="BP213" s="10"/>
      <c r="BQ213" s="9"/>
      <c r="BR213" s="10"/>
      <c r="BS213" s="9"/>
      <c r="BT213" s="10"/>
      <c r="BU213" s="9"/>
      <c r="BV213" s="10"/>
      <c r="BW213" s="9"/>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8" t="s">
        <v>269</v>
      </c>
      <c r="B214" s="31"/>
      <c r="J214" s="8"/>
      <c r="L214" s="143"/>
      <c r="M214" s="9"/>
      <c r="N214" s="10"/>
      <c r="O214" s="9"/>
      <c r="P214" s="10"/>
      <c r="Q214" s="9"/>
      <c r="R214" s="10">
        <v>0</v>
      </c>
      <c r="S214" s="9"/>
      <c r="T214" s="10"/>
      <c r="U214" s="9"/>
      <c r="V214" s="10"/>
      <c r="W214" s="9"/>
      <c r="X214" s="10"/>
      <c r="Y214" s="9"/>
      <c r="Z214" s="10"/>
      <c r="AA214" s="9"/>
      <c r="AB214" s="10">
        <v>-82061</v>
      </c>
      <c r="AC214" s="9"/>
      <c r="AD214" s="10">
        <f>-1928-35</f>
        <v>-1963</v>
      </c>
      <c r="AE214" s="9"/>
      <c r="AF214" s="10">
        <v>-32859</v>
      </c>
      <c r="AG214" s="9"/>
      <c r="AH214" s="10">
        <f>-22657</f>
        <v>-22657</v>
      </c>
      <c r="AI214" s="9"/>
      <c r="AJ214" s="10"/>
      <c r="AK214" s="9"/>
      <c r="AL214" s="10"/>
      <c r="AM214" s="9"/>
      <c r="AN214" s="10">
        <v>-144358</v>
      </c>
      <c r="AO214" s="9"/>
      <c r="AP214" s="10">
        <f>-13821</f>
        <v>-13821</v>
      </c>
      <c r="AQ214" s="9"/>
      <c r="AR214" s="10">
        <f>-99387+35</f>
        <v>-99352</v>
      </c>
      <c r="AS214" s="9"/>
      <c r="AT214" s="10">
        <v>-91244</v>
      </c>
      <c r="AU214" s="9"/>
      <c r="AV214" s="10"/>
      <c r="AW214" s="10"/>
      <c r="AX214" s="10"/>
      <c r="AY214" s="10"/>
      <c r="AZ214" s="10"/>
      <c r="BA214" s="10"/>
      <c r="BB214" s="10"/>
      <c r="BC214" s="10"/>
      <c r="BD214" s="10"/>
      <c r="BE214" s="10"/>
      <c r="BF214" s="10"/>
      <c r="BG214" s="10"/>
      <c r="BH214" s="10"/>
      <c r="BI214" s="10"/>
      <c r="BJ214" s="10"/>
      <c r="BK214" s="10"/>
      <c r="BL214" s="10"/>
      <c r="BM214" s="9"/>
      <c r="BN214" s="10">
        <f>SUM(T214:BM214)</f>
        <v>-488315</v>
      </c>
      <c r="BO214" s="9"/>
      <c r="BP214" s="10"/>
      <c r="BQ214" s="9"/>
      <c r="BR214" s="10">
        <v>0</v>
      </c>
      <c r="BS214" s="9"/>
      <c r="BT214" s="9">
        <f>+BN214+BR214</f>
        <v>-488315</v>
      </c>
      <c r="BU214" s="9"/>
      <c r="BV214" s="9">
        <f>+R214-BT214</f>
        <v>488315</v>
      </c>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8"/>
      <c r="B215" s="31"/>
      <c r="J215" s="8"/>
      <c r="L215" s="143"/>
      <c r="M215" s="9"/>
      <c r="N215" s="10"/>
      <c r="O215" s="9"/>
      <c r="P215" s="10"/>
      <c r="Q215" s="9"/>
      <c r="R215" s="10"/>
      <c r="S215" s="9"/>
      <c r="T215" s="10"/>
      <c r="U215" s="9"/>
      <c r="V215" s="10"/>
      <c r="W215" s="9"/>
      <c r="X215" s="10"/>
      <c r="Y215" s="9"/>
      <c r="Z215" s="10"/>
      <c r="AA215" s="9"/>
      <c r="AB215" s="10"/>
      <c r="AC215" s="9"/>
      <c r="AD215" s="10"/>
      <c r="AE215" s="9"/>
      <c r="AF215" s="10"/>
      <c r="AG215" s="9"/>
      <c r="AH215" s="10"/>
      <c r="AI215" s="9"/>
      <c r="AJ215" s="10"/>
      <c r="AK215" s="9"/>
      <c r="AL215" s="10"/>
      <c r="AM215" s="9"/>
      <c r="AN215" s="10"/>
      <c r="AO215" s="9"/>
      <c r="AP215" s="10"/>
      <c r="AQ215" s="9"/>
      <c r="AR215" s="10"/>
      <c r="AS215" s="9"/>
      <c r="AT215" s="10"/>
      <c r="AU215" s="9"/>
      <c r="AV215" s="10"/>
      <c r="AW215" s="10"/>
      <c r="AX215" s="10"/>
      <c r="AY215" s="10"/>
      <c r="AZ215" s="10"/>
      <c r="BA215" s="10"/>
      <c r="BB215" s="10"/>
      <c r="BC215" s="10"/>
      <c r="BD215" s="10"/>
      <c r="BE215" s="10"/>
      <c r="BF215" s="10"/>
      <c r="BG215" s="10"/>
      <c r="BH215" s="10"/>
      <c r="BI215" s="10"/>
      <c r="BJ215" s="10"/>
      <c r="BK215" s="10"/>
      <c r="BL215" s="10"/>
      <c r="BM215" s="9"/>
      <c r="BN215" s="10"/>
      <c r="BO215" s="9"/>
      <c r="BP215" s="10"/>
      <c r="BQ215" s="9"/>
      <c r="BR215" s="10"/>
      <c r="BS215" s="9"/>
      <c r="BT215" s="10"/>
      <c r="BU215" s="9"/>
      <c r="BV215" s="10"/>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105" customFormat="1" ht="13.5" thickBot="1">
      <c r="A216" s="63" t="s">
        <v>252</v>
      </c>
      <c r="B216" s="54"/>
      <c r="J216" s="158"/>
      <c r="L216" s="144"/>
      <c r="M216" s="13"/>
      <c r="N216" s="120"/>
      <c r="O216" s="13"/>
      <c r="P216" s="120"/>
      <c r="Q216" s="13"/>
      <c r="R216" s="121">
        <f t="shared" ref="R216:AC216" si="37">R205+R208+R210+R214</f>
        <v>0</v>
      </c>
      <c r="S216" s="121">
        <f t="shared" si="37"/>
        <v>0</v>
      </c>
      <c r="T216" s="121">
        <f t="shared" si="37"/>
        <v>30080814</v>
      </c>
      <c r="U216" s="121">
        <f t="shared" si="37"/>
        <v>0</v>
      </c>
      <c r="V216" s="121">
        <f t="shared" si="37"/>
        <v>44071359</v>
      </c>
      <c r="W216" s="121">
        <f t="shared" si="37"/>
        <v>0</v>
      </c>
      <c r="X216" s="121">
        <f t="shared" si="37"/>
        <v>3684291.61</v>
      </c>
      <c r="Y216" s="121">
        <f t="shared" si="37"/>
        <v>0</v>
      </c>
      <c r="Z216" s="121">
        <f t="shared" si="37"/>
        <v>475448.42</v>
      </c>
      <c r="AA216" s="121">
        <f t="shared" si="37"/>
        <v>0</v>
      </c>
      <c r="AB216" s="121">
        <f t="shared" si="37"/>
        <v>3493368.56</v>
      </c>
      <c r="AC216" s="121">
        <f t="shared" si="37"/>
        <v>0</v>
      </c>
      <c r="AD216" s="121">
        <f>AD205+AD208+AD210+AD214+AD212</f>
        <v>7134628.0300000003</v>
      </c>
      <c r="AE216" s="121">
        <f>AE205+AE208+AE210+AE214</f>
        <v>0</v>
      </c>
      <c r="AF216" s="121">
        <f t="shared" ref="AF216:BN216" ca="1" si="38">AF205+AF208+AF210+AF214+AF212</f>
        <v>633142.55496666674</v>
      </c>
      <c r="AG216" s="121"/>
      <c r="AH216" s="121">
        <f t="shared" ca="1" si="38"/>
        <v>1364257.0565032915</v>
      </c>
      <c r="AI216" s="121"/>
      <c r="AJ216" s="121">
        <f t="shared" ca="1" si="38"/>
        <v>2148326.5742301848</v>
      </c>
      <c r="AK216" s="121"/>
      <c r="AL216" s="121">
        <f t="shared" ca="1" si="38"/>
        <v>-93106786.032366812</v>
      </c>
      <c r="AM216" s="121"/>
      <c r="AN216" s="121">
        <f t="shared" si="38"/>
        <v>548388.18999999994</v>
      </c>
      <c r="AO216" s="121"/>
      <c r="AP216" s="121">
        <f t="shared" si="38"/>
        <v>309531.19</v>
      </c>
      <c r="AQ216" s="121"/>
      <c r="AR216" s="121">
        <f t="shared" si="38"/>
        <v>-82654.709999999992</v>
      </c>
      <c r="AS216" s="121"/>
      <c r="AT216" s="121">
        <f t="shared" si="38"/>
        <v>158756</v>
      </c>
      <c r="AU216" s="121">
        <f t="shared" si="38"/>
        <v>0</v>
      </c>
      <c r="AV216" s="121">
        <f t="shared" si="38"/>
        <v>0</v>
      </c>
      <c r="AW216" s="121">
        <f t="shared" si="38"/>
        <v>0</v>
      </c>
      <c r="AX216" s="121">
        <f t="shared" si="38"/>
        <v>0</v>
      </c>
      <c r="AY216" s="121">
        <f t="shared" si="38"/>
        <v>0</v>
      </c>
      <c r="AZ216" s="121">
        <f t="shared" si="38"/>
        <v>0</v>
      </c>
      <c r="BA216" s="121">
        <f t="shared" si="38"/>
        <v>0</v>
      </c>
      <c r="BB216" s="121">
        <f t="shared" si="38"/>
        <v>0</v>
      </c>
      <c r="BC216" s="121">
        <f t="shared" si="38"/>
        <v>0</v>
      </c>
      <c r="BD216" s="121">
        <f t="shared" si="38"/>
        <v>0</v>
      </c>
      <c r="BE216" s="121">
        <f t="shared" si="38"/>
        <v>0</v>
      </c>
      <c r="BF216" s="121">
        <f t="shared" si="38"/>
        <v>0</v>
      </c>
      <c r="BG216" s="121">
        <f t="shared" si="38"/>
        <v>0</v>
      </c>
      <c r="BH216" s="121">
        <f t="shared" si="38"/>
        <v>0</v>
      </c>
      <c r="BI216" s="121">
        <f t="shared" si="38"/>
        <v>0</v>
      </c>
      <c r="BJ216" s="121">
        <f t="shared" si="38"/>
        <v>0</v>
      </c>
      <c r="BK216" s="121">
        <f t="shared" si="38"/>
        <v>0</v>
      </c>
      <c r="BL216" s="121">
        <f t="shared" si="38"/>
        <v>0</v>
      </c>
      <c r="BM216" s="121">
        <f t="shared" si="38"/>
        <v>0</v>
      </c>
      <c r="BN216" s="121">
        <f t="shared" ca="1" si="38"/>
        <v>912870.44333333266</v>
      </c>
      <c r="BO216" s="121">
        <f t="shared" ref="BO216:BW216" si="39">BO205+BO208+BO210+BO214</f>
        <v>2030320</v>
      </c>
      <c r="BP216" s="121">
        <f t="shared" si="39"/>
        <v>0</v>
      </c>
      <c r="BQ216" s="121">
        <f t="shared" si="39"/>
        <v>2030320</v>
      </c>
      <c r="BR216" s="121">
        <f t="shared" ca="1" si="39"/>
        <v>0.62000000059197191</v>
      </c>
      <c r="BS216" s="121">
        <f t="shared" si="39"/>
        <v>2030320</v>
      </c>
      <c r="BT216" s="121">
        <f ca="1">BT205+BT208+BT210+BT214+BT212</f>
        <v>912871.06333333324</v>
      </c>
      <c r="BU216" s="121">
        <f t="shared" si="39"/>
        <v>2030320</v>
      </c>
      <c r="BV216" s="121">
        <f t="shared" ca="1" si="39"/>
        <v>-912771.06333333324</v>
      </c>
      <c r="BW216" s="120">
        <f t="shared" si="39"/>
        <v>0</v>
      </c>
      <c r="BX216" s="119"/>
      <c r="BY216" s="119"/>
      <c r="BZ216" s="119"/>
      <c r="CA216" s="119"/>
      <c r="CB216" s="119"/>
      <c r="CC216" s="119"/>
      <c r="CD216" s="119"/>
      <c r="CE216" s="119"/>
      <c r="CF216" s="119"/>
      <c r="CG216" s="119"/>
      <c r="CH216" s="119"/>
      <c r="CI216" s="119"/>
      <c r="CJ216" s="119"/>
      <c r="CK216" s="119"/>
      <c r="CL216" s="119"/>
      <c r="CM216" s="119"/>
      <c r="CN216" s="119"/>
      <c r="CO216" s="119"/>
      <c r="CP216" s="119"/>
      <c r="CQ216" s="119"/>
      <c r="CR216" s="119"/>
      <c r="CS216" s="119"/>
      <c r="CT216" s="119"/>
      <c r="CU216" s="119"/>
      <c r="CV216" s="119"/>
      <c r="CW216" s="119"/>
      <c r="CX216" s="119"/>
      <c r="CY216" s="119"/>
      <c r="CZ216" s="119"/>
      <c r="DA216" s="119"/>
      <c r="DB216" s="119"/>
      <c r="DC216" s="119"/>
      <c r="DD216" s="119"/>
      <c r="DE216" s="119"/>
      <c r="DF216" s="119"/>
      <c r="DG216" s="119"/>
      <c r="DH216" s="119"/>
      <c r="DI216" s="119"/>
      <c r="DJ216" s="119"/>
      <c r="DK216" s="119"/>
      <c r="DL216" s="119"/>
      <c r="DM216" s="119"/>
      <c r="DN216" s="119"/>
      <c r="DO216" s="119"/>
      <c r="DP216" s="119"/>
      <c r="DQ216" s="119"/>
      <c r="DR216" s="119"/>
      <c r="DS216" s="119"/>
      <c r="DT216" s="119"/>
    </row>
    <row r="217" spans="1:124" s="21" customFormat="1" ht="13.5" thickTop="1">
      <c r="A217" s="58"/>
      <c r="B217" s="31"/>
      <c r="J217" s="8"/>
      <c r="L217" s="143"/>
      <c r="M217" s="9"/>
      <c r="N217" s="10"/>
      <c r="O217" s="9"/>
      <c r="P217" s="10"/>
      <c r="Q217" s="9"/>
      <c r="R217" s="10"/>
      <c r="S217" s="9"/>
      <c r="T217" s="10"/>
      <c r="U217" s="9"/>
      <c r="V217" s="10"/>
      <c r="W217" s="9"/>
      <c r="X217" s="10"/>
      <c r="Y217" s="9"/>
      <c r="Z217" s="10"/>
      <c r="AA217" s="9"/>
      <c r="AB217" s="10"/>
      <c r="AC217" s="9"/>
      <c r="AD217" s="10"/>
      <c r="AE217" s="9"/>
      <c r="AF217" s="10"/>
      <c r="AG217" s="9"/>
      <c r="AH217" s="10"/>
      <c r="AI217" s="9"/>
      <c r="AJ217" s="10"/>
      <c r="AK217" s="9"/>
      <c r="AL217" s="10"/>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c r="BO217" s="9"/>
      <c r="BP217" s="10"/>
      <c r="BQ217" s="9"/>
      <c r="BR217" s="10"/>
      <c r="BS217" s="9"/>
      <c r="BT217" s="10"/>
      <c r="BU217" s="9"/>
      <c r="BV217" s="10"/>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c r="C218"/>
      <c r="D218"/>
      <c r="E218"/>
      <c r="F218"/>
      <c r="G218"/>
      <c r="H218"/>
      <c r="I218"/>
      <c r="J218" s="49"/>
      <c r="K218"/>
      <c r="L218" s="134"/>
      <c r="M218" s="6"/>
      <c r="O218" s="6"/>
      <c r="Q218" s="6"/>
      <c r="S218" s="6"/>
      <c r="T218" s="6"/>
      <c r="U218" s="6"/>
      <c r="V218" s="6"/>
      <c r="X218" s="6"/>
      <c r="Z218" s="6"/>
      <c r="AB218" s="6"/>
      <c r="AD218" s="6"/>
      <c r="BL218" s="6"/>
      <c r="BM218" s="6"/>
      <c r="BO218" s="6"/>
      <c r="BP218" s="6"/>
      <c r="BQ218" s="6"/>
      <c r="BW218" s="6"/>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customFormat="1"/>
    <row r="220" spans="1:124">
      <c r="C220"/>
      <c r="D220"/>
      <c r="E220"/>
      <c r="F220"/>
      <c r="G220"/>
      <c r="H220"/>
      <c r="I220"/>
      <c r="J220" s="49"/>
      <c r="K220"/>
      <c r="L220" s="134"/>
      <c r="M220" s="6"/>
      <c r="O220" s="6"/>
      <c r="Q220" s="6"/>
      <c r="S220" s="6"/>
      <c r="T220" s="22"/>
      <c r="U220" s="6"/>
      <c r="V220" s="22"/>
      <c r="X220" s="22"/>
      <c r="Z220" s="22"/>
      <c r="AB220" s="22"/>
      <c r="AD220" s="22"/>
      <c r="AF220" s="22"/>
      <c r="AH220" s="22"/>
      <c r="AJ220" s="22"/>
      <c r="AL220" s="22"/>
      <c r="AN220" s="22"/>
      <c r="AP220" s="22"/>
      <c r="AR220" s="22"/>
      <c r="AT220" s="22"/>
      <c r="AV220" s="22"/>
      <c r="AW220" s="22"/>
      <c r="AX220" s="22"/>
      <c r="AY220" s="22"/>
      <c r="AZ220" s="22"/>
      <c r="BA220" s="22"/>
      <c r="BB220" s="22"/>
      <c r="BC220" s="22"/>
      <c r="BD220" s="22"/>
      <c r="BE220" s="22"/>
      <c r="BF220" s="22"/>
      <c r="BG220" s="22"/>
      <c r="BH220" s="22"/>
      <c r="BI220" s="22"/>
      <c r="BJ220" s="22"/>
      <c r="BK220" s="22"/>
      <c r="BL220" s="22"/>
      <c r="BM220" s="6"/>
      <c r="BN220" s="22"/>
      <c r="BO220" s="6"/>
      <c r="BP220" s="22"/>
      <c r="BQ220" s="6"/>
      <c r="BW220" s="6"/>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c r="C221"/>
      <c r="D221"/>
      <c r="E221"/>
      <c r="F221"/>
      <c r="G221"/>
      <c r="H221"/>
      <c r="I221"/>
      <c r="J221" s="49"/>
      <c r="K221"/>
      <c r="L221" s="134"/>
      <c r="M221" s="6"/>
      <c r="O221" s="6"/>
      <c r="Q221" s="6"/>
      <c r="S221" s="6"/>
      <c r="T221" s="22"/>
      <c r="U221" s="6"/>
      <c r="V221" s="22"/>
      <c r="X221" s="22"/>
      <c r="Z221" s="22"/>
      <c r="AB221" s="22"/>
      <c r="AD221" s="22"/>
      <c r="AF221" s="22"/>
      <c r="AH221" s="22"/>
      <c r="AJ221" s="22"/>
      <c r="AL221" s="22"/>
      <c r="AN221" s="22"/>
      <c r="AP221" s="22"/>
      <c r="AR221" s="22"/>
      <c r="AT221" s="22"/>
      <c r="AV221" s="22"/>
      <c r="AW221" s="22"/>
      <c r="AX221" s="22"/>
      <c r="AY221" s="22"/>
      <c r="AZ221" s="22"/>
      <c r="BA221" s="22"/>
      <c r="BB221" s="22"/>
      <c r="BC221" s="22"/>
      <c r="BD221" s="22"/>
      <c r="BE221" s="22"/>
      <c r="BF221" s="22"/>
      <c r="BG221" s="22"/>
      <c r="BH221" s="22"/>
      <c r="BI221" s="22"/>
      <c r="BJ221" s="22"/>
      <c r="BK221" s="22"/>
      <c r="BL221" s="22"/>
      <c r="BM221" s="6"/>
      <c r="BN221" s="22"/>
      <c r="BO221" s="6"/>
      <c r="BP221" s="22"/>
      <c r="BQ221" s="6"/>
      <c r="BW221" s="6"/>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c r="K222" s="5"/>
      <c r="L222" s="149"/>
      <c r="M222" s="6"/>
      <c r="O222" s="6"/>
      <c r="Q222" s="6"/>
      <c r="S222" s="6"/>
      <c r="T222" s="22"/>
      <c r="U222" s="6"/>
      <c r="V222" s="22"/>
      <c r="X222" s="22"/>
      <c r="Z222" s="22"/>
      <c r="AB222" s="22"/>
      <c r="AD222" s="22"/>
      <c r="AF222" s="22"/>
      <c r="AH222" s="22"/>
      <c r="AJ222" s="22"/>
      <c r="AL222" s="22"/>
      <c r="AN222" s="22"/>
      <c r="AP222" s="22"/>
      <c r="AR222" s="22"/>
      <c r="AT222" s="22"/>
      <c r="AV222" s="22"/>
      <c r="AW222" s="22"/>
      <c r="AX222" s="22"/>
      <c r="AY222" s="22"/>
      <c r="AZ222" s="22"/>
      <c r="BA222" s="22"/>
      <c r="BB222" s="22"/>
      <c r="BC222" s="22"/>
      <c r="BD222" s="22"/>
      <c r="BE222" s="22"/>
      <c r="BF222" s="22"/>
      <c r="BG222" s="22"/>
      <c r="BH222" s="22"/>
      <c r="BI222" s="22"/>
      <c r="BJ222" s="22"/>
      <c r="BK222" s="22"/>
      <c r="BL222" s="22"/>
      <c r="BM222" s="6"/>
      <c r="BN222" s="22"/>
      <c r="BO222" s="6"/>
      <c r="BP222" s="22"/>
      <c r="BQ222" s="6"/>
      <c r="BW222" s="6"/>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c r="K223" s="5"/>
      <c r="L223" s="149"/>
      <c r="M223" s="6"/>
      <c r="O223" s="6"/>
      <c r="Q223" s="6"/>
      <c r="S223" s="6"/>
      <c r="T223" s="22"/>
      <c r="U223" s="6"/>
      <c r="V223" s="22"/>
      <c r="X223" s="22"/>
      <c r="Z223" s="22"/>
      <c r="AB223" s="22"/>
      <c r="AD223" s="22"/>
      <c r="AF223" s="22"/>
      <c r="AH223" s="22"/>
      <c r="AJ223" s="22"/>
      <c r="AL223" s="22"/>
      <c r="AN223" s="22"/>
      <c r="AP223" s="22"/>
      <c r="AR223" s="22"/>
      <c r="AT223" s="22"/>
      <c r="AV223" s="22"/>
      <c r="AW223" s="22"/>
      <c r="AX223" s="22"/>
      <c r="AY223" s="22"/>
      <c r="AZ223" s="22"/>
      <c r="BA223" s="22"/>
      <c r="BB223" s="22"/>
      <c r="BC223" s="22"/>
      <c r="BD223" s="22"/>
      <c r="BE223" s="22"/>
      <c r="BF223" s="22"/>
      <c r="BG223" s="22"/>
      <c r="BH223" s="22"/>
      <c r="BI223" s="22"/>
      <c r="BJ223" s="22"/>
      <c r="BK223" s="22"/>
      <c r="BL223" s="22"/>
      <c r="BM223" s="6"/>
      <c r="BN223" s="22"/>
      <c r="BO223" s="6"/>
      <c r="BP223" s="22"/>
      <c r="BQ223" s="6"/>
      <c r="BW223" s="6"/>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c r="K224" s="5"/>
      <c r="L224" s="149"/>
      <c r="M224" s="6"/>
      <c r="O224" s="6"/>
      <c r="Q224" s="6"/>
      <c r="S224" s="6"/>
      <c r="T224" s="22"/>
      <c r="U224" s="6"/>
      <c r="V224" s="22"/>
      <c r="X224" s="22"/>
      <c r="Z224" s="22"/>
      <c r="AB224" s="22"/>
      <c r="AD224" s="22"/>
      <c r="AF224" s="22"/>
      <c r="AH224" s="22"/>
      <c r="AJ224" s="22"/>
      <c r="AL224" s="22"/>
      <c r="AN224" s="22"/>
      <c r="AP224" s="22"/>
      <c r="AR224" s="22"/>
      <c r="AT224" s="22"/>
      <c r="AV224" s="22"/>
      <c r="AW224" s="22"/>
      <c r="AX224" s="22"/>
      <c r="AY224" s="22"/>
      <c r="AZ224" s="22"/>
      <c r="BA224" s="22"/>
      <c r="BB224" s="22"/>
      <c r="BC224" s="22"/>
      <c r="BD224" s="22"/>
      <c r="BE224" s="22"/>
      <c r="BF224" s="22"/>
      <c r="BG224" s="22"/>
      <c r="BH224" s="22"/>
      <c r="BI224" s="22"/>
      <c r="BJ224" s="22"/>
      <c r="BK224" s="22"/>
      <c r="BL224" s="22"/>
      <c r="BM224" s="6"/>
      <c r="BN224" s="22"/>
      <c r="BO224" s="6"/>
      <c r="BP224" s="22"/>
      <c r="BQ224" s="6"/>
      <c r="BW224" s="6"/>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124">
      <c r="K225" s="5"/>
      <c r="L225" s="149"/>
      <c r="M225" s="6"/>
      <c r="O225" s="6"/>
      <c r="Q225" s="6"/>
      <c r="S225" s="6"/>
      <c r="T225" s="22"/>
      <c r="U225" s="6"/>
      <c r="V225" s="22"/>
      <c r="X225" s="22"/>
      <c r="Z225" s="22"/>
      <c r="AB225" s="22"/>
      <c r="AD225" s="22"/>
      <c r="AF225" s="22"/>
      <c r="AH225" s="22"/>
      <c r="AJ225" s="22"/>
      <c r="AL225" s="22"/>
      <c r="AN225" s="22"/>
      <c r="AP225" s="22"/>
      <c r="AR225" s="22"/>
      <c r="AT225" s="22"/>
      <c r="AV225" s="22"/>
      <c r="AW225" s="22"/>
      <c r="AX225" s="22"/>
      <c r="AY225" s="22"/>
      <c r="AZ225" s="22"/>
      <c r="BA225" s="22"/>
      <c r="BB225" s="22"/>
      <c r="BC225" s="22"/>
      <c r="BD225" s="22"/>
      <c r="BE225" s="22"/>
      <c r="BF225" s="22"/>
      <c r="BG225" s="22"/>
      <c r="BH225" s="22"/>
      <c r="BI225" s="22"/>
      <c r="BJ225" s="22"/>
      <c r="BK225" s="22"/>
      <c r="BL225" s="22"/>
      <c r="BM225" s="6"/>
      <c r="BN225" s="22"/>
      <c r="BO225" s="6"/>
      <c r="BP225" s="22"/>
      <c r="BQ225" s="6"/>
      <c r="BW225" s="6"/>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row>
    <row r="226" spans="11:124">
      <c r="K226" s="5"/>
      <c r="L226" s="149"/>
      <c r="M226" s="6"/>
      <c r="O226" s="6"/>
      <c r="Q226" s="6"/>
      <c r="S226" s="6"/>
      <c r="T226" s="22"/>
      <c r="U226" s="6"/>
      <c r="V226" s="22"/>
      <c r="X226" s="22"/>
      <c r="Z226" s="22"/>
      <c r="AB226" s="22"/>
      <c r="AD226" s="22"/>
      <c r="AF226" s="22"/>
      <c r="AH226" s="22"/>
      <c r="AJ226" s="22"/>
      <c r="AL226" s="22"/>
      <c r="AN226" s="22"/>
      <c r="AP226" s="22"/>
      <c r="AR226" s="22"/>
      <c r="AT226" s="22"/>
      <c r="AV226" s="22"/>
      <c r="AW226" s="22"/>
      <c r="AX226" s="22"/>
      <c r="AY226" s="22"/>
      <c r="AZ226" s="22"/>
      <c r="BA226" s="22"/>
      <c r="BB226" s="22"/>
      <c r="BC226" s="22"/>
      <c r="BD226" s="22"/>
      <c r="BE226" s="22"/>
      <c r="BF226" s="22"/>
      <c r="BG226" s="22"/>
      <c r="BH226" s="22"/>
      <c r="BI226" s="22"/>
      <c r="BJ226" s="22"/>
      <c r="BK226" s="22"/>
      <c r="BL226" s="22"/>
      <c r="BM226" s="6"/>
      <c r="BN226" s="22"/>
      <c r="BO226" s="6"/>
      <c r="BP226" s="22"/>
      <c r="BQ226" s="6"/>
      <c r="BW226" s="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124">
      <c r="K227" s="5"/>
      <c r="L227" s="149"/>
      <c r="M227" s="6"/>
      <c r="O227" s="6"/>
      <c r="Q227" s="6"/>
      <c r="S227" s="6"/>
      <c r="T227" s="22"/>
      <c r="U227" s="6"/>
      <c r="V227" s="22"/>
      <c r="X227" s="22"/>
      <c r="Z227" s="22"/>
      <c r="AB227" s="22"/>
      <c r="AD227" s="22"/>
      <c r="AF227" s="22"/>
      <c r="AH227" s="22"/>
      <c r="AJ227" s="22"/>
      <c r="AL227" s="22"/>
      <c r="AN227" s="22"/>
      <c r="AP227" s="22"/>
      <c r="AR227" s="22"/>
      <c r="AT227" s="22"/>
      <c r="AV227" s="22"/>
      <c r="AW227" s="22"/>
      <c r="AX227" s="22"/>
      <c r="AY227" s="22"/>
      <c r="AZ227" s="22"/>
      <c r="BA227" s="22"/>
      <c r="BB227" s="22"/>
      <c r="BC227" s="22"/>
      <c r="BD227" s="22"/>
      <c r="BE227" s="22"/>
      <c r="BF227" s="22"/>
      <c r="BG227" s="22"/>
      <c r="BH227" s="22"/>
      <c r="BI227" s="22"/>
      <c r="BJ227" s="22"/>
      <c r="BK227" s="22"/>
      <c r="BL227" s="22"/>
      <c r="BM227" s="6"/>
      <c r="BN227" s="22"/>
      <c r="BO227" s="6"/>
      <c r="BP227" s="22"/>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124">
      <c r="K228" s="5"/>
      <c r="L228" s="149"/>
      <c r="M228" s="6"/>
      <c r="O228" s="6"/>
      <c r="Q228" s="6"/>
      <c r="S228" s="6"/>
      <c r="T228" s="22"/>
      <c r="U228" s="6"/>
      <c r="V228" s="22"/>
      <c r="X228" s="22"/>
      <c r="Z228" s="22"/>
      <c r="AB228" s="22"/>
      <c r="AD228" s="22"/>
      <c r="AF228" s="22"/>
      <c r="AH228" s="22"/>
      <c r="AJ228" s="22"/>
      <c r="AL228" s="22"/>
      <c r="AN228" s="22"/>
      <c r="AP228" s="22"/>
      <c r="AR228" s="22"/>
      <c r="AT228" s="22"/>
      <c r="AV228" s="22"/>
      <c r="AW228" s="22"/>
      <c r="AX228" s="22"/>
      <c r="AY228" s="22"/>
      <c r="AZ228" s="22"/>
      <c r="BA228" s="22"/>
      <c r="BB228" s="22"/>
      <c r="BC228" s="22"/>
      <c r="BD228" s="22"/>
      <c r="BE228" s="22"/>
      <c r="BF228" s="22"/>
      <c r="BG228" s="22"/>
      <c r="BH228" s="22"/>
      <c r="BI228" s="22"/>
      <c r="BJ228" s="22"/>
      <c r="BK228" s="22"/>
      <c r="BL228" s="22"/>
      <c r="BM228" s="6"/>
      <c r="BN228" s="22"/>
      <c r="BO228" s="6"/>
      <c r="BP228" s="22"/>
      <c r="BQ228" s="6"/>
      <c r="BW228" s="6"/>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row>
    <row r="229" spans="11:124">
      <c r="K229" s="5"/>
      <c r="L229" s="149"/>
      <c r="M229" s="6"/>
      <c r="O229" s="6"/>
      <c r="Q229" s="6"/>
      <c r="S229" s="6"/>
      <c r="T229" s="22"/>
      <c r="U229" s="6"/>
      <c r="V229" s="22"/>
      <c r="X229" s="22"/>
      <c r="Z229" s="22"/>
      <c r="AB229" s="22"/>
      <c r="AD229" s="22"/>
      <c r="AF229" s="22"/>
      <c r="AH229" s="22"/>
      <c r="AJ229" s="22"/>
      <c r="AL229" s="22"/>
      <c r="AN229" s="22"/>
      <c r="AP229" s="22"/>
      <c r="AR229" s="22"/>
      <c r="AT229" s="22"/>
      <c r="AV229" s="22"/>
      <c r="AW229" s="22"/>
      <c r="AX229" s="22"/>
      <c r="AY229" s="22"/>
      <c r="AZ229" s="22"/>
      <c r="BA229" s="22"/>
      <c r="BB229" s="22"/>
      <c r="BC229" s="22"/>
      <c r="BD229" s="22"/>
      <c r="BE229" s="22"/>
      <c r="BF229" s="22"/>
      <c r="BG229" s="22"/>
      <c r="BH229" s="22"/>
      <c r="BI229" s="22"/>
      <c r="BJ229" s="22"/>
      <c r="BK229" s="22"/>
      <c r="BL229" s="22"/>
      <c r="BM229" s="6"/>
      <c r="BN229" s="22"/>
      <c r="BO229" s="6"/>
      <c r="BP229" s="22"/>
      <c r="BQ229" s="6"/>
      <c r="BW229" s="6"/>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row>
    <row r="230" spans="11:124">
      <c r="K230" s="5"/>
      <c r="L230" s="149"/>
      <c r="M230" s="6"/>
      <c r="O230" s="6"/>
      <c r="Q230" s="6"/>
      <c r="S230" s="6"/>
      <c r="T230" s="22"/>
      <c r="U230" s="6"/>
      <c r="V230" s="22"/>
      <c r="X230" s="22"/>
      <c r="Z230" s="22"/>
      <c r="AB230" s="22"/>
      <c r="AD230" s="22"/>
      <c r="AF230" s="22"/>
      <c r="AH230" s="22"/>
      <c r="AJ230" s="22"/>
      <c r="AL230" s="22"/>
      <c r="AN230" s="22"/>
      <c r="AP230" s="22"/>
      <c r="AR230" s="22"/>
      <c r="AT230" s="22"/>
      <c r="AV230" s="22"/>
      <c r="AW230" s="22"/>
      <c r="AX230" s="22"/>
      <c r="AY230" s="22"/>
      <c r="AZ230" s="22"/>
      <c r="BA230" s="22"/>
      <c r="BB230" s="22"/>
      <c r="BC230" s="22"/>
      <c r="BD230" s="22"/>
      <c r="BE230" s="22"/>
      <c r="BF230" s="22"/>
      <c r="BG230" s="22"/>
      <c r="BH230" s="22"/>
      <c r="BI230" s="22"/>
      <c r="BJ230" s="22"/>
      <c r="BK230" s="22"/>
      <c r="BL230" s="22"/>
      <c r="BM230" s="6"/>
      <c r="BN230" s="22"/>
      <c r="BO230" s="6"/>
      <c r="BP230" s="22"/>
      <c r="BQ230" s="6"/>
      <c r="BW230" s="6"/>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row>
    <row r="231" spans="11:124">
      <c r="K231" s="5"/>
      <c r="L231" s="149"/>
      <c r="M231" s="6"/>
      <c r="O231" s="6"/>
      <c r="Q231" s="6"/>
      <c r="S231" s="6"/>
      <c r="T231" s="22"/>
      <c r="U231" s="6"/>
      <c r="V231" s="22"/>
      <c r="X231" s="22"/>
      <c r="Z231" s="22"/>
      <c r="AB231" s="22"/>
      <c r="AD231" s="22"/>
      <c r="BL231" s="22"/>
      <c r="BM231" s="6"/>
      <c r="BN231" s="22"/>
      <c r="BO231" s="6"/>
      <c r="BP231" s="22"/>
      <c r="BQ231" s="6"/>
      <c r="BW231" s="6"/>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row>
    <row r="232" spans="11:124">
      <c r="K232" s="5"/>
      <c r="L232" s="149"/>
      <c r="BN232" s="22"/>
    </row>
    <row r="233" spans="11:124">
      <c r="K233" s="5"/>
      <c r="L233" s="149"/>
      <c r="BN233" s="22"/>
    </row>
    <row r="234" spans="11:124">
      <c r="K234" s="5"/>
      <c r="L234" s="149"/>
      <c r="BN234" s="22"/>
    </row>
    <row r="235" spans="11:124">
      <c r="K235" s="5"/>
      <c r="L235" s="149"/>
      <c r="BN235" s="22"/>
    </row>
    <row r="236" spans="11:124">
      <c r="K236" s="5"/>
      <c r="L236" s="149"/>
      <c r="BN236" s="22"/>
    </row>
    <row r="237" spans="11:124">
      <c r="K237" s="5"/>
      <c r="L237" s="149"/>
      <c r="BN237" s="22"/>
    </row>
    <row r="238" spans="11:124">
      <c r="K238" s="5"/>
      <c r="L238" s="149"/>
      <c r="BN238" s="22"/>
    </row>
    <row r="239" spans="11:124">
      <c r="K239" s="5"/>
      <c r="L239" s="149"/>
      <c r="BN239" s="22"/>
    </row>
    <row r="240" spans="11:124">
      <c r="L240" s="134"/>
      <c r="BN240" s="22"/>
    </row>
    <row r="241" spans="66:66">
      <c r="BN241" s="22"/>
    </row>
    <row r="242" spans="66:66">
      <c r="BN242" s="22"/>
    </row>
    <row r="243" spans="66:66">
      <c r="BN243" s="22"/>
    </row>
    <row r="244" spans="66:66">
      <c r="BN244" s="22"/>
    </row>
    <row r="245" spans="66:66">
      <c r="BN245" s="22"/>
    </row>
    <row r="246" spans="66:66">
      <c r="BN246" s="22"/>
    </row>
    <row r="247" spans="66:66">
      <c r="BN247" s="22"/>
    </row>
    <row r="248" spans="66:66">
      <c r="BN248" s="22"/>
    </row>
    <row r="249" spans="66:66">
      <c r="BN249" s="22"/>
    </row>
    <row r="250" spans="66:66">
      <c r="BN250" s="22"/>
    </row>
    <row r="251" spans="66:66">
      <c r="BN251" s="22"/>
    </row>
    <row r="252" spans="66:66">
      <c r="BN252" s="22"/>
    </row>
    <row r="253" spans="66:66">
      <c r="BN253" s="22"/>
    </row>
    <row r="254" spans="66:66">
      <c r="BN254" s="22"/>
    </row>
    <row r="255" spans="66:66">
      <c r="BN255" s="22"/>
    </row>
    <row r="256" spans="66:66">
      <c r="BN256" s="22"/>
    </row>
    <row r="257" spans="66:66">
      <c r="BN257" s="22"/>
    </row>
    <row r="258" spans="66:66">
      <c r="BN258" s="22"/>
    </row>
    <row r="259" spans="66:66">
      <c r="BN259" s="22"/>
    </row>
    <row r="260" spans="66:66">
      <c r="BN260" s="22"/>
    </row>
    <row r="261" spans="66:66">
      <c r="BN261" s="22"/>
    </row>
    <row r="262" spans="66:66">
      <c r="BN262" s="22"/>
    </row>
    <row r="263" spans="66:66">
      <c r="BN263" s="22"/>
    </row>
    <row r="264" spans="66:66">
      <c r="BN264" s="22"/>
    </row>
    <row r="265" spans="66:66">
      <c r="BN265" s="22"/>
    </row>
    <row r="266" spans="66:66">
      <c r="BN266" s="22"/>
    </row>
    <row r="267" spans="66:66">
      <c r="BN267" s="22"/>
    </row>
    <row r="268" spans="66:66">
      <c r="BN268" s="22"/>
    </row>
    <row r="269" spans="66:66">
      <c r="BN269" s="22"/>
    </row>
  </sheetData>
  <printOptions horizontalCentered="1"/>
  <pageMargins left="0" right="0" top="0.25" bottom="0.25" header="0.5" footer="0.5"/>
  <pageSetup scale="38" fitToWidth="2" orientation="portrait" horizontalDpi="300" verticalDpi="300" r:id="rId1"/>
  <headerFooter alignWithMargins="0"/>
  <rowBreaks count="2" manualBreakCount="2">
    <brk id="90" max="16383" man="1"/>
    <brk id="133" max="16383"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T291"/>
  <sheetViews>
    <sheetView zoomScale="80" zoomScaleNormal="66" workbookViewId="0">
      <pane xSplit="19" ySplit="8" topLeftCell="BQ80" activePane="bottomRight" state="frozen"/>
      <selection activeCell="K27" sqref="K27"/>
      <selection pane="topRight" activeCell="K27" sqref="K27"/>
      <selection pane="bottomLeft" activeCell="K27" sqref="K27"/>
      <selection pane="bottomRight" activeCell="R103" sqref="R103"/>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10" width="11.140625" style="5" hidden="1" customWidth="1"/>
    <col min="11" max="11" width="0.85546875" style="4" hidden="1" customWidth="1"/>
    <col min="12" max="12" width="12.28515625" style="150" customWidth="1"/>
    <col min="13" max="13" width="0.85546875" style="4" customWidth="1"/>
    <col min="14" max="14" width="19.42578125" style="6" hidden="1" customWidth="1"/>
    <col min="15" max="15" width="0.85546875" style="4" hidden="1" customWidth="1"/>
    <col min="16" max="16" width="16.28515625" style="6" hidden="1" customWidth="1"/>
    <col min="17" max="17" width="0.85546875" style="4" hidden="1" customWidth="1"/>
    <col min="18" max="18" width="21.85546875" style="6" customWidth="1"/>
    <col min="19" max="19" width="2.42578125" style="4" customWidth="1"/>
    <col min="20" max="20" width="19.1406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 style="65" hidden="1" customWidth="1"/>
    <col min="31" max="31" width="1.28515625" style="6" hidden="1" customWidth="1"/>
    <col min="32" max="32" width="18" style="6" hidden="1" customWidth="1"/>
    <col min="33" max="33" width="1.5703125" style="6" hidden="1" customWidth="1"/>
    <col min="34" max="34" width="17.7109375" style="6" hidden="1" customWidth="1"/>
    <col min="35" max="35" width="0.7109375" style="6" hidden="1" customWidth="1"/>
    <col min="36" max="36" width="18.28515625" style="6" hidden="1" customWidth="1"/>
    <col min="37" max="37" width="0.85546875" style="6" hidden="1" customWidth="1"/>
    <col min="38" max="38" width="20.42578125" style="6" hidden="1" customWidth="1"/>
    <col min="39" max="39" width="0.85546875" style="6" hidden="1" customWidth="1"/>
    <col min="40" max="40" width="17.85546875" style="6" hidden="1" customWidth="1"/>
    <col min="41" max="41" width="0.8554687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5703125" style="6" hidden="1" customWidth="1"/>
    <col min="48" max="48" width="17.85546875" style="6" hidden="1" customWidth="1"/>
    <col min="49" max="49" width="0.85546875" style="6" hidden="1" customWidth="1"/>
    <col min="50" max="50" width="17.85546875" style="6" hidden="1" customWidth="1"/>
    <col min="51" max="51" width="0.85546875" style="6" hidden="1" customWidth="1"/>
    <col min="52" max="52" width="17.85546875" style="6" hidden="1" customWidth="1"/>
    <col min="53" max="53" width="0.85546875" style="6" hidden="1" customWidth="1"/>
    <col min="54" max="54" width="17.7109375" style="6" hidden="1" customWidth="1"/>
    <col min="55" max="55" width="0.85546875" style="6" hidden="1" customWidth="1"/>
    <col min="56" max="56" width="17.85546875" style="6" hidden="1" customWidth="1"/>
    <col min="57" max="57" width="0.85546875" style="6" hidden="1" customWidth="1"/>
    <col min="58" max="58" width="17.28515625" style="6" hidden="1" customWidth="1"/>
    <col min="59" max="59" width="0.85546875" style="6" hidden="1" customWidth="1"/>
    <col min="60" max="60" width="17.85546875" style="6" hidden="1" customWidth="1"/>
    <col min="61" max="61" width="0.85546875" style="6" hidden="1" customWidth="1"/>
    <col min="62" max="62" width="17.85546875" style="6" hidden="1" customWidth="1"/>
    <col min="63" max="63" width="0.85546875" style="6" hidden="1" customWidth="1"/>
    <col min="64" max="64" width="17.28515625" style="65" hidden="1" customWidth="1"/>
    <col min="65" max="65" width="2.140625" style="4" hidden="1" customWidth="1"/>
    <col min="66" max="66" width="20.85546875" style="6" customWidth="1"/>
    <col min="67" max="67" width="0.85546875" style="4" hidden="1" customWidth="1"/>
    <col min="68" max="68" width="19.140625" style="65" customWidth="1"/>
    <col min="69" max="69" width="0.85546875" style="4" customWidth="1"/>
    <col min="70" max="70" width="22.5703125" style="6" customWidth="1"/>
    <col min="71" max="71" width="1.7109375" style="6" customWidth="1"/>
    <col min="72" max="72" width="20.85546875" style="6" customWidth="1"/>
    <col min="73" max="73" width="1.7109375" style="6" customWidth="1"/>
    <col min="74" max="74" width="15.85546875" style="6" customWidth="1"/>
    <col min="75" max="75" width="0.85546875" style="4" customWidth="1"/>
    <col min="76" max="76" width="75.85546875" style="4" hidden="1" customWidth="1"/>
    <col min="77" max="16384" width="9.140625" style="4"/>
  </cols>
  <sheetData>
    <row r="1" spans="1:76" s="18" customFormat="1" ht="15.75">
      <c r="A1" s="66" t="str">
        <f ca="1">+Summary!A1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t="s">
        <v>447</v>
      </c>
      <c r="AS1" s="68"/>
      <c r="AT1" s="68"/>
      <c r="AU1" s="68"/>
      <c r="AV1" s="68"/>
      <c r="AW1" s="68"/>
      <c r="AX1" s="68"/>
      <c r="AY1" s="68"/>
      <c r="AZ1" s="68"/>
      <c r="BA1" s="68"/>
      <c r="BB1" s="68"/>
      <c r="BC1" s="68"/>
      <c r="BD1" s="68"/>
      <c r="BE1" s="68"/>
      <c r="BF1" s="68"/>
      <c r="BG1" s="68"/>
      <c r="BH1" s="68"/>
      <c r="BI1" s="68"/>
      <c r="BJ1" s="68"/>
      <c r="BK1" s="68"/>
      <c r="BL1" s="81"/>
      <c r="BN1" s="78"/>
      <c r="BP1" s="81"/>
      <c r="BR1" s="78"/>
      <c r="BS1" s="78"/>
      <c r="BT1" s="78"/>
      <c r="BU1" s="78"/>
      <c r="BV1" s="68"/>
    </row>
    <row r="2" spans="1:76" s="18" customFormat="1" ht="15.75">
      <c r="A2" s="66" t="str">
        <f ca="1">+Summary!A2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68"/>
      <c r="BK2" s="68"/>
      <c r="BL2" s="81"/>
      <c r="BN2" s="68"/>
      <c r="BP2" s="81"/>
      <c r="BR2" s="68"/>
      <c r="BS2" s="68"/>
      <c r="BT2" s="68"/>
      <c r="BU2" s="68"/>
      <c r="BV2" s="106" t="str">
        <f ca="1">CELL("filename")</f>
        <v>O:\Fin_Ops\Engysvc\PowerPlants\2000 Plants\Weekly Report\[2000 Weekly Report - 050300.xls]Wilton</v>
      </c>
    </row>
    <row r="3" spans="1:76" s="18" customFormat="1" ht="15.75">
      <c r="A3" s="99" t="s">
        <v>294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68"/>
      <c r="BK3" s="68"/>
      <c r="BL3" s="81"/>
      <c r="BN3" s="23"/>
      <c r="BP3" s="81"/>
      <c r="BR3" s="23">
        <f ca="1">NOW()</f>
        <v>36651.54237210648</v>
      </c>
      <c r="BT3" s="23"/>
      <c r="BV3" s="78" t="str">
        <f ca="1">Summary!A5</f>
        <v>Revision # 56</v>
      </c>
    </row>
    <row r="4" spans="1:76" s="18" customFormat="1" ht="15.75">
      <c r="A4" s="94"/>
      <c r="B4" s="19">
        <f ca="1">Summary!C13</f>
        <v>509</v>
      </c>
      <c r="C4"/>
      <c r="G4" s="67"/>
      <c r="J4" s="67"/>
      <c r="L4" s="478" t="s">
        <v>47</v>
      </c>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69"/>
      <c r="AV4" s="82" t="s">
        <v>122</v>
      </c>
      <c r="AW4" s="82"/>
      <c r="AX4" s="82" t="s">
        <v>122</v>
      </c>
      <c r="AY4" s="82"/>
      <c r="AZ4" s="82" t="s">
        <v>122</v>
      </c>
      <c r="BA4" s="82"/>
      <c r="BB4" s="82" t="s">
        <v>122</v>
      </c>
      <c r="BC4" s="82"/>
      <c r="BD4" s="82" t="s">
        <v>122</v>
      </c>
      <c r="BE4" s="82"/>
      <c r="BF4" s="82" t="s">
        <v>122</v>
      </c>
      <c r="BG4" s="82"/>
      <c r="BH4" s="82" t="s">
        <v>122</v>
      </c>
      <c r="BI4" s="82"/>
      <c r="BJ4" s="82" t="s">
        <v>122</v>
      </c>
      <c r="BK4" s="82"/>
      <c r="BL4" s="82" t="s">
        <v>122</v>
      </c>
      <c r="BN4" s="71"/>
      <c r="BP4" s="70" t="s">
        <v>129</v>
      </c>
      <c r="BR4" s="71"/>
      <c r="BT4" s="71"/>
      <c r="BV4" s="71"/>
    </row>
    <row r="5" spans="1:76"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69"/>
      <c r="AV5" s="82" t="s">
        <v>123</v>
      </c>
      <c r="AW5" s="82"/>
      <c r="AX5" s="82" t="s">
        <v>123</v>
      </c>
      <c r="AY5" s="82"/>
      <c r="AZ5" s="82" t="s">
        <v>123</v>
      </c>
      <c r="BA5" s="82"/>
      <c r="BB5" s="82" t="s">
        <v>123</v>
      </c>
      <c r="BC5" s="82"/>
      <c r="BD5" s="82" t="s">
        <v>123</v>
      </c>
      <c r="BE5" s="82"/>
      <c r="BF5" s="82" t="s">
        <v>123</v>
      </c>
      <c r="BG5" s="82"/>
      <c r="BH5" s="82" t="s">
        <v>123</v>
      </c>
      <c r="BI5" s="82"/>
      <c r="BJ5" s="82" t="s">
        <v>123</v>
      </c>
      <c r="BK5" s="82"/>
      <c r="BL5" s="82" t="s">
        <v>123</v>
      </c>
      <c r="BN5" s="71" t="s">
        <v>44</v>
      </c>
      <c r="BP5" s="70" t="s">
        <v>130</v>
      </c>
      <c r="BR5" s="71" t="s">
        <v>42</v>
      </c>
      <c r="BT5" s="71" t="s">
        <v>144</v>
      </c>
      <c r="BV5" s="71"/>
    </row>
    <row r="6" spans="1:76"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t="s">
        <v>292</v>
      </c>
      <c r="AM6" s="74"/>
      <c r="AN6" s="83">
        <v>36433</v>
      </c>
      <c r="AO6" s="74"/>
      <c r="AP6" s="83">
        <v>36464</v>
      </c>
      <c r="AQ6" s="74"/>
      <c r="AR6" s="83">
        <v>36494</v>
      </c>
      <c r="AS6" s="74"/>
      <c r="AT6" s="83">
        <v>36525</v>
      </c>
      <c r="AU6" s="74"/>
      <c r="AV6" s="83">
        <v>36556</v>
      </c>
      <c r="AW6" s="127"/>
      <c r="AX6" s="83">
        <v>36585</v>
      </c>
      <c r="AY6" s="127"/>
      <c r="AZ6" s="83">
        <v>36616</v>
      </c>
      <c r="BA6" s="127"/>
      <c r="BB6" s="83">
        <v>36646</v>
      </c>
      <c r="BC6" s="127"/>
      <c r="BD6" s="83">
        <v>36677</v>
      </c>
      <c r="BE6" s="127"/>
      <c r="BF6" s="83">
        <v>36707</v>
      </c>
      <c r="BG6" s="127"/>
      <c r="BH6" s="83">
        <v>36738</v>
      </c>
      <c r="BI6" s="127"/>
      <c r="BJ6" s="83">
        <v>36769</v>
      </c>
      <c r="BK6" s="127"/>
      <c r="BL6" s="83">
        <v>36799</v>
      </c>
      <c r="BN6" s="75" t="s">
        <v>126</v>
      </c>
      <c r="BP6" s="73" t="s">
        <v>131</v>
      </c>
      <c r="BR6" s="75" t="s">
        <v>38</v>
      </c>
      <c r="BT6" s="75" t="s">
        <v>145</v>
      </c>
      <c r="BV6" s="75" t="s">
        <v>39</v>
      </c>
      <c r="BX6" s="75" t="s">
        <v>4</v>
      </c>
    </row>
    <row r="7" spans="1:76" s="18" customFormat="1" ht="15.75">
      <c r="A7" s="91"/>
      <c r="B7" s="1"/>
      <c r="C7" s="2"/>
      <c r="G7" s="67"/>
      <c r="J7" s="67"/>
      <c r="L7" s="139"/>
      <c r="N7" s="82" t="str">
        <f ca="1">[1]Summary!E9</f>
        <v>as of 7/22/99</v>
      </c>
      <c r="O7" s="129"/>
      <c r="P7" s="69"/>
      <c r="R7" s="82" t="str">
        <f ca="1">+[1]Summary!E9</f>
        <v>as of 7/22/99</v>
      </c>
      <c r="T7" s="82" t="str">
        <f ca="1">+[1]Summary!$O$4</f>
        <v xml:space="preserve"> As of 3/24/00</v>
      </c>
      <c r="U7" s="96"/>
      <c r="V7" s="82" t="str">
        <f ca="1">+[1]Summary!$O$4</f>
        <v xml:space="preserve"> As of 3/24/00</v>
      </c>
      <c r="W7" s="69"/>
      <c r="X7" s="82" t="str">
        <f ca="1">+[1]Summary!$O$4</f>
        <v xml:space="preserve"> As of 3/24/00</v>
      </c>
      <c r="Y7" s="69"/>
      <c r="Z7" s="82" t="str">
        <f ca="1">+[1]Summary!$O$4</f>
        <v xml:space="preserve"> As of 3/24/00</v>
      </c>
      <c r="AA7" s="69"/>
      <c r="AB7" s="82" t="str">
        <f ca="1">+[1]Summary!$O$4</f>
        <v xml:space="preserve"> As of 3/24/00</v>
      </c>
      <c r="AC7" s="69"/>
      <c r="AD7" s="82" t="str">
        <f ca="1">+[1]Summary!$O$4</f>
        <v xml:space="preserve"> As of 3/24/00</v>
      </c>
      <c r="AE7" s="69"/>
      <c r="AF7" s="82" t="str">
        <f ca="1">+[1]Summary!$O$4</f>
        <v xml:space="preserve"> As of 3/24/00</v>
      </c>
      <c r="AG7" s="69"/>
      <c r="AH7" s="82" t="str">
        <f ca="1">+[1]Summary!$O$4</f>
        <v xml:space="preserve"> As of 3/24/00</v>
      </c>
      <c r="AI7" s="69"/>
      <c r="AJ7" s="82" t="str">
        <f ca="1">+[1]Summary!$O$4</f>
        <v xml:space="preserve"> As of 3/24/00</v>
      </c>
      <c r="AK7" s="69"/>
      <c r="AL7" s="82" t="str">
        <f ca="1">+[1]Summary!$O$4</f>
        <v xml:space="preserve"> As of 3/24/00</v>
      </c>
      <c r="AM7" s="69"/>
      <c r="AN7" s="82" t="str">
        <f ca="1">+[1]Summary!$O$4</f>
        <v xml:space="preserve"> As of 3/24/00</v>
      </c>
      <c r="AO7" s="69"/>
      <c r="AP7" s="82" t="str">
        <f ca="1">+[1]Summary!$O$4</f>
        <v xml:space="preserve"> As of 3/24/00</v>
      </c>
      <c r="AQ7" s="69"/>
      <c r="AR7" s="82" t="str">
        <f ca="1">+[1]Summary!$O$4</f>
        <v xml:space="preserve"> As of 3/24/00</v>
      </c>
      <c r="AS7" s="69"/>
      <c r="AT7" s="82" t="str">
        <f ca="1">+[1]Summary!$O$4</f>
        <v xml:space="preserve"> As of 3/24/00</v>
      </c>
      <c r="AU7" s="69"/>
      <c r="AV7" s="82" t="str">
        <f ca="1">+[1]Summary!$O$4</f>
        <v xml:space="preserve"> As of 3/24/00</v>
      </c>
      <c r="AW7" s="82"/>
      <c r="AX7" s="82" t="str">
        <f ca="1">+[1]Summary!$O$4</f>
        <v xml:space="preserve"> As of 3/24/00</v>
      </c>
      <c r="AY7" s="82"/>
      <c r="AZ7" s="82" t="str">
        <f ca="1">+[1]Summary!$O$4</f>
        <v xml:space="preserve"> As of 3/24/00</v>
      </c>
      <c r="BA7" s="82"/>
      <c r="BB7" s="82" t="str">
        <f ca="1">BP7</f>
        <v xml:space="preserve"> As of 4/28/00</v>
      </c>
      <c r="BC7" s="82"/>
      <c r="BD7" s="82" t="str">
        <f ca="1">+[1]Summary!$O$4</f>
        <v xml:space="preserve"> As of 3/24/00</v>
      </c>
      <c r="BE7" s="82"/>
      <c r="BF7" s="82" t="str">
        <f ca="1">+[1]Summary!$O$4</f>
        <v xml:space="preserve"> As of 3/24/00</v>
      </c>
      <c r="BG7" s="82"/>
      <c r="BH7" s="82" t="str">
        <f ca="1">+[1]Summary!$O$4</f>
        <v xml:space="preserve"> As of 3/24/00</v>
      </c>
      <c r="BI7" s="82"/>
      <c r="BJ7" s="82" t="str">
        <f ca="1">+[1]Summary!$O$4</f>
        <v xml:space="preserve"> As of 3/24/00</v>
      </c>
      <c r="BK7" s="82"/>
      <c r="BL7" s="82" t="str">
        <f ca="1">+[1]Summary!$O$4</f>
        <v xml:space="preserve"> As of 3/24/00</v>
      </c>
      <c r="BN7" s="458" t="str">
        <f ca="1">+Summary!$O$4</f>
        <v xml:space="preserve"> As of 4/28/00</v>
      </c>
      <c r="BP7" s="64" t="str">
        <f ca="1">+Summary!$O$4</f>
        <v xml:space="preserve"> As of 4/28/00</v>
      </c>
      <c r="BR7" s="71"/>
      <c r="BT7" s="71"/>
      <c r="BV7" s="71"/>
    </row>
    <row r="8" spans="1:76">
      <c r="A8" s="92" t="s">
        <v>5</v>
      </c>
      <c r="B8" s="17"/>
      <c r="C8" s="55"/>
      <c r="E8" s="4"/>
      <c r="G8" s="4"/>
      <c r="I8" s="4"/>
      <c r="L8" s="140"/>
      <c r="M8" s="6"/>
      <c r="O8" s="6"/>
      <c r="Q8" s="6"/>
      <c r="S8" s="6"/>
      <c r="T8" s="22"/>
      <c r="U8" s="6"/>
      <c r="V8" s="22"/>
      <c r="X8" s="22"/>
      <c r="Z8" s="22"/>
      <c r="AB8" s="22"/>
      <c r="AD8" s="22"/>
      <c r="AF8" s="22"/>
      <c r="AH8" s="22"/>
      <c r="AJ8" s="22"/>
      <c r="AL8" s="22"/>
      <c r="AN8" s="22"/>
      <c r="AP8" s="22"/>
      <c r="AR8" s="22"/>
      <c r="AT8" s="22"/>
      <c r="AV8" s="22"/>
      <c r="AW8" s="22"/>
      <c r="AX8" s="22"/>
      <c r="AY8" s="22"/>
      <c r="AZ8" s="22"/>
      <c r="BA8" s="22"/>
      <c r="BB8" s="22"/>
      <c r="BC8" s="22"/>
      <c r="BD8" s="22"/>
      <c r="BE8" s="22"/>
      <c r="BF8" s="22"/>
      <c r="BG8" s="22"/>
      <c r="BH8" s="22"/>
      <c r="BI8" s="22"/>
      <c r="BJ8" s="22"/>
      <c r="BK8" s="22"/>
      <c r="BL8" s="22"/>
      <c r="BM8" s="6"/>
      <c r="BO8" s="6"/>
      <c r="BP8" s="22"/>
      <c r="BQ8" s="6"/>
      <c r="BW8" s="6"/>
    </row>
    <row r="9" spans="1:76">
      <c r="A9" s="93"/>
      <c r="B9" s="17" t="s">
        <v>191</v>
      </c>
      <c r="C9"/>
      <c r="D9"/>
      <c r="E9"/>
      <c r="F9"/>
      <c r="G9"/>
      <c r="H9"/>
      <c r="I9"/>
      <c r="J9" s="49" t="s">
        <v>0</v>
      </c>
      <c r="K9"/>
      <c r="L9" s="134" t="s">
        <v>202</v>
      </c>
      <c r="M9" s="6"/>
      <c r="N9" s="6">
        <v>0</v>
      </c>
      <c r="O9" s="6"/>
      <c r="P9" s="6">
        <v>0</v>
      </c>
      <c r="Q9" s="6"/>
      <c r="R9" s="6">
        <v>62145000</v>
      </c>
      <c r="S9" s="6"/>
      <c r="T9" s="6">
        <v>0</v>
      </c>
      <c r="U9" s="6"/>
      <c r="V9" s="6">
        <v>0</v>
      </c>
      <c r="X9" s="6">
        <v>0</v>
      </c>
      <c r="Z9" s="6">
        <v>0</v>
      </c>
      <c r="AB9" s="6">
        <v>0</v>
      </c>
      <c r="AD9" s="6">
        <v>0</v>
      </c>
      <c r="AF9" s="6">
        <v>0</v>
      </c>
      <c r="AH9" s="6">
        <v>0</v>
      </c>
      <c r="AJ9" s="6">
        <v>0</v>
      </c>
      <c r="AL9" s="6">
        <v>56349430</v>
      </c>
      <c r="AN9" s="6">
        <v>0</v>
      </c>
      <c r="AP9" s="6">
        <v>1282310</v>
      </c>
      <c r="AR9" s="6">
        <v>144155</v>
      </c>
      <c r="AT9" s="6">
        <v>0</v>
      </c>
      <c r="AV9" s="6">
        <v>0</v>
      </c>
      <c r="AX9" s="6">
        <v>0</v>
      </c>
      <c r="AZ9" s="6">
        <v>1240525</v>
      </c>
      <c r="BB9" s="6">
        <v>0</v>
      </c>
      <c r="BD9" s="6">
        <v>0</v>
      </c>
      <c r="BF9" s="6">
        <v>0</v>
      </c>
      <c r="BH9" s="6">
        <v>0</v>
      </c>
      <c r="BJ9" s="6">
        <v>0</v>
      </c>
      <c r="BL9" s="6">
        <v>0</v>
      </c>
      <c r="BM9" s="6"/>
      <c r="BN9" s="6">
        <f t="shared" ref="BN9:BN14" si="0">SUM(T9:BM9)</f>
        <v>59016420</v>
      </c>
      <c r="BO9" s="6"/>
      <c r="BP9" s="6">
        <f>436901+900+90800-52600-105480+59734</f>
        <v>430255</v>
      </c>
      <c r="BQ9" s="6"/>
      <c r="BR9" s="6">
        <f t="shared" ref="BR9:BR15" si="1">IF(+R9-BN9+BP9&gt;0,R9-BN9+BP9,0)</f>
        <v>3558835</v>
      </c>
      <c r="BT9" s="6">
        <f t="shared" ref="BT9:BT14" si="2">+BN9+BR9</f>
        <v>62575255</v>
      </c>
      <c r="BV9" s="6">
        <f t="shared" ref="BV9:BV15" si="3">+R9-BT9</f>
        <v>-430255</v>
      </c>
      <c r="BW9" s="6"/>
    </row>
    <row r="10" spans="1:76">
      <c r="A10" s="93"/>
      <c r="B10" s="17" t="s">
        <v>192</v>
      </c>
      <c r="C10"/>
      <c r="D10"/>
      <c r="E10"/>
      <c r="F10"/>
      <c r="G10"/>
      <c r="H10"/>
      <c r="I10"/>
      <c r="J10" s="49" t="s">
        <v>0</v>
      </c>
      <c r="K10"/>
      <c r="L10" s="134" t="s">
        <v>202</v>
      </c>
      <c r="M10" s="6"/>
      <c r="N10" s="6">
        <v>0</v>
      </c>
      <c r="O10" s="6"/>
      <c r="P10" s="6">
        <v>0</v>
      </c>
      <c r="Q10" s="6"/>
      <c r="R10" s="6">
        <v>31185000</v>
      </c>
      <c r="S10" s="6"/>
      <c r="T10" s="6">
        <v>0</v>
      </c>
      <c r="U10" s="6"/>
      <c r="V10" s="6">
        <v>0</v>
      </c>
      <c r="X10" s="6">
        <v>0</v>
      </c>
      <c r="Z10" s="6"/>
      <c r="AB10" s="6"/>
      <c r="AD10" s="6"/>
      <c r="AF10" s="6">
        <v>0</v>
      </c>
      <c r="AH10" s="6">
        <v>0</v>
      </c>
      <c r="AJ10" s="6">
        <v>0</v>
      </c>
      <c r="AL10" s="6">
        <v>29625750</v>
      </c>
      <c r="AN10" s="6">
        <v>0</v>
      </c>
      <c r="AP10" s="6">
        <v>0</v>
      </c>
      <c r="AR10" s="6">
        <v>0</v>
      </c>
      <c r="AT10" s="6">
        <v>0</v>
      </c>
      <c r="AV10" s="6">
        <v>0</v>
      </c>
      <c r="AX10" s="6">
        <v>0</v>
      </c>
      <c r="AZ10" s="6">
        <v>0</v>
      </c>
      <c r="BB10" s="6">
        <v>0</v>
      </c>
      <c r="BD10" s="6">
        <v>0</v>
      </c>
      <c r="BF10" s="6">
        <v>0</v>
      </c>
      <c r="BH10" s="6">
        <v>0</v>
      </c>
      <c r="BJ10" s="6">
        <v>0</v>
      </c>
      <c r="BL10" s="6">
        <v>0</v>
      </c>
      <c r="BM10" s="6"/>
      <c r="BN10" s="6">
        <f t="shared" si="0"/>
        <v>29625750</v>
      </c>
      <c r="BO10" s="6"/>
      <c r="BP10" s="6">
        <f>1349800+45900+68800+46974+39315</f>
        <v>1550789</v>
      </c>
      <c r="BQ10" s="6"/>
      <c r="BR10" s="6">
        <f t="shared" si="1"/>
        <v>3110039</v>
      </c>
      <c r="BT10" s="6">
        <f t="shared" si="2"/>
        <v>32735789</v>
      </c>
      <c r="BV10" s="6">
        <f t="shared" si="3"/>
        <v>-1550789</v>
      </c>
      <c r="BW10" s="6"/>
    </row>
    <row r="11" spans="1:76" hidden="1">
      <c r="A11" s="93"/>
      <c r="B11" s="17" t="s">
        <v>171</v>
      </c>
      <c r="C11"/>
      <c r="D11"/>
      <c r="E11"/>
      <c r="F11"/>
      <c r="G11"/>
      <c r="H11"/>
      <c r="I11"/>
      <c r="J11" s="49" t="s">
        <v>0</v>
      </c>
      <c r="K11"/>
      <c r="L11" s="134" t="s">
        <v>202</v>
      </c>
      <c r="M11" s="6"/>
      <c r="N11" s="6">
        <v>0</v>
      </c>
      <c r="O11" s="6"/>
      <c r="P11" s="6">
        <v>0</v>
      </c>
      <c r="Q11" s="6"/>
      <c r="R11" s="6">
        <f>+N11+P11</f>
        <v>0</v>
      </c>
      <c r="S11" s="6"/>
      <c r="T11" s="6">
        <v>0</v>
      </c>
      <c r="U11" s="6"/>
      <c r="V11" s="6">
        <v>0</v>
      </c>
      <c r="X11" s="6">
        <v>0</v>
      </c>
      <c r="Z11" s="6">
        <v>0</v>
      </c>
      <c r="AB11" s="6">
        <v>0</v>
      </c>
      <c r="AD11" s="6">
        <v>0</v>
      </c>
      <c r="AF11" s="6">
        <v>0</v>
      </c>
      <c r="AH11" s="6">
        <v>0</v>
      </c>
      <c r="AJ11" s="6">
        <v>0</v>
      </c>
      <c r="AN11" s="6">
        <v>0</v>
      </c>
      <c r="AP11" s="6">
        <v>0</v>
      </c>
      <c r="AR11" s="6">
        <v>0</v>
      </c>
      <c r="AT11" s="6">
        <v>0</v>
      </c>
      <c r="AV11" s="6">
        <v>0</v>
      </c>
      <c r="AX11" s="6">
        <v>0</v>
      </c>
      <c r="AZ11" s="6">
        <v>0</v>
      </c>
      <c r="BB11" s="6">
        <v>0</v>
      </c>
      <c r="BD11" s="6">
        <v>0</v>
      </c>
      <c r="BF11" s="6">
        <v>0</v>
      </c>
      <c r="BH11" s="6">
        <v>0</v>
      </c>
      <c r="BJ11" s="6">
        <v>0</v>
      </c>
      <c r="BL11" s="6">
        <v>0</v>
      </c>
      <c r="BM11" s="6"/>
      <c r="BN11" s="6">
        <f t="shared" si="0"/>
        <v>0</v>
      </c>
      <c r="BO11" s="6"/>
      <c r="BP11" s="6">
        <v>0</v>
      </c>
      <c r="BQ11" s="6"/>
      <c r="BR11" s="6">
        <f t="shared" si="1"/>
        <v>0</v>
      </c>
      <c r="BT11" s="6">
        <f t="shared" si="2"/>
        <v>0</v>
      </c>
      <c r="BV11" s="6">
        <f t="shared" si="3"/>
        <v>0</v>
      </c>
      <c r="BW11" s="6"/>
    </row>
    <row r="12" spans="1:76" hidden="1">
      <c r="A12" s="93"/>
      <c r="B12" s="17" t="s">
        <v>172</v>
      </c>
      <c r="C12"/>
      <c r="D12"/>
      <c r="E12"/>
      <c r="F12"/>
      <c r="G12"/>
      <c r="H12"/>
      <c r="I12"/>
      <c r="J12" s="49" t="s">
        <v>0</v>
      </c>
      <c r="K12"/>
      <c r="L12" s="134" t="s">
        <v>202</v>
      </c>
      <c r="M12" s="6"/>
      <c r="N12" s="6">
        <v>0</v>
      </c>
      <c r="O12" s="6"/>
      <c r="P12" s="6">
        <v>0</v>
      </c>
      <c r="Q12" s="6"/>
      <c r="R12" s="6">
        <f>+N12+P12</f>
        <v>0</v>
      </c>
      <c r="S12" s="6"/>
      <c r="T12" s="6">
        <v>0</v>
      </c>
      <c r="U12" s="6"/>
      <c r="V12" s="6">
        <v>0</v>
      </c>
      <c r="X12" s="6">
        <v>0</v>
      </c>
      <c r="Z12" s="6">
        <v>0</v>
      </c>
      <c r="AB12" s="6">
        <v>0</v>
      </c>
      <c r="AD12" s="6">
        <v>0</v>
      </c>
      <c r="AF12" s="6">
        <v>0</v>
      </c>
      <c r="AH12" s="6">
        <v>0</v>
      </c>
      <c r="AJ12" s="6">
        <v>0</v>
      </c>
      <c r="AN12" s="6">
        <v>0</v>
      </c>
      <c r="AP12" s="6">
        <v>0</v>
      </c>
      <c r="AR12" s="6">
        <v>0</v>
      </c>
      <c r="AT12" s="6">
        <v>0</v>
      </c>
      <c r="AV12" s="6">
        <v>0</v>
      </c>
      <c r="AX12" s="6">
        <v>0</v>
      </c>
      <c r="AZ12" s="6">
        <v>0</v>
      </c>
      <c r="BB12" s="6">
        <v>0</v>
      </c>
      <c r="BD12" s="6">
        <v>0</v>
      </c>
      <c r="BF12" s="6">
        <v>0</v>
      </c>
      <c r="BH12" s="6">
        <v>0</v>
      </c>
      <c r="BJ12" s="6">
        <v>0</v>
      </c>
      <c r="BL12" s="6">
        <v>0</v>
      </c>
      <c r="BM12" s="6"/>
      <c r="BN12" s="6">
        <f t="shared" si="0"/>
        <v>0</v>
      </c>
      <c r="BO12" s="6"/>
      <c r="BP12" s="6">
        <v>0</v>
      </c>
      <c r="BQ12" s="6"/>
      <c r="BR12" s="6">
        <f t="shared" si="1"/>
        <v>0</v>
      </c>
      <c r="BT12" s="6">
        <f t="shared" si="2"/>
        <v>0</v>
      </c>
      <c r="BV12" s="6">
        <f t="shared" si="3"/>
        <v>0</v>
      </c>
      <c r="BW12" s="6"/>
    </row>
    <row r="13" spans="1:76" hidden="1">
      <c r="A13" s="93"/>
      <c r="B13" s="17" t="s">
        <v>6</v>
      </c>
      <c r="C13"/>
      <c r="D13"/>
      <c r="E13"/>
      <c r="F13"/>
      <c r="G13"/>
      <c r="H13"/>
      <c r="I13"/>
      <c r="J13" s="49" t="s">
        <v>0</v>
      </c>
      <c r="K13"/>
      <c r="L13" s="134" t="s">
        <v>202</v>
      </c>
      <c r="M13" s="6"/>
      <c r="N13" s="6">
        <v>0</v>
      </c>
      <c r="O13" s="6"/>
      <c r="P13" s="6">
        <v>0</v>
      </c>
      <c r="Q13" s="6"/>
      <c r="R13" s="6">
        <f>+N13+P13</f>
        <v>0</v>
      </c>
      <c r="S13" s="6"/>
      <c r="T13" s="6">
        <v>0</v>
      </c>
      <c r="U13" s="6"/>
      <c r="V13" s="6">
        <v>0</v>
      </c>
      <c r="X13" s="6">
        <v>0</v>
      </c>
      <c r="Z13" s="6">
        <v>0</v>
      </c>
      <c r="AB13" s="6">
        <v>0</v>
      </c>
      <c r="AD13" s="6">
        <v>0</v>
      </c>
      <c r="AF13" s="6">
        <v>0</v>
      </c>
      <c r="AH13" s="6">
        <v>0</v>
      </c>
      <c r="AJ13" s="6">
        <v>0</v>
      </c>
      <c r="AN13" s="6">
        <v>0</v>
      </c>
      <c r="AP13" s="6">
        <v>0</v>
      </c>
      <c r="AR13" s="6">
        <v>0</v>
      </c>
      <c r="AT13" s="6">
        <v>0</v>
      </c>
      <c r="AV13" s="6">
        <v>0</v>
      </c>
      <c r="AX13" s="6">
        <v>0</v>
      </c>
      <c r="AZ13" s="6">
        <v>0</v>
      </c>
      <c r="BB13" s="6">
        <v>0</v>
      </c>
      <c r="BD13" s="6">
        <v>0</v>
      </c>
      <c r="BF13" s="6">
        <v>0</v>
      </c>
      <c r="BH13" s="6">
        <v>0</v>
      </c>
      <c r="BJ13" s="6">
        <v>0</v>
      </c>
      <c r="BL13" s="6">
        <v>0</v>
      </c>
      <c r="BM13" s="6"/>
      <c r="BN13" s="6">
        <f t="shared" si="0"/>
        <v>0</v>
      </c>
      <c r="BO13" s="6"/>
      <c r="BP13" s="6">
        <v>0</v>
      </c>
      <c r="BQ13" s="6"/>
      <c r="BR13" s="6">
        <f t="shared" si="1"/>
        <v>0</v>
      </c>
      <c r="BT13" s="6">
        <f t="shared" si="2"/>
        <v>0</v>
      </c>
      <c r="BV13" s="6">
        <f t="shared" si="3"/>
        <v>0</v>
      </c>
      <c r="BW13" s="6"/>
    </row>
    <row r="14" spans="1:76">
      <c r="A14" s="93"/>
      <c r="B14" s="17" t="s">
        <v>121</v>
      </c>
      <c r="C14"/>
      <c r="D14"/>
      <c r="E14"/>
      <c r="F14"/>
      <c r="G14"/>
      <c r="H14"/>
      <c r="I14"/>
      <c r="J14" s="49" t="s">
        <v>0</v>
      </c>
      <c r="K14"/>
      <c r="L14" s="134" t="s">
        <v>202</v>
      </c>
      <c r="M14" s="6"/>
      <c r="N14" s="6">
        <v>93330000</v>
      </c>
      <c r="O14" s="6"/>
      <c r="P14" s="6">
        <v>0</v>
      </c>
      <c r="Q14" s="6"/>
      <c r="R14" s="6">
        <v>250000</v>
      </c>
      <c r="S14" s="6"/>
      <c r="T14" s="6">
        <v>0</v>
      </c>
      <c r="U14" s="6"/>
      <c r="V14" s="6">
        <v>0</v>
      </c>
      <c r="X14" s="6">
        <v>0</v>
      </c>
      <c r="Z14" s="6">
        <v>0</v>
      </c>
      <c r="AB14" s="6">
        <v>0</v>
      </c>
      <c r="AD14" s="6">
        <v>0</v>
      </c>
      <c r="AF14" s="6">
        <v>0</v>
      </c>
      <c r="AH14" s="6">
        <v>0</v>
      </c>
      <c r="AJ14" s="6">
        <v>0</v>
      </c>
      <c r="AL14" s="6">
        <v>107199</v>
      </c>
      <c r="AN14" s="6">
        <v>0</v>
      </c>
      <c r="AP14" s="6">
        <v>0</v>
      </c>
      <c r="AR14" s="6">
        <v>0</v>
      </c>
      <c r="AT14" s="6">
        <v>0</v>
      </c>
      <c r="AV14" s="6">
        <v>0</v>
      </c>
      <c r="AX14" s="6">
        <v>0</v>
      </c>
      <c r="AZ14" s="6">
        <v>0</v>
      </c>
      <c r="BB14" s="6">
        <v>0</v>
      </c>
      <c r="BD14" s="6">
        <v>0</v>
      </c>
      <c r="BF14" s="6">
        <v>0</v>
      </c>
      <c r="BH14" s="6">
        <v>0</v>
      </c>
      <c r="BJ14" s="6">
        <v>0</v>
      </c>
      <c r="BL14" s="6">
        <v>0</v>
      </c>
      <c r="BM14" s="6"/>
      <c r="BN14" s="6">
        <f t="shared" si="0"/>
        <v>107199</v>
      </c>
      <c r="BO14" s="6"/>
      <c r="BP14" s="6">
        <v>0</v>
      </c>
      <c r="BQ14" s="6"/>
      <c r="BR14" s="6">
        <f t="shared" si="1"/>
        <v>142801</v>
      </c>
      <c r="BT14" s="6">
        <f t="shared" si="2"/>
        <v>250000</v>
      </c>
      <c r="BV14" s="6">
        <f t="shared" si="3"/>
        <v>0</v>
      </c>
      <c r="BW14" s="6"/>
    </row>
    <row r="15" spans="1:76">
      <c r="A15" s="93"/>
      <c r="B15" s="17"/>
      <c r="C15"/>
      <c r="D15"/>
      <c r="E15"/>
      <c r="F15"/>
      <c r="G15"/>
      <c r="H15"/>
      <c r="I15"/>
      <c r="J15" s="49"/>
      <c r="K15"/>
      <c r="L15" s="134"/>
      <c r="M15" s="6"/>
      <c r="N15" s="12"/>
      <c r="O15" s="6"/>
      <c r="P15" s="12"/>
      <c r="Q15" s="6"/>
      <c r="R15" s="12"/>
      <c r="S15" s="6"/>
      <c r="T15" s="12"/>
      <c r="U15" s="6"/>
      <c r="V15" s="12"/>
      <c r="X15" s="12"/>
      <c r="Z15" s="12"/>
      <c r="AB15" s="12"/>
      <c r="AD15" s="12"/>
      <c r="AF15" s="12"/>
      <c r="AH15" s="12"/>
      <c r="AJ15" s="12"/>
      <c r="AL15" s="12"/>
      <c r="AN15" s="12"/>
      <c r="AP15" s="12"/>
      <c r="AR15" s="12"/>
      <c r="AT15" s="12"/>
      <c r="AV15" s="12"/>
      <c r="AW15" s="12"/>
      <c r="AX15" s="12"/>
      <c r="AY15" s="12"/>
      <c r="AZ15" s="12"/>
      <c r="BA15" s="12"/>
      <c r="BB15" s="12"/>
      <c r="BC15" s="12"/>
      <c r="BD15" s="12"/>
      <c r="BE15" s="12"/>
      <c r="BF15" s="12"/>
      <c r="BG15" s="12"/>
      <c r="BH15" s="12"/>
      <c r="BI15" s="12"/>
      <c r="BJ15" s="12"/>
      <c r="BK15" s="12"/>
      <c r="BL15" s="12"/>
      <c r="BM15" s="6"/>
      <c r="BN15" s="12"/>
      <c r="BO15" s="6"/>
      <c r="BP15" s="12"/>
      <c r="BQ15" s="6"/>
      <c r="BR15" s="6">
        <f t="shared" si="1"/>
        <v>0</v>
      </c>
      <c r="BT15" s="12"/>
      <c r="BV15" s="6">
        <f t="shared" si="3"/>
        <v>0</v>
      </c>
      <c r="BW15" s="6"/>
    </row>
    <row r="16" spans="1:76">
      <c r="A16" s="93"/>
      <c r="B16" s="17" t="s">
        <v>195</v>
      </c>
      <c r="C16"/>
      <c r="D16"/>
      <c r="E16"/>
      <c r="F16"/>
      <c r="G16"/>
      <c r="H16"/>
      <c r="I16"/>
      <c r="J16" s="49"/>
      <c r="K16"/>
      <c r="L16" s="134"/>
      <c r="M16" s="6"/>
      <c r="N16" s="101">
        <f>SUM(N9:N15)</f>
        <v>93330000</v>
      </c>
      <c r="O16" s="6"/>
      <c r="P16" s="101">
        <f>SUM(P9:P15)</f>
        <v>0</v>
      </c>
      <c r="Q16" s="6"/>
      <c r="R16" s="101">
        <f>SUM(R9:R15)</f>
        <v>93580000</v>
      </c>
      <c r="S16" s="6"/>
      <c r="T16" s="101">
        <f>SUM(T9:T15)</f>
        <v>0</v>
      </c>
      <c r="U16" s="6"/>
      <c r="V16" s="101">
        <f>SUM(V9:V15)</f>
        <v>0</v>
      </c>
      <c r="X16" s="101">
        <f>SUM(X9:X15)</f>
        <v>0</v>
      </c>
      <c r="Z16" s="101">
        <f>SUM(Z9:Z15)</f>
        <v>0</v>
      </c>
      <c r="AB16" s="101">
        <f>SUM(AB9:AB15)</f>
        <v>0</v>
      </c>
      <c r="AD16" s="101">
        <f>SUM(AD9:AD15)</f>
        <v>0</v>
      </c>
      <c r="AF16" s="101">
        <f>SUM(AF9:AF15)</f>
        <v>0</v>
      </c>
      <c r="AH16" s="101">
        <f>SUM(AH9:AH15)</f>
        <v>0</v>
      </c>
      <c r="AJ16" s="101">
        <f>SUM(AJ9:AJ15)</f>
        <v>0</v>
      </c>
      <c r="AL16" s="101">
        <f>SUM(AL9:AL15)</f>
        <v>86082379</v>
      </c>
      <c r="AM16" s="101"/>
      <c r="AN16" s="101">
        <f>SUM(AN9:AN15)</f>
        <v>0</v>
      </c>
      <c r="AP16" s="101">
        <f>SUM(AP9:AP15)</f>
        <v>1282310</v>
      </c>
      <c r="AR16" s="101">
        <f>SUM(AR9:AR15)</f>
        <v>144155</v>
      </c>
      <c r="AT16" s="101">
        <f>SUM(AT9:AT15)</f>
        <v>0</v>
      </c>
      <c r="AV16" s="101">
        <f>SUM(AV9:AV15)</f>
        <v>0</v>
      </c>
      <c r="AW16" s="12"/>
      <c r="AX16" s="101">
        <f>SUM(AX9:AX15)</f>
        <v>0</v>
      </c>
      <c r="AY16" s="12"/>
      <c r="AZ16" s="101">
        <f>SUM(AZ9:AZ15)</f>
        <v>1240525</v>
      </c>
      <c r="BA16" s="12"/>
      <c r="BB16" s="101">
        <f>SUM(BB9:BB15)</f>
        <v>0</v>
      </c>
      <c r="BC16" s="12"/>
      <c r="BD16" s="101">
        <f>SUM(BD9:BD15)</f>
        <v>0</v>
      </c>
      <c r="BE16" s="12"/>
      <c r="BF16" s="101">
        <f>SUM(BF9:BF15)</f>
        <v>0</v>
      </c>
      <c r="BG16" s="12"/>
      <c r="BH16" s="101">
        <f>SUM(BH9:BH15)</f>
        <v>0</v>
      </c>
      <c r="BI16" s="12"/>
      <c r="BJ16" s="101">
        <f>SUM(BJ9:BJ15)</f>
        <v>0</v>
      </c>
      <c r="BK16" s="12"/>
      <c r="BL16" s="101">
        <f>SUM(BL9:BL15)</f>
        <v>0</v>
      </c>
      <c r="BM16" s="6"/>
      <c r="BN16" s="101">
        <f>SUM(BN9:BN15)</f>
        <v>88749369</v>
      </c>
      <c r="BO16" s="6"/>
      <c r="BP16" s="101">
        <f>SUM(BP9:BP15)</f>
        <v>1981044</v>
      </c>
      <c r="BQ16" s="6"/>
      <c r="BR16" s="101">
        <f>SUM(BR9:BR15)</f>
        <v>6811675</v>
      </c>
      <c r="BT16" s="101">
        <f>SUM(BT9:BT15)</f>
        <v>95561044</v>
      </c>
      <c r="BV16" s="101">
        <f>SUM(BV9:BV15)</f>
        <v>-1981044</v>
      </c>
      <c r="BW16" s="6"/>
    </row>
    <row r="17" spans="1:75">
      <c r="A17" s="93"/>
      <c r="B17" s="17"/>
      <c r="C17"/>
      <c r="D17"/>
      <c r="E17"/>
      <c r="F17"/>
      <c r="G17"/>
      <c r="H17"/>
      <c r="I17"/>
      <c r="J17" s="49"/>
      <c r="K17"/>
      <c r="L17" s="134"/>
      <c r="M17" s="6"/>
      <c r="O17" s="6"/>
      <c r="Q17" s="6"/>
      <c r="S17" s="6"/>
      <c r="T17" s="6"/>
      <c r="U17" s="6"/>
      <c r="V17" s="6"/>
      <c r="X17" s="6"/>
      <c r="Z17" s="6"/>
      <c r="AB17" s="6"/>
      <c r="AD17" s="6"/>
      <c r="BL17" s="6"/>
      <c r="BM17" s="6"/>
      <c r="BO17" s="6"/>
      <c r="BP17" s="6"/>
      <c r="BQ17" s="6"/>
      <c r="BW17" s="6"/>
    </row>
    <row r="18" spans="1:75" hidden="1">
      <c r="A18" s="93"/>
      <c r="B18" s="17" t="s">
        <v>26</v>
      </c>
      <c r="C18"/>
      <c r="D18"/>
      <c r="E18"/>
      <c r="F18"/>
      <c r="G18"/>
      <c r="H18"/>
      <c r="I18"/>
      <c r="J18" s="49"/>
      <c r="K18"/>
      <c r="L18" s="134" t="s">
        <v>202</v>
      </c>
      <c r="M18" s="6"/>
      <c r="N18" s="6">
        <v>0</v>
      </c>
      <c r="O18" s="6"/>
      <c r="P18" s="6">
        <v>0</v>
      </c>
      <c r="Q18" s="6"/>
      <c r="R18" s="6">
        <f>+N18+P18</f>
        <v>0</v>
      </c>
      <c r="S18" s="6"/>
      <c r="T18" s="6">
        <v>0</v>
      </c>
      <c r="U18" s="6"/>
      <c r="V18" s="6">
        <v>0</v>
      </c>
      <c r="X18" s="6">
        <v>0</v>
      </c>
      <c r="Z18" s="6">
        <v>0</v>
      </c>
      <c r="AB18" s="6">
        <v>0</v>
      </c>
      <c r="AD18" s="6">
        <v>0</v>
      </c>
      <c r="AF18" s="6">
        <v>0</v>
      </c>
      <c r="AH18" s="6">
        <v>0</v>
      </c>
      <c r="AJ18" s="6">
        <v>0</v>
      </c>
      <c r="AN18" s="6">
        <v>0</v>
      </c>
      <c r="AP18" s="6">
        <v>0</v>
      </c>
      <c r="AR18" s="6">
        <v>0</v>
      </c>
      <c r="AT18" s="6">
        <v>0</v>
      </c>
      <c r="AV18" s="6">
        <v>0</v>
      </c>
      <c r="AX18" s="6">
        <v>0</v>
      </c>
      <c r="AZ18" s="6">
        <v>0</v>
      </c>
      <c r="BB18" s="6">
        <v>0</v>
      </c>
      <c r="BD18" s="6">
        <v>0</v>
      </c>
      <c r="BF18" s="6">
        <v>0</v>
      </c>
      <c r="BH18" s="6">
        <v>0</v>
      </c>
      <c r="BJ18" s="6">
        <v>0</v>
      </c>
      <c r="BL18" s="6">
        <v>0</v>
      </c>
      <c r="BM18" s="6"/>
      <c r="BN18" s="6">
        <f>SUM(T18:BM18)</f>
        <v>0</v>
      </c>
      <c r="BO18" s="6"/>
      <c r="BP18" s="6">
        <v>0</v>
      </c>
      <c r="BQ18" s="6"/>
      <c r="BR18" s="6">
        <f>+R18-BN18+BP18</f>
        <v>0</v>
      </c>
      <c r="BT18" s="6">
        <f t="shared" ref="BT18:BT34" si="4">+BN18+BR18</f>
        <v>0</v>
      </c>
      <c r="BV18" s="6">
        <f t="shared" ref="BV18:BV34" si="5">+R18-BT18</f>
        <v>0</v>
      </c>
      <c r="BW18" s="6"/>
    </row>
    <row r="19" spans="1:75">
      <c r="A19" s="57"/>
      <c r="B19" s="17" t="s">
        <v>221</v>
      </c>
      <c r="C19"/>
      <c r="D19"/>
      <c r="E19"/>
      <c r="F19"/>
      <c r="G19"/>
      <c r="H19"/>
      <c r="I19"/>
      <c r="J19" s="49" t="s">
        <v>0</v>
      </c>
      <c r="K19"/>
      <c r="L19" s="134" t="s">
        <v>202</v>
      </c>
      <c r="M19" s="6"/>
      <c r="N19" s="6">
        <v>0</v>
      </c>
      <c r="O19" s="6"/>
      <c r="P19" s="6">
        <v>0</v>
      </c>
      <c r="Q19" s="6"/>
      <c r="R19" s="6">
        <v>5885811</v>
      </c>
      <c r="S19" s="6"/>
      <c r="T19" s="6">
        <v>0</v>
      </c>
      <c r="U19" s="6"/>
      <c r="V19" s="6">
        <v>0</v>
      </c>
      <c r="X19" s="6">
        <v>0</v>
      </c>
      <c r="Z19" s="6">
        <v>0</v>
      </c>
      <c r="AB19" s="6">
        <v>0</v>
      </c>
      <c r="AD19" s="6">
        <v>0</v>
      </c>
      <c r="AF19" s="6">
        <v>0</v>
      </c>
      <c r="AL19" s="6">
        <v>1177162</v>
      </c>
      <c r="AN19" s="6">
        <v>0</v>
      </c>
      <c r="AP19" s="6">
        <v>0</v>
      </c>
      <c r="AR19" s="6">
        <v>58500</v>
      </c>
      <c r="AT19" s="6">
        <v>1765743.3</v>
      </c>
      <c r="AV19" s="6">
        <f>569673+1196070.3</f>
        <v>1765743.3</v>
      </c>
      <c r="AX19" s="6">
        <v>0</v>
      </c>
      <c r="AZ19" s="6">
        <f>2354324-1765743</f>
        <v>588581</v>
      </c>
      <c r="BB19" s="6">
        <v>382350</v>
      </c>
      <c r="BD19" s="6">
        <v>0</v>
      </c>
      <c r="BF19" s="6">
        <v>0</v>
      </c>
      <c r="BH19" s="6">
        <v>0</v>
      </c>
      <c r="BJ19" s="6">
        <v>0</v>
      </c>
      <c r="BL19" s="6">
        <v>0</v>
      </c>
      <c r="BM19" s="6"/>
      <c r="BN19" s="6">
        <f>SUM(T19:BM19)</f>
        <v>5738079.5999999996</v>
      </c>
      <c r="BO19" s="6"/>
      <c r="BP19" s="6">
        <f>220650+161700</f>
        <v>382350</v>
      </c>
      <c r="BQ19" s="6"/>
      <c r="BR19" s="6">
        <f t="shared" ref="BR19:BR34" si="6">IF(+R19-BN19+BP19&gt;0,R19-BN19+BP19,0)</f>
        <v>530081.40000000037</v>
      </c>
      <c r="BT19" s="6">
        <f t="shared" si="4"/>
        <v>6268161</v>
      </c>
      <c r="BV19" s="6">
        <f t="shared" si="5"/>
        <v>-382350</v>
      </c>
      <c r="BW19" s="6"/>
    </row>
    <row r="20" spans="1:75">
      <c r="A20" s="57"/>
      <c r="B20" s="17" t="s">
        <v>224</v>
      </c>
      <c r="C20"/>
      <c r="D20"/>
      <c r="E20"/>
      <c r="F20"/>
      <c r="G20"/>
      <c r="H20"/>
      <c r="I20"/>
      <c r="J20" s="49" t="s">
        <v>0</v>
      </c>
      <c r="K20"/>
      <c r="L20" s="134" t="s">
        <v>202</v>
      </c>
      <c r="M20" s="6"/>
      <c r="O20" s="6"/>
      <c r="Q20" s="6"/>
      <c r="R20" s="6">
        <v>0</v>
      </c>
      <c r="S20" s="6"/>
      <c r="T20" s="6"/>
      <c r="U20" s="6"/>
      <c r="V20" s="6"/>
      <c r="X20" s="6"/>
      <c r="Z20" s="6"/>
      <c r="AB20" s="6"/>
      <c r="AD20" s="6"/>
      <c r="BL20" s="6"/>
      <c r="BM20" s="6"/>
      <c r="BN20" s="6">
        <f t="shared" ref="BN20:BN33" si="7">SUM(T20:BM20)</f>
        <v>0</v>
      </c>
      <c r="BO20" s="6"/>
      <c r="BP20" s="6"/>
      <c r="BQ20" s="6"/>
      <c r="BR20" s="6">
        <f t="shared" si="6"/>
        <v>0</v>
      </c>
      <c r="BT20" s="6">
        <f t="shared" si="4"/>
        <v>0</v>
      </c>
      <c r="BV20" s="6">
        <f t="shared" si="5"/>
        <v>0</v>
      </c>
      <c r="BW20" s="6"/>
    </row>
    <row r="21" spans="1:75">
      <c r="A21" s="57"/>
      <c r="B21" s="17" t="s">
        <v>225</v>
      </c>
      <c r="C21"/>
      <c r="D21"/>
      <c r="E21"/>
      <c r="F21"/>
      <c r="G21"/>
      <c r="H21"/>
      <c r="I21"/>
      <c r="J21" s="49" t="s">
        <v>0</v>
      </c>
      <c r="K21"/>
      <c r="L21" s="134" t="s">
        <v>202</v>
      </c>
      <c r="M21" s="6"/>
      <c r="O21" s="6"/>
      <c r="Q21" s="6"/>
      <c r="S21" s="6"/>
      <c r="T21" s="6"/>
      <c r="U21" s="6"/>
      <c r="V21" s="6"/>
      <c r="X21" s="6"/>
      <c r="Z21" s="6"/>
      <c r="AB21" s="6"/>
      <c r="AD21" s="6"/>
      <c r="BL21" s="6"/>
      <c r="BM21" s="6"/>
      <c r="BN21" s="6">
        <f t="shared" si="7"/>
        <v>0</v>
      </c>
      <c r="BO21" s="6"/>
      <c r="BP21" s="6"/>
      <c r="BQ21" s="6"/>
      <c r="BR21" s="6">
        <f t="shared" si="6"/>
        <v>0</v>
      </c>
      <c r="BT21" s="6">
        <f t="shared" si="4"/>
        <v>0</v>
      </c>
      <c r="BV21" s="6">
        <f t="shared" si="5"/>
        <v>0</v>
      </c>
      <c r="BW21" s="6"/>
    </row>
    <row r="22" spans="1:75">
      <c r="A22" s="57"/>
      <c r="B22" s="17" t="s">
        <v>222</v>
      </c>
      <c r="C22"/>
      <c r="D22"/>
      <c r="E22"/>
      <c r="F22"/>
      <c r="G22"/>
      <c r="H22"/>
      <c r="I22"/>
      <c r="J22" s="49" t="s">
        <v>0</v>
      </c>
      <c r="K22"/>
      <c r="L22" s="134" t="s">
        <v>202</v>
      </c>
      <c r="M22" s="6"/>
      <c r="O22" s="6"/>
      <c r="Q22" s="6"/>
      <c r="S22" s="6"/>
      <c r="T22" s="6"/>
      <c r="U22" s="6"/>
      <c r="V22" s="6"/>
      <c r="X22" s="6"/>
      <c r="Z22" s="6"/>
      <c r="AB22" s="6"/>
      <c r="AD22" s="6"/>
      <c r="BL22" s="6"/>
      <c r="BM22" s="6"/>
      <c r="BN22" s="6">
        <f t="shared" si="7"/>
        <v>0</v>
      </c>
      <c r="BO22" s="6"/>
      <c r="BP22" s="6"/>
      <c r="BQ22" s="6"/>
      <c r="BR22" s="6">
        <f t="shared" si="6"/>
        <v>0</v>
      </c>
      <c r="BT22" s="6">
        <f t="shared" si="4"/>
        <v>0</v>
      </c>
      <c r="BV22" s="6">
        <f t="shared" si="5"/>
        <v>0</v>
      </c>
      <c r="BW22" s="6"/>
    </row>
    <row r="23" spans="1:75">
      <c r="A23" s="57"/>
      <c r="B23" s="17" t="s">
        <v>223</v>
      </c>
      <c r="C23"/>
      <c r="D23"/>
      <c r="E23"/>
      <c r="F23"/>
      <c r="G23"/>
      <c r="H23"/>
      <c r="I23"/>
      <c r="J23" s="49" t="s">
        <v>0</v>
      </c>
      <c r="K23"/>
      <c r="L23" s="134" t="s">
        <v>202</v>
      </c>
      <c r="M23" s="6"/>
      <c r="O23" s="6"/>
      <c r="Q23" s="6"/>
      <c r="S23" s="6"/>
      <c r="T23" s="6"/>
      <c r="U23" s="6"/>
      <c r="V23" s="6"/>
      <c r="X23" s="6"/>
      <c r="Z23" s="6"/>
      <c r="AB23" s="6"/>
      <c r="AD23" s="6"/>
      <c r="BL23" s="6"/>
      <c r="BM23" s="6"/>
      <c r="BN23" s="6">
        <f t="shared" si="7"/>
        <v>0</v>
      </c>
      <c r="BO23" s="6"/>
      <c r="BP23" s="6"/>
      <c r="BQ23" s="6"/>
      <c r="BR23" s="6">
        <f t="shared" si="6"/>
        <v>0</v>
      </c>
      <c r="BT23" s="6">
        <f t="shared" si="4"/>
        <v>0</v>
      </c>
      <c r="BV23" s="6">
        <f t="shared" si="5"/>
        <v>0</v>
      </c>
      <c r="BW23" s="6"/>
    </row>
    <row r="24" spans="1:75" hidden="1">
      <c r="A24" s="57"/>
      <c r="B24" s="17"/>
      <c r="C24"/>
      <c r="D24"/>
      <c r="E24"/>
      <c r="F24"/>
      <c r="G24"/>
      <c r="H24"/>
      <c r="I24"/>
      <c r="J24" s="49" t="s">
        <v>0</v>
      </c>
      <c r="K24"/>
      <c r="L24" s="134"/>
      <c r="M24" s="6"/>
      <c r="O24" s="6"/>
      <c r="Q24" s="6"/>
      <c r="S24" s="6"/>
      <c r="T24" s="6"/>
      <c r="U24" s="6"/>
      <c r="V24" s="6"/>
      <c r="X24" s="6"/>
      <c r="Z24" s="6"/>
      <c r="AB24" s="6"/>
      <c r="AD24" s="6"/>
      <c r="BL24" s="6"/>
      <c r="BM24" s="6"/>
      <c r="BN24" s="6">
        <f t="shared" si="7"/>
        <v>0</v>
      </c>
      <c r="BO24" s="6"/>
      <c r="BP24" s="6"/>
      <c r="BQ24" s="6"/>
      <c r="BR24" s="6">
        <f t="shared" si="6"/>
        <v>0</v>
      </c>
      <c r="BT24" s="6">
        <f t="shared" si="4"/>
        <v>0</v>
      </c>
      <c r="BV24" s="6">
        <f t="shared" si="5"/>
        <v>0</v>
      </c>
      <c r="BW24" s="6"/>
    </row>
    <row r="25" spans="1:75" hidden="1">
      <c r="A25" s="57"/>
      <c r="B25" s="17" t="s">
        <v>7</v>
      </c>
      <c r="C25"/>
      <c r="D25"/>
      <c r="E25"/>
      <c r="F25"/>
      <c r="G25"/>
      <c r="H25"/>
      <c r="I25"/>
      <c r="J25" s="49" t="s">
        <v>0</v>
      </c>
      <c r="K25"/>
      <c r="L25" s="134" t="s">
        <v>202</v>
      </c>
      <c r="M25" s="6"/>
      <c r="N25" s="6">
        <v>0</v>
      </c>
      <c r="O25" s="6"/>
      <c r="P25" s="6">
        <v>0</v>
      </c>
      <c r="Q25" s="6"/>
      <c r="R25" s="6">
        <f t="shared" ref="R25:R32" si="8">+N25+P25</f>
        <v>0</v>
      </c>
      <c r="S25" s="6"/>
      <c r="T25" s="6">
        <v>0</v>
      </c>
      <c r="U25" s="6"/>
      <c r="V25" s="6">
        <v>0</v>
      </c>
      <c r="X25" s="6">
        <v>0</v>
      </c>
      <c r="Z25" s="6">
        <v>0</v>
      </c>
      <c r="AB25" s="6">
        <v>0</v>
      </c>
      <c r="AD25" s="6">
        <v>0</v>
      </c>
      <c r="AF25" s="6">
        <v>0</v>
      </c>
      <c r="AH25" s="6">
        <v>0</v>
      </c>
      <c r="AJ25" s="6">
        <v>0</v>
      </c>
      <c r="AN25" s="6">
        <v>0</v>
      </c>
      <c r="AP25" s="6">
        <v>0</v>
      </c>
      <c r="AR25" s="6">
        <v>0</v>
      </c>
      <c r="AT25" s="6">
        <v>0</v>
      </c>
      <c r="AV25" s="6">
        <v>0</v>
      </c>
      <c r="AX25" s="6">
        <v>0</v>
      </c>
      <c r="AZ25" s="6">
        <v>0</v>
      </c>
      <c r="BB25" s="6">
        <v>0</v>
      </c>
      <c r="BD25" s="6">
        <v>0</v>
      </c>
      <c r="BF25" s="6">
        <v>0</v>
      </c>
      <c r="BH25" s="6">
        <v>0</v>
      </c>
      <c r="BJ25" s="6">
        <v>0</v>
      </c>
      <c r="BL25" s="6">
        <v>0</v>
      </c>
      <c r="BM25" s="6"/>
      <c r="BN25" s="6">
        <f t="shared" si="7"/>
        <v>0</v>
      </c>
      <c r="BO25" s="6"/>
      <c r="BP25" s="6">
        <v>0</v>
      </c>
      <c r="BQ25" s="6"/>
      <c r="BR25" s="6">
        <f t="shared" si="6"/>
        <v>0</v>
      </c>
      <c r="BT25" s="6">
        <f t="shared" si="4"/>
        <v>0</v>
      </c>
      <c r="BV25" s="6">
        <f t="shared" si="5"/>
        <v>0</v>
      </c>
      <c r="BW25" s="6"/>
    </row>
    <row r="26" spans="1:75" hidden="1">
      <c r="A26" s="57"/>
      <c r="B26" s="17" t="s">
        <v>8</v>
      </c>
      <c r="C26"/>
      <c r="D26"/>
      <c r="E26"/>
      <c r="F26"/>
      <c r="G26"/>
      <c r="H26"/>
      <c r="I26"/>
      <c r="J26" s="49" t="s">
        <v>0</v>
      </c>
      <c r="K26"/>
      <c r="L26" s="134" t="s">
        <v>202</v>
      </c>
      <c r="M26" s="6"/>
      <c r="N26" s="6">
        <v>0</v>
      </c>
      <c r="O26" s="6"/>
      <c r="P26" s="6">
        <v>0</v>
      </c>
      <c r="Q26" s="6"/>
      <c r="R26" s="6">
        <f t="shared" si="8"/>
        <v>0</v>
      </c>
      <c r="S26" s="6"/>
      <c r="T26" s="6">
        <v>0</v>
      </c>
      <c r="U26" s="6"/>
      <c r="V26" s="6">
        <v>0</v>
      </c>
      <c r="X26" s="6">
        <v>0</v>
      </c>
      <c r="Z26" s="6">
        <v>0</v>
      </c>
      <c r="AB26" s="6">
        <v>0</v>
      </c>
      <c r="AD26" s="6">
        <v>0</v>
      </c>
      <c r="AF26" s="6">
        <v>0</v>
      </c>
      <c r="AH26" s="6">
        <v>0</v>
      </c>
      <c r="AJ26" s="6">
        <v>0</v>
      </c>
      <c r="AN26" s="6">
        <v>0</v>
      </c>
      <c r="AP26" s="6">
        <v>0</v>
      </c>
      <c r="AR26" s="6">
        <v>0</v>
      </c>
      <c r="AT26" s="6">
        <v>0</v>
      </c>
      <c r="AV26" s="6">
        <v>0</v>
      </c>
      <c r="AX26" s="6">
        <v>0</v>
      </c>
      <c r="AZ26" s="6">
        <v>0</v>
      </c>
      <c r="BB26" s="6">
        <v>0</v>
      </c>
      <c r="BD26" s="6">
        <v>0</v>
      </c>
      <c r="BF26" s="6">
        <v>0</v>
      </c>
      <c r="BH26" s="6">
        <v>0</v>
      </c>
      <c r="BJ26" s="6">
        <v>0</v>
      </c>
      <c r="BL26" s="6">
        <v>0</v>
      </c>
      <c r="BM26" s="6"/>
      <c r="BN26" s="6">
        <f t="shared" si="7"/>
        <v>0</v>
      </c>
      <c r="BO26" s="6"/>
      <c r="BP26" s="6">
        <v>0</v>
      </c>
      <c r="BQ26" s="6"/>
      <c r="BR26" s="6">
        <f t="shared" si="6"/>
        <v>0</v>
      </c>
      <c r="BT26" s="6">
        <f t="shared" si="4"/>
        <v>0</v>
      </c>
      <c r="BV26" s="6">
        <f t="shared" si="5"/>
        <v>0</v>
      </c>
      <c r="BW26" s="6"/>
    </row>
    <row r="27" spans="1:75" hidden="1">
      <c r="A27" s="57"/>
      <c r="B27" s="17" t="s">
        <v>9</v>
      </c>
      <c r="C27"/>
      <c r="D27"/>
      <c r="E27"/>
      <c r="F27"/>
      <c r="G27"/>
      <c r="H27"/>
      <c r="I27"/>
      <c r="J27" s="49" t="s">
        <v>0</v>
      </c>
      <c r="K27"/>
      <c r="L27" s="134" t="s">
        <v>202</v>
      </c>
      <c r="M27" s="6"/>
      <c r="N27" s="6">
        <v>0</v>
      </c>
      <c r="O27" s="6"/>
      <c r="P27" s="6">
        <v>0</v>
      </c>
      <c r="Q27" s="6"/>
      <c r="R27" s="6">
        <f t="shared" si="8"/>
        <v>0</v>
      </c>
      <c r="S27" s="6"/>
      <c r="T27" s="6">
        <v>0</v>
      </c>
      <c r="U27" s="6"/>
      <c r="V27" s="6">
        <v>0</v>
      </c>
      <c r="X27" s="6">
        <v>0</v>
      </c>
      <c r="Z27" s="6">
        <v>0</v>
      </c>
      <c r="AB27" s="6">
        <v>0</v>
      </c>
      <c r="AD27" s="6">
        <v>0</v>
      </c>
      <c r="AF27" s="6">
        <v>0</v>
      </c>
      <c r="AH27" s="6">
        <v>0</v>
      </c>
      <c r="AJ27" s="6">
        <v>0</v>
      </c>
      <c r="AN27" s="6">
        <v>0</v>
      </c>
      <c r="AP27" s="6">
        <v>0</v>
      </c>
      <c r="AR27" s="6">
        <v>0</v>
      </c>
      <c r="AT27" s="6">
        <v>0</v>
      </c>
      <c r="AV27" s="6">
        <v>0</v>
      </c>
      <c r="AX27" s="6">
        <v>0</v>
      </c>
      <c r="AZ27" s="6">
        <v>0</v>
      </c>
      <c r="BB27" s="6">
        <v>0</v>
      </c>
      <c r="BD27" s="6">
        <v>0</v>
      </c>
      <c r="BF27" s="6">
        <v>0</v>
      </c>
      <c r="BH27" s="6">
        <v>0</v>
      </c>
      <c r="BJ27" s="6">
        <v>0</v>
      </c>
      <c r="BL27" s="6">
        <v>0</v>
      </c>
      <c r="BM27" s="6"/>
      <c r="BN27" s="6">
        <f t="shared" si="7"/>
        <v>0</v>
      </c>
      <c r="BO27" s="6"/>
      <c r="BP27" s="6">
        <v>0</v>
      </c>
      <c r="BQ27" s="6"/>
      <c r="BR27" s="6">
        <f t="shared" si="6"/>
        <v>0</v>
      </c>
      <c r="BT27" s="6">
        <f t="shared" si="4"/>
        <v>0</v>
      </c>
      <c r="BV27" s="6">
        <f t="shared" si="5"/>
        <v>0</v>
      </c>
      <c r="BW27" s="6"/>
    </row>
    <row r="28" spans="1:75" hidden="1">
      <c r="A28" s="57"/>
      <c r="B28" s="17" t="s">
        <v>10</v>
      </c>
      <c r="C28"/>
      <c r="D28"/>
      <c r="E28"/>
      <c r="F28"/>
      <c r="G28"/>
      <c r="H28"/>
      <c r="I28"/>
      <c r="J28" s="49" t="s">
        <v>0</v>
      </c>
      <c r="K28"/>
      <c r="L28" s="134" t="s">
        <v>202</v>
      </c>
      <c r="M28" s="6"/>
      <c r="N28" s="6">
        <v>0</v>
      </c>
      <c r="O28" s="6"/>
      <c r="P28" s="6">
        <v>0</v>
      </c>
      <c r="Q28" s="6"/>
      <c r="R28" s="6">
        <f t="shared" si="8"/>
        <v>0</v>
      </c>
      <c r="S28" s="6"/>
      <c r="T28" s="6">
        <v>0</v>
      </c>
      <c r="U28" s="6"/>
      <c r="V28" s="6">
        <v>0</v>
      </c>
      <c r="X28" s="6">
        <v>0</v>
      </c>
      <c r="Z28" s="6">
        <v>0</v>
      </c>
      <c r="AB28" s="6">
        <v>0</v>
      </c>
      <c r="AD28" s="6">
        <v>0</v>
      </c>
      <c r="AF28" s="6">
        <v>0</v>
      </c>
      <c r="AH28" s="6">
        <v>0</v>
      </c>
      <c r="AJ28" s="6">
        <v>0</v>
      </c>
      <c r="AN28" s="6">
        <v>0</v>
      </c>
      <c r="AP28" s="6">
        <v>0</v>
      </c>
      <c r="AR28" s="6">
        <v>0</v>
      </c>
      <c r="AT28" s="6">
        <v>0</v>
      </c>
      <c r="AV28" s="6">
        <v>0</v>
      </c>
      <c r="AX28" s="6">
        <v>0</v>
      </c>
      <c r="AZ28" s="6">
        <v>0</v>
      </c>
      <c r="BB28" s="6">
        <v>0</v>
      </c>
      <c r="BD28" s="6">
        <v>0</v>
      </c>
      <c r="BF28" s="6">
        <v>0</v>
      </c>
      <c r="BH28" s="6">
        <v>0</v>
      </c>
      <c r="BJ28" s="6">
        <v>0</v>
      </c>
      <c r="BL28" s="6">
        <v>0</v>
      </c>
      <c r="BM28" s="6"/>
      <c r="BN28" s="6">
        <f t="shared" si="7"/>
        <v>0</v>
      </c>
      <c r="BO28" s="6"/>
      <c r="BP28" s="6">
        <v>0</v>
      </c>
      <c r="BQ28" s="6"/>
      <c r="BR28" s="6">
        <f t="shared" si="6"/>
        <v>0</v>
      </c>
      <c r="BT28" s="6">
        <f t="shared" si="4"/>
        <v>0</v>
      </c>
      <c r="BV28" s="6">
        <f t="shared" si="5"/>
        <v>0</v>
      </c>
      <c r="BW28" s="6"/>
    </row>
    <row r="29" spans="1:75" hidden="1">
      <c r="A29" s="57"/>
      <c r="B29" s="17" t="s">
        <v>11</v>
      </c>
      <c r="C29"/>
      <c r="D29"/>
      <c r="E29"/>
      <c r="F29"/>
      <c r="G29"/>
      <c r="H29"/>
      <c r="I29"/>
      <c r="J29" s="49" t="s">
        <v>0</v>
      </c>
      <c r="K29"/>
      <c r="L29" s="134" t="s">
        <v>202</v>
      </c>
      <c r="M29" s="6"/>
      <c r="N29" s="6">
        <v>0</v>
      </c>
      <c r="O29" s="6"/>
      <c r="P29" s="6">
        <v>0</v>
      </c>
      <c r="Q29" s="6"/>
      <c r="R29" s="6">
        <f t="shared" si="8"/>
        <v>0</v>
      </c>
      <c r="S29" s="6"/>
      <c r="T29" s="6">
        <v>0</v>
      </c>
      <c r="U29" s="6"/>
      <c r="V29" s="6">
        <v>0</v>
      </c>
      <c r="X29" s="6">
        <v>0</v>
      </c>
      <c r="Z29" s="6">
        <v>0</v>
      </c>
      <c r="AB29" s="6">
        <v>0</v>
      </c>
      <c r="AD29" s="6">
        <v>0</v>
      </c>
      <c r="AF29" s="6">
        <v>0</v>
      </c>
      <c r="AH29" s="6">
        <v>0</v>
      </c>
      <c r="AJ29" s="6">
        <v>0</v>
      </c>
      <c r="AN29" s="6">
        <v>0</v>
      </c>
      <c r="AP29" s="6">
        <v>0</v>
      </c>
      <c r="AR29" s="6">
        <v>0</v>
      </c>
      <c r="AT29" s="6">
        <v>0</v>
      </c>
      <c r="AV29" s="6">
        <v>0</v>
      </c>
      <c r="AX29" s="6">
        <v>0</v>
      </c>
      <c r="AZ29" s="6">
        <v>0</v>
      </c>
      <c r="BB29" s="6">
        <v>0</v>
      </c>
      <c r="BD29" s="6">
        <v>0</v>
      </c>
      <c r="BF29" s="6">
        <v>0</v>
      </c>
      <c r="BH29" s="6">
        <v>0</v>
      </c>
      <c r="BJ29" s="6">
        <v>0</v>
      </c>
      <c r="BL29" s="6">
        <v>0</v>
      </c>
      <c r="BM29" s="6"/>
      <c r="BN29" s="6">
        <f t="shared" si="7"/>
        <v>0</v>
      </c>
      <c r="BO29" s="6"/>
      <c r="BP29" s="6">
        <v>0</v>
      </c>
      <c r="BQ29" s="6"/>
      <c r="BR29" s="6">
        <f t="shared" si="6"/>
        <v>0</v>
      </c>
      <c r="BT29" s="6">
        <f t="shared" si="4"/>
        <v>0</v>
      </c>
      <c r="BV29" s="6">
        <f t="shared" si="5"/>
        <v>0</v>
      </c>
      <c r="BW29" s="6"/>
    </row>
    <row r="30" spans="1:75" hidden="1">
      <c r="A30" s="59"/>
      <c r="B30" s="17" t="s">
        <v>12</v>
      </c>
      <c r="C30"/>
      <c r="D30"/>
      <c r="E30"/>
      <c r="F30"/>
      <c r="G30"/>
      <c r="H30"/>
      <c r="I30"/>
      <c r="J30" s="49" t="s">
        <v>0</v>
      </c>
      <c r="K30"/>
      <c r="L30" s="134" t="s">
        <v>202</v>
      </c>
      <c r="M30" s="6"/>
      <c r="N30" s="6">
        <v>0</v>
      </c>
      <c r="O30" s="6"/>
      <c r="P30" s="6">
        <v>0</v>
      </c>
      <c r="Q30" s="6"/>
      <c r="R30" s="6">
        <f t="shared" si="8"/>
        <v>0</v>
      </c>
      <c r="S30" s="6"/>
      <c r="T30" s="6">
        <v>0</v>
      </c>
      <c r="U30" s="6"/>
      <c r="V30" s="6">
        <v>0</v>
      </c>
      <c r="X30" s="6">
        <v>0</v>
      </c>
      <c r="Z30" s="6">
        <v>0</v>
      </c>
      <c r="AB30" s="6">
        <v>0</v>
      </c>
      <c r="AD30" s="6">
        <v>0</v>
      </c>
      <c r="AF30" s="6">
        <v>0</v>
      </c>
      <c r="AH30" s="6">
        <v>0</v>
      </c>
      <c r="AJ30" s="6">
        <v>0</v>
      </c>
      <c r="AN30" s="6">
        <v>0</v>
      </c>
      <c r="AP30" s="6">
        <v>0</v>
      </c>
      <c r="AR30" s="6">
        <v>0</v>
      </c>
      <c r="AT30" s="6">
        <v>0</v>
      </c>
      <c r="AV30" s="6">
        <v>0</v>
      </c>
      <c r="AX30" s="6">
        <v>0</v>
      </c>
      <c r="AZ30" s="6">
        <v>0</v>
      </c>
      <c r="BB30" s="6">
        <v>0</v>
      </c>
      <c r="BD30" s="6">
        <v>0</v>
      </c>
      <c r="BF30" s="6">
        <v>0</v>
      </c>
      <c r="BH30" s="6">
        <v>0</v>
      </c>
      <c r="BJ30" s="6">
        <v>0</v>
      </c>
      <c r="BL30" s="6">
        <v>0</v>
      </c>
      <c r="BM30" s="6"/>
      <c r="BN30" s="6">
        <f t="shared" si="7"/>
        <v>0</v>
      </c>
      <c r="BO30" s="6"/>
      <c r="BP30" s="6">
        <v>0</v>
      </c>
      <c r="BQ30" s="6"/>
      <c r="BR30" s="6">
        <f t="shared" si="6"/>
        <v>0</v>
      </c>
      <c r="BT30" s="6">
        <f t="shared" si="4"/>
        <v>0</v>
      </c>
      <c r="BV30" s="6">
        <f t="shared" si="5"/>
        <v>0</v>
      </c>
      <c r="BW30" s="6"/>
    </row>
    <row r="31" spans="1:75" hidden="1">
      <c r="A31" s="59"/>
      <c r="B31" s="17" t="s">
        <v>13</v>
      </c>
      <c r="C31"/>
      <c r="D31"/>
      <c r="E31"/>
      <c r="F31"/>
      <c r="G31"/>
      <c r="H31"/>
      <c r="I31"/>
      <c r="J31" s="49" t="s">
        <v>0</v>
      </c>
      <c r="K31"/>
      <c r="L31" s="134" t="s">
        <v>202</v>
      </c>
      <c r="M31" s="6"/>
      <c r="N31" s="6">
        <v>0</v>
      </c>
      <c r="O31" s="6"/>
      <c r="P31" s="6">
        <v>0</v>
      </c>
      <c r="Q31" s="6"/>
      <c r="R31" s="6">
        <f t="shared" si="8"/>
        <v>0</v>
      </c>
      <c r="S31" s="6"/>
      <c r="T31" s="6">
        <v>0</v>
      </c>
      <c r="U31" s="6"/>
      <c r="V31" s="6">
        <v>0</v>
      </c>
      <c r="X31" s="6">
        <v>0</v>
      </c>
      <c r="Z31" s="6">
        <v>0</v>
      </c>
      <c r="AB31" s="6">
        <v>0</v>
      </c>
      <c r="AD31" s="6">
        <v>0</v>
      </c>
      <c r="AF31" s="6">
        <v>0</v>
      </c>
      <c r="AH31" s="6">
        <v>0</v>
      </c>
      <c r="AJ31" s="6">
        <v>0</v>
      </c>
      <c r="AN31" s="6">
        <v>0</v>
      </c>
      <c r="AP31" s="6">
        <v>0</v>
      </c>
      <c r="AR31" s="6">
        <v>0</v>
      </c>
      <c r="AT31" s="6">
        <v>0</v>
      </c>
      <c r="AV31" s="6">
        <v>0</v>
      </c>
      <c r="AX31" s="6">
        <v>0</v>
      </c>
      <c r="AZ31" s="6">
        <v>0</v>
      </c>
      <c r="BB31" s="6">
        <v>0</v>
      </c>
      <c r="BD31" s="6">
        <v>0</v>
      </c>
      <c r="BF31" s="6">
        <v>0</v>
      </c>
      <c r="BH31" s="6">
        <v>0</v>
      </c>
      <c r="BJ31" s="6">
        <v>0</v>
      </c>
      <c r="BL31" s="6">
        <v>0</v>
      </c>
      <c r="BM31" s="6"/>
      <c r="BN31" s="6">
        <f t="shared" si="7"/>
        <v>0</v>
      </c>
      <c r="BO31" s="6"/>
      <c r="BP31" s="6">
        <v>0</v>
      </c>
      <c r="BQ31" s="6"/>
      <c r="BR31" s="6">
        <f t="shared" si="6"/>
        <v>0</v>
      </c>
      <c r="BT31" s="6">
        <f t="shared" si="4"/>
        <v>0</v>
      </c>
      <c r="BV31" s="6">
        <f t="shared" si="5"/>
        <v>0</v>
      </c>
      <c r="BW31" s="6"/>
    </row>
    <row r="32" spans="1:75" s="11" customFormat="1" hidden="1">
      <c r="A32" s="100"/>
      <c r="B32" s="17" t="s">
        <v>14</v>
      </c>
      <c r="C32" s="30"/>
      <c r="D32" s="30"/>
      <c r="E32" s="30"/>
      <c r="F32" s="30"/>
      <c r="G32" s="30"/>
      <c r="H32" s="30"/>
      <c r="I32" s="30"/>
      <c r="J32" s="49" t="s">
        <v>0</v>
      </c>
      <c r="K32" s="30"/>
      <c r="L32" s="134" t="s">
        <v>202</v>
      </c>
      <c r="M32" s="12"/>
      <c r="N32" s="12">
        <v>0</v>
      </c>
      <c r="O32" s="12"/>
      <c r="P32" s="12">
        <v>0</v>
      </c>
      <c r="Q32" s="12"/>
      <c r="R32" s="6">
        <f t="shared" si="8"/>
        <v>0</v>
      </c>
      <c r="S32" s="12"/>
      <c r="T32" s="12">
        <v>0</v>
      </c>
      <c r="U32" s="12"/>
      <c r="V32" s="12">
        <v>0</v>
      </c>
      <c r="W32" s="12"/>
      <c r="X32" s="12">
        <v>0</v>
      </c>
      <c r="Y32" s="12"/>
      <c r="Z32" s="12">
        <v>0</v>
      </c>
      <c r="AA32" s="12"/>
      <c r="AB32" s="12">
        <v>0</v>
      </c>
      <c r="AC32" s="12"/>
      <c r="AD32" s="12">
        <v>0</v>
      </c>
      <c r="AE32" s="12"/>
      <c r="AF32" s="12">
        <v>0</v>
      </c>
      <c r="AG32" s="12"/>
      <c r="AH32" s="12">
        <v>0</v>
      </c>
      <c r="AI32" s="12"/>
      <c r="AJ32" s="12">
        <v>0</v>
      </c>
      <c r="AK32" s="12"/>
      <c r="AL32" s="12"/>
      <c r="AM32" s="12"/>
      <c r="AN32" s="12">
        <v>0</v>
      </c>
      <c r="AO32" s="12"/>
      <c r="AP32" s="12">
        <v>0</v>
      </c>
      <c r="AQ32" s="12"/>
      <c r="AR32" s="12">
        <v>0</v>
      </c>
      <c r="AS32" s="12"/>
      <c r="AT32" s="12">
        <v>0</v>
      </c>
      <c r="AU32" s="12"/>
      <c r="AV32" s="12">
        <v>0</v>
      </c>
      <c r="AW32" s="12"/>
      <c r="AX32" s="12">
        <v>0</v>
      </c>
      <c r="AY32" s="12"/>
      <c r="AZ32" s="12">
        <v>0</v>
      </c>
      <c r="BA32" s="12"/>
      <c r="BB32" s="12">
        <v>0</v>
      </c>
      <c r="BC32" s="12"/>
      <c r="BD32" s="12">
        <v>0</v>
      </c>
      <c r="BE32" s="12"/>
      <c r="BF32" s="12">
        <v>0</v>
      </c>
      <c r="BG32" s="12"/>
      <c r="BH32" s="12">
        <v>0</v>
      </c>
      <c r="BI32" s="12"/>
      <c r="BJ32" s="12">
        <v>0</v>
      </c>
      <c r="BK32" s="12"/>
      <c r="BL32" s="12">
        <v>0</v>
      </c>
      <c r="BM32" s="12"/>
      <c r="BN32" s="6">
        <f t="shared" si="7"/>
        <v>0</v>
      </c>
      <c r="BO32" s="12"/>
      <c r="BP32" s="12">
        <v>0</v>
      </c>
      <c r="BQ32" s="12"/>
      <c r="BR32" s="6">
        <f t="shared" si="6"/>
        <v>0</v>
      </c>
      <c r="BS32" s="12"/>
      <c r="BT32" s="6">
        <f t="shared" si="4"/>
        <v>0</v>
      </c>
      <c r="BU32" s="12"/>
      <c r="BV32" s="6">
        <f t="shared" si="5"/>
        <v>0</v>
      </c>
      <c r="BW32" s="12"/>
    </row>
    <row r="33" spans="1:75">
      <c r="A33" s="57"/>
      <c r="B33" s="17" t="s">
        <v>121</v>
      </c>
      <c r="C33"/>
      <c r="D33"/>
      <c r="E33"/>
      <c r="F33"/>
      <c r="G33"/>
      <c r="H33"/>
      <c r="I33"/>
      <c r="J33" s="49" t="s">
        <v>0</v>
      </c>
      <c r="K33"/>
      <c r="L33" s="134" t="s">
        <v>202</v>
      </c>
      <c r="M33" s="6"/>
      <c r="N33" s="12">
        <v>0</v>
      </c>
      <c r="O33" s="6"/>
      <c r="P33" s="12">
        <v>0</v>
      </c>
      <c r="Q33" s="6"/>
      <c r="R33" s="6">
        <v>0</v>
      </c>
      <c r="S33" s="6"/>
      <c r="T33" s="12">
        <v>0</v>
      </c>
      <c r="U33" s="12"/>
      <c r="V33" s="12">
        <v>0</v>
      </c>
      <c r="W33" s="12"/>
      <c r="X33" s="12">
        <v>0</v>
      </c>
      <c r="Y33" s="12"/>
      <c r="Z33" s="12">
        <v>0</v>
      </c>
      <c r="AA33" s="12"/>
      <c r="AB33" s="12">
        <v>0</v>
      </c>
      <c r="AC33" s="12"/>
      <c r="AD33" s="12">
        <v>0</v>
      </c>
      <c r="AE33" s="12"/>
      <c r="AF33" s="12">
        <v>0</v>
      </c>
      <c r="AG33" s="12"/>
      <c r="AH33" s="12">
        <v>0</v>
      </c>
      <c r="AI33" s="12"/>
      <c r="AJ33" s="12">
        <v>0</v>
      </c>
      <c r="AK33" s="12"/>
      <c r="AL33" s="12"/>
      <c r="AM33" s="12"/>
      <c r="AN33" s="12">
        <v>0</v>
      </c>
      <c r="AO33" s="12"/>
      <c r="AP33" s="12">
        <v>0</v>
      </c>
      <c r="AQ33" s="12"/>
      <c r="AR33" s="12">
        <v>0</v>
      </c>
      <c r="AS33" s="12"/>
      <c r="AT33" s="12">
        <v>8000</v>
      </c>
      <c r="AU33" s="12"/>
      <c r="AV33" s="12">
        <v>130800</v>
      </c>
      <c r="AW33" s="12"/>
      <c r="AX33" s="12">
        <v>0</v>
      </c>
      <c r="AY33" s="12"/>
      <c r="AZ33" s="12">
        <v>0</v>
      </c>
      <c r="BA33" s="12"/>
      <c r="BB33" s="12">
        <v>0</v>
      </c>
      <c r="BC33" s="12"/>
      <c r="BD33" s="12">
        <v>0</v>
      </c>
      <c r="BE33" s="12"/>
      <c r="BF33" s="12">
        <v>0</v>
      </c>
      <c r="BG33" s="12"/>
      <c r="BH33" s="12">
        <v>0</v>
      </c>
      <c r="BI33" s="12"/>
      <c r="BJ33" s="12">
        <v>0</v>
      </c>
      <c r="BK33" s="12"/>
      <c r="BL33" s="12">
        <v>0</v>
      </c>
      <c r="BM33" s="6"/>
      <c r="BN33" s="6">
        <f t="shared" si="7"/>
        <v>138800</v>
      </c>
      <c r="BO33" s="6"/>
      <c r="BP33" s="12">
        <v>0</v>
      </c>
      <c r="BQ33" s="6"/>
      <c r="BR33" s="6">
        <f t="shared" si="6"/>
        <v>0</v>
      </c>
      <c r="BT33" s="6">
        <f t="shared" si="4"/>
        <v>138800</v>
      </c>
      <c r="BV33" s="6">
        <f t="shared" si="5"/>
        <v>-138800</v>
      </c>
      <c r="BW33" s="12"/>
    </row>
    <row r="34" spans="1:75">
      <c r="A34" s="57"/>
      <c r="B34" s="17"/>
      <c r="C34"/>
      <c r="D34"/>
      <c r="E34"/>
      <c r="F34"/>
      <c r="G34"/>
      <c r="H34"/>
      <c r="I34"/>
      <c r="J34" s="49"/>
      <c r="K34"/>
      <c r="L34" s="134"/>
      <c r="M34" s="6"/>
      <c r="N34" s="12"/>
      <c r="O34" s="6"/>
      <c r="P34" s="12"/>
      <c r="Q34" s="6"/>
      <c r="R34" s="12"/>
      <c r="S34" s="6"/>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6"/>
      <c r="BN34" s="12"/>
      <c r="BO34" s="6"/>
      <c r="BP34" s="12"/>
      <c r="BQ34" s="6"/>
      <c r="BR34" s="6">
        <f t="shared" si="6"/>
        <v>0</v>
      </c>
      <c r="BT34" s="6">
        <f t="shared" si="4"/>
        <v>0</v>
      </c>
      <c r="BV34" s="6">
        <f t="shared" si="5"/>
        <v>0</v>
      </c>
      <c r="BW34" s="12"/>
    </row>
    <row r="35" spans="1:75">
      <c r="A35" s="57"/>
      <c r="B35" s="17" t="s">
        <v>226</v>
      </c>
      <c r="C35"/>
      <c r="D35"/>
      <c r="E35"/>
      <c r="F35"/>
      <c r="G35"/>
      <c r="H35"/>
      <c r="I35"/>
      <c r="J35" s="49"/>
      <c r="K35"/>
      <c r="L35" s="134"/>
      <c r="M35" s="6"/>
      <c r="N35" s="101">
        <f>SUM(N18:N34)</f>
        <v>0</v>
      </c>
      <c r="O35" s="6"/>
      <c r="P35" s="101">
        <f>SUM(P18:P34)</f>
        <v>0</v>
      </c>
      <c r="Q35" s="6"/>
      <c r="R35" s="101">
        <f>SUM(R18:R34)</f>
        <v>5885811</v>
      </c>
      <c r="S35" s="6"/>
      <c r="T35" s="101">
        <f>SUM(T18:T34)</f>
        <v>0</v>
      </c>
      <c r="U35" s="12"/>
      <c r="V35" s="101">
        <f>SUM(V18:V34)</f>
        <v>0</v>
      </c>
      <c r="W35" s="12"/>
      <c r="X35" s="101">
        <f>SUM(X18:X34)</f>
        <v>0</v>
      </c>
      <c r="Y35" s="12"/>
      <c r="Z35" s="101">
        <f>SUM(Z18:Z34)</f>
        <v>0</v>
      </c>
      <c r="AA35" s="12"/>
      <c r="AB35" s="101">
        <f>SUM(AB18:AB34)</f>
        <v>0</v>
      </c>
      <c r="AC35" s="12"/>
      <c r="AD35" s="101">
        <f>SUM(AD18:AD34)</f>
        <v>0</v>
      </c>
      <c r="AE35" s="12"/>
      <c r="AF35" s="101">
        <f>SUM(AF18:AF34)</f>
        <v>0</v>
      </c>
      <c r="AG35" s="12"/>
      <c r="AH35" s="101">
        <f>SUM(AH18:AH34)</f>
        <v>0</v>
      </c>
      <c r="AI35" s="12"/>
      <c r="AJ35" s="101">
        <f>SUM(AJ18:AJ34)</f>
        <v>0</v>
      </c>
      <c r="AK35" s="12"/>
      <c r="AL35" s="101">
        <f>SUM(AL18:AL34)</f>
        <v>1177162</v>
      </c>
      <c r="AM35" s="101"/>
      <c r="AN35" s="101">
        <f>SUM(AN18:AN34)</f>
        <v>0</v>
      </c>
      <c r="AO35" s="12"/>
      <c r="AP35" s="101">
        <f>SUM(AP18:AP34)</f>
        <v>0</v>
      </c>
      <c r="AQ35" s="12"/>
      <c r="AR35" s="101">
        <f>SUM(AR18:AR34)</f>
        <v>58500</v>
      </c>
      <c r="AS35" s="12"/>
      <c r="AT35" s="101">
        <f>SUM(AT18:AT34)</f>
        <v>1773743.3</v>
      </c>
      <c r="AU35" s="12"/>
      <c r="AV35" s="101">
        <f>SUM(AV18:AV34)</f>
        <v>1896543.3</v>
      </c>
      <c r="AW35" s="12"/>
      <c r="AX35" s="101">
        <f>SUM(AX18:AX34)</f>
        <v>0</v>
      </c>
      <c r="AY35" s="12"/>
      <c r="AZ35" s="101">
        <f>SUM(AZ18:AZ34)</f>
        <v>588581</v>
      </c>
      <c r="BA35" s="12"/>
      <c r="BB35" s="101">
        <f>SUM(BB18:BB34)</f>
        <v>382350</v>
      </c>
      <c r="BC35" s="12"/>
      <c r="BD35" s="101">
        <f>SUM(BD18:BD34)</f>
        <v>0</v>
      </c>
      <c r="BE35" s="12"/>
      <c r="BF35" s="101">
        <f>SUM(BF18:BF34)</f>
        <v>0</v>
      </c>
      <c r="BG35" s="12"/>
      <c r="BH35" s="101">
        <f>SUM(BH18:BH34)</f>
        <v>0</v>
      </c>
      <c r="BI35" s="12"/>
      <c r="BJ35" s="101">
        <f>SUM(BJ18:BJ34)</f>
        <v>0</v>
      </c>
      <c r="BK35" s="12"/>
      <c r="BL35" s="101">
        <f>SUM(BL18:BL34)</f>
        <v>0</v>
      </c>
      <c r="BM35" s="6"/>
      <c r="BN35" s="101">
        <f>SUM(BN18:BN34)</f>
        <v>5876879.5999999996</v>
      </c>
      <c r="BO35" s="6"/>
      <c r="BP35" s="101">
        <f>SUM(BP18:BP34)</f>
        <v>382350</v>
      </c>
      <c r="BQ35" s="6"/>
      <c r="BR35" s="101">
        <f>SUM(BR18:BR34)</f>
        <v>530081.40000000037</v>
      </c>
      <c r="BT35" s="101">
        <f>SUM(BT18:BT34)</f>
        <v>6406961</v>
      </c>
      <c r="BV35" s="101">
        <f>SUM(BV18:BV34)</f>
        <v>-521150</v>
      </c>
      <c r="BW35" s="12"/>
    </row>
    <row r="36" spans="1:75">
      <c r="A36" s="57"/>
      <c r="B36" s="17"/>
      <c r="C36"/>
      <c r="D36"/>
      <c r="E36"/>
      <c r="F36"/>
      <c r="G36"/>
      <c r="H36"/>
      <c r="I36"/>
      <c r="J36" s="49"/>
      <c r="K36"/>
      <c r="L36" s="134"/>
      <c r="M36" s="6"/>
      <c r="N36" s="12"/>
      <c r="O36" s="6"/>
      <c r="P36" s="12"/>
      <c r="Q36" s="6"/>
      <c r="R36" s="12"/>
      <c r="S36" s="6"/>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6"/>
      <c r="BN36" s="12"/>
      <c r="BO36" s="6"/>
      <c r="BP36" s="12"/>
      <c r="BQ36" s="6"/>
      <c r="BR36" s="12"/>
      <c r="BT36" s="12"/>
      <c r="BV36" s="12"/>
      <c r="BW36" s="12"/>
    </row>
    <row r="37" spans="1:75" s="114" customFormat="1">
      <c r="A37" s="112"/>
      <c r="B37" s="113" t="s">
        <v>15</v>
      </c>
      <c r="J37" s="157"/>
      <c r="L37" s="142"/>
      <c r="M37" s="115"/>
      <c r="N37" s="115">
        <f>+N35+N16</f>
        <v>93330000</v>
      </c>
      <c r="O37" s="115"/>
      <c r="P37" s="115">
        <f>+P35+P16</f>
        <v>0</v>
      </c>
      <c r="Q37" s="115"/>
      <c r="R37" s="115">
        <f>+R35+R16</f>
        <v>99465811</v>
      </c>
      <c r="S37" s="115"/>
      <c r="T37" s="115">
        <f>+T35+T16</f>
        <v>0</v>
      </c>
      <c r="U37" s="115"/>
      <c r="V37" s="115">
        <f>+V35+V16</f>
        <v>0</v>
      </c>
      <c r="W37" s="115"/>
      <c r="X37" s="115">
        <f>+X35+X16</f>
        <v>0</v>
      </c>
      <c r="Y37" s="115"/>
      <c r="Z37" s="115">
        <f>+Z35+Z16</f>
        <v>0</v>
      </c>
      <c r="AA37" s="115"/>
      <c r="AB37" s="115">
        <f>+AB35+AB16</f>
        <v>0</v>
      </c>
      <c r="AC37" s="115"/>
      <c r="AD37" s="115">
        <f>+AD35+AD16</f>
        <v>0</v>
      </c>
      <c r="AE37" s="115"/>
      <c r="AF37" s="115">
        <f>+AF35+AF16</f>
        <v>0</v>
      </c>
      <c r="AG37" s="115"/>
      <c r="AH37" s="115">
        <f>+AH35+AH16</f>
        <v>0</v>
      </c>
      <c r="AI37" s="115"/>
      <c r="AJ37" s="115">
        <f>+AJ35+AJ16</f>
        <v>0</v>
      </c>
      <c r="AK37" s="115"/>
      <c r="AL37" s="115">
        <f>+AL35+AL16</f>
        <v>87259541</v>
      </c>
      <c r="AM37" s="115"/>
      <c r="AN37" s="115">
        <f>+AN35+AN16</f>
        <v>0</v>
      </c>
      <c r="AO37" s="115"/>
      <c r="AP37" s="115">
        <f>+AP35+AP16</f>
        <v>1282310</v>
      </c>
      <c r="AQ37" s="115"/>
      <c r="AR37" s="115">
        <f>+AR35+AR16</f>
        <v>202655</v>
      </c>
      <c r="AS37" s="115"/>
      <c r="AT37" s="115">
        <f>+AT35+AT16</f>
        <v>1773743.3</v>
      </c>
      <c r="AU37" s="115"/>
      <c r="AV37" s="115">
        <f>+AV35+AV16</f>
        <v>1896543.3</v>
      </c>
      <c r="AW37" s="115"/>
      <c r="AX37" s="115">
        <f>+AX35+AX16</f>
        <v>0</v>
      </c>
      <c r="AY37" s="115"/>
      <c r="AZ37" s="115">
        <f>+AZ35+AZ16</f>
        <v>1829106</v>
      </c>
      <c r="BA37" s="115"/>
      <c r="BB37" s="115">
        <f>+BB35+BB16</f>
        <v>382350</v>
      </c>
      <c r="BC37" s="115"/>
      <c r="BD37" s="115">
        <f>+BD35+BD16</f>
        <v>0</v>
      </c>
      <c r="BE37" s="115"/>
      <c r="BF37" s="115">
        <f>+BF35+BF16</f>
        <v>0</v>
      </c>
      <c r="BG37" s="115"/>
      <c r="BH37" s="115">
        <f>+BH35+BH16</f>
        <v>0</v>
      </c>
      <c r="BI37" s="115"/>
      <c r="BJ37" s="115">
        <f>+BJ35+BJ16</f>
        <v>0</v>
      </c>
      <c r="BK37" s="115"/>
      <c r="BL37" s="115">
        <f>+BL35+BL16</f>
        <v>0</v>
      </c>
      <c r="BM37" s="115"/>
      <c r="BN37" s="115">
        <f>+BN35+BN16</f>
        <v>94626248.599999994</v>
      </c>
      <c r="BO37" s="115"/>
      <c r="BP37" s="115">
        <f>+BP35+BP16</f>
        <v>2363394</v>
      </c>
      <c r="BQ37" s="115"/>
      <c r="BR37" s="115">
        <f>+BR35+BR16</f>
        <v>7341756.4000000004</v>
      </c>
      <c r="BS37" s="115"/>
      <c r="BT37" s="115">
        <f>+BT35+BT16</f>
        <v>101968005</v>
      </c>
      <c r="BU37" s="115"/>
      <c r="BV37" s="115">
        <f>+BV35+BV16</f>
        <v>-2502194</v>
      </c>
      <c r="BW37" s="115"/>
    </row>
    <row r="38" spans="1:75">
      <c r="A38" s="57"/>
      <c r="B38" s="79"/>
      <c r="C38"/>
      <c r="D38"/>
      <c r="E38"/>
      <c r="F38"/>
      <c r="G38"/>
      <c r="H38"/>
      <c r="I38"/>
      <c r="J38" s="49"/>
      <c r="K38"/>
      <c r="L38" s="134"/>
      <c r="M38" s="6"/>
      <c r="O38" s="6"/>
      <c r="Q38" s="6"/>
      <c r="S38" s="6"/>
      <c r="T38" s="6"/>
      <c r="U38" s="6"/>
      <c r="V38" s="6"/>
      <c r="X38" s="6"/>
      <c r="Z38" s="6"/>
      <c r="AB38" s="6"/>
      <c r="AD38" s="6"/>
      <c r="BL38" s="6"/>
      <c r="BM38" s="6"/>
      <c r="BO38" s="6"/>
      <c r="BP38" s="6"/>
      <c r="BQ38" s="6"/>
      <c r="BW38" s="6"/>
    </row>
    <row r="39" spans="1:75">
      <c r="A39" s="57"/>
      <c r="B39" s="17"/>
      <c r="C39"/>
      <c r="D39"/>
      <c r="E39"/>
      <c r="F39"/>
      <c r="G39"/>
      <c r="H39"/>
      <c r="I39"/>
      <c r="J39" s="49"/>
      <c r="K39"/>
      <c r="L39" s="134"/>
      <c r="M39" s="6"/>
      <c r="O39" s="6"/>
      <c r="Q39" s="6"/>
      <c r="S39" s="6"/>
      <c r="T39" s="6"/>
      <c r="U39" s="6"/>
      <c r="V39" s="6"/>
      <c r="X39" s="6"/>
      <c r="Z39" s="6"/>
      <c r="AB39" s="6"/>
      <c r="AD39" s="6"/>
      <c r="BL39" s="6"/>
      <c r="BM39" s="6"/>
      <c r="BO39" s="6"/>
      <c r="BP39" s="6"/>
      <c r="BQ39" s="6"/>
      <c r="BW39" s="6"/>
    </row>
    <row r="40" spans="1:75">
      <c r="A40" s="56" t="s">
        <v>234</v>
      </c>
      <c r="B40" s="17"/>
      <c r="C40"/>
      <c r="D40"/>
      <c r="E40"/>
      <c r="F40"/>
      <c r="G40"/>
      <c r="H40"/>
      <c r="I40"/>
      <c r="J40" s="49"/>
      <c r="K40"/>
      <c r="L40" s="134"/>
      <c r="M40" s="6"/>
      <c r="O40" s="6"/>
      <c r="Q40" s="6"/>
      <c r="S40" s="6"/>
      <c r="T40" s="6"/>
      <c r="U40" s="6"/>
      <c r="V40" s="6"/>
      <c r="X40" s="6"/>
      <c r="Z40" s="6"/>
      <c r="AB40" s="6"/>
      <c r="AD40" s="6"/>
      <c r="AI40"/>
      <c r="AK40"/>
      <c r="AM40"/>
      <c r="BL40" s="6"/>
      <c r="BM40" s="6"/>
      <c r="BO40" s="6"/>
      <c r="BP40" s="6"/>
      <c r="BQ40" s="6"/>
      <c r="BV40" s="4"/>
    </row>
    <row r="41" spans="1:75">
      <c r="A41" s="57"/>
      <c r="B41" s="17"/>
      <c r="C41"/>
      <c r="D41"/>
      <c r="E41"/>
      <c r="F41"/>
      <c r="G41"/>
      <c r="H41"/>
      <c r="I41"/>
      <c r="J41" s="49"/>
      <c r="K41"/>
      <c r="L41" s="134"/>
      <c r="M41" s="6"/>
      <c r="O41" s="6"/>
      <c r="Q41" s="6"/>
      <c r="S41" s="6"/>
      <c r="T41" s="6">
        <v>0</v>
      </c>
      <c r="U41" s="6"/>
      <c r="V41" s="6">
        <v>0</v>
      </c>
      <c r="X41" s="6">
        <v>0</v>
      </c>
      <c r="Z41" s="6">
        <v>0</v>
      </c>
      <c r="AB41" s="6">
        <v>0</v>
      </c>
      <c r="AD41" s="6">
        <v>0</v>
      </c>
      <c r="AF41" s="6">
        <v>0</v>
      </c>
      <c r="AH41" s="6">
        <v>0</v>
      </c>
      <c r="AI41"/>
      <c r="AJ41" s="6">
        <v>0</v>
      </c>
      <c r="AK41"/>
      <c r="AL41" s="6">
        <v>0</v>
      </c>
      <c r="AM41"/>
      <c r="AN41" s="6">
        <v>0</v>
      </c>
      <c r="AP41" s="6">
        <v>0</v>
      </c>
      <c r="AR41" s="6">
        <v>0</v>
      </c>
      <c r="AT41" s="6">
        <v>0</v>
      </c>
      <c r="AV41" s="6">
        <v>0</v>
      </c>
      <c r="AX41" s="6">
        <v>0</v>
      </c>
      <c r="AZ41" s="6">
        <v>0</v>
      </c>
      <c r="BB41" s="6">
        <v>0</v>
      </c>
      <c r="BD41" s="6">
        <v>0</v>
      </c>
      <c r="BF41" s="6">
        <v>0</v>
      </c>
      <c r="BH41" s="6">
        <v>0</v>
      </c>
      <c r="BJ41" s="6">
        <v>0</v>
      </c>
      <c r="BL41" s="6"/>
      <c r="BM41" s="6"/>
      <c r="BO41" s="6"/>
      <c r="BP41" s="6"/>
      <c r="BQ41" s="6"/>
      <c r="BV41" s="4"/>
    </row>
    <row r="42" spans="1:75">
      <c r="A42" s="57"/>
      <c r="B42" s="232" t="s">
        <v>299</v>
      </c>
      <c r="C42"/>
      <c r="D42"/>
      <c r="E42"/>
      <c r="F42"/>
      <c r="G42"/>
      <c r="H42"/>
      <c r="I42"/>
      <c r="J42" s="49"/>
      <c r="K42"/>
      <c r="L42" s="134"/>
      <c r="M42" s="6"/>
      <c r="O42" s="6"/>
      <c r="Q42" s="6"/>
      <c r="S42" s="6"/>
      <c r="T42" s="6"/>
      <c r="U42" s="6"/>
      <c r="V42" s="6"/>
      <c r="X42" s="6"/>
      <c r="Z42" s="6"/>
      <c r="AB42" s="6"/>
      <c r="AD42" s="6"/>
      <c r="AI42"/>
      <c r="AK42"/>
      <c r="AM42"/>
      <c r="BL42" s="6"/>
      <c r="BM42" s="6"/>
      <c r="BO42" s="6"/>
      <c r="BP42" s="6"/>
      <c r="BQ42" s="6"/>
      <c r="BV42" s="4"/>
    </row>
    <row r="43" spans="1:75">
      <c r="A43" s="57"/>
      <c r="B43" s="233" t="s">
        <v>297</v>
      </c>
      <c r="C43"/>
      <c r="D43"/>
      <c r="E43"/>
      <c r="F43"/>
      <c r="G43"/>
      <c r="H43"/>
      <c r="I43"/>
      <c r="J43" s="49" t="s">
        <v>229</v>
      </c>
      <c r="K43"/>
      <c r="L43" s="134" t="s">
        <v>202</v>
      </c>
      <c r="M43" s="6"/>
      <c r="O43" s="6"/>
      <c r="Q43" s="6"/>
      <c r="R43" s="235">
        <v>1493645</v>
      </c>
      <c r="S43" s="6"/>
      <c r="T43" s="6"/>
      <c r="U43" s="6"/>
      <c r="V43" s="6"/>
      <c r="X43" s="6"/>
      <c r="Z43" s="6"/>
      <c r="AB43" s="6"/>
      <c r="AD43" s="6"/>
      <c r="AI43"/>
      <c r="AK43"/>
      <c r="AM43"/>
      <c r="AR43" s="6">
        <v>11452</v>
      </c>
      <c r="AV43" s="6">
        <f>104705-11452</f>
        <v>93253</v>
      </c>
      <c r="AZ43" s="6">
        <f>490688-104705</f>
        <v>385983</v>
      </c>
      <c r="BL43"/>
      <c r="BM43" s="6"/>
      <c r="BN43" s="6">
        <f t="shared" ref="BN43:BN53" si="9">SUM(T43:BM43)</f>
        <v>490688</v>
      </c>
      <c r="BO43" s="6"/>
      <c r="BP43" s="6">
        <f>1508635-1493645</f>
        <v>14990</v>
      </c>
      <c r="BQ43" s="6"/>
      <c r="BR43" s="6">
        <f>IF(+R43-AR43+BP43&gt;0,R43-AR43+BP43,0)</f>
        <v>1497183</v>
      </c>
      <c r="BT43" s="6">
        <f>+AR43+BR43</f>
        <v>1508635</v>
      </c>
      <c r="BV43" s="6">
        <f t="shared" ref="BV43:BV54" si="10">+R43-BT43</f>
        <v>-14990</v>
      </c>
    </row>
    <row r="44" spans="1:75">
      <c r="A44" s="57"/>
      <c r="B44" s="233" t="s">
        <v>534</v>
      </c>
      <c r="C44"/>
      <c r="D44"/>
      <c r="E44"/>
      <c r="F44"/>
      <c r="G44"/>
      <c r="H44"/>
      <c r="I44"/>
      <c r="J44" s="49" t="s">
        <v>229</v>
      </c>
      <c r="K44"/>
      <c r="L44" s="134" t="s">
        <v>202</v>
      </c>
      <c r="M44" s="6"/>
      <c r="O44" s="6"/>
      <c r="Q44" s="6"/>
      <c r="R44" s="235">
        <v>1564045</v>
      </c>
      <c r="S44" s="6"/>
      <c r="T44" s="6"/>
      <c r="U44" s="6"/>
      <c r="V44" s="6"/>
      <c r="X44" s="6"/>
      <c r="Z44" s="6"/>
      <c r="AB44" s="6"/>
      <c r="AD44" s="6"/>
      <c r="AI44"/>
      <c r="AK44"/>
      <c r="AM44"/>
      <c r="AR44" s="6">
        <f>43084+12404</f>
        <v>55488</v>
      </c>
      <c r="AV44" s="6">
        <f>101222-43084+6007</f>
        <v>64145</v>
      </c>
      <c r="AZ44" s="6">
        <f>454688-119633</f>
        <v>335055</v>
      </c>
      <c r="BL44"/>
      <c r="BM44" s="6"/>
      <c r="BN44" s="6">
        <f t="shared" si="9"/>
        <v>454688</v>
      </c>
      <c r="BO44" s="6"/>
      <c r="BP44" s="6">
        <f>2075718-1564045</f>
        <v>511673</v>
      </c>
      <c r="BQ44" s="6"/>
      <c r="BR44" s="6">
        <f>IF(+R44-AR44+BP44&gt;0,R44-AR44+BP44,0)</f>
        <v>2020230</v>
      </c>
      <c r="BT44" s="6">
        <f>+AR44+BR44</f>
        <v>2075718</v>
      </c>
      <c r="BV44" s="6">
        <f t="shared" si="10"/>
        <v>-511673</v>
      </c>
    </row>
    <row r="45" spans="1:75">
      <c r="A45" s="57"/>
      <c r="B45" s="233" t="s">
        <v>535</v>
      </c>
      <c r="C45"/>
      <c r="D45"/>
      <c r="E45"/>
      <c r="F45"/>
      <c r="G45"/>
      <c r="H45"/>
      <c r="I45"/>
      <c r="J45" s="49" t="s">
        <v>229</v>
      </c>
      <c r="K45"/>
      <c r="L45" s="134" t="s">
        <v>202</v>
      </c>
      <c r="M45" s="6"/>
      <c r="O45" s="6"/>
      <c r="Q45" s="6"/>
      <c r="R45" s="235">
        <v>11021245</v>
      </c>
      <c r="S45" s="6"/>
      <c r="T45" s="6"/>
      <c r="U45" s="6"/>
      <c r="V45" s="6"/>
      <c r="X45" s="6"/>
      <c r="Z45" s="6"/>
      <c r="AB45" s="6"/>
      <c r="AD45" s="6"/>
      <c r="AI45"/>
      <c r="AK45"/>
      <c r="AM45"/>
      <c r="AR45" s="6">
        <f>12159+19967+81333+95392+14212+60494</f>
        <v>283557</v>
      </c>
      <c r="AV45" s="6">
        <f>255585-12159+144018+47209+57725+37856+633442+59744</f>
        <v>1223420</v>
      </c>
      <c r="AZ45" s="459">
        <f>2452211-1506977</f>
        <v>945234</v>
      </c>
      <c r="BL45"/>
      <c r="BM45" s="6"/>
      <c r="BN45" s="6">
        <f t="shared" si="9"/>
        <v>2452211</v>
      </c>
      <c r="BO45" s="6"/>
      <c r="BP45" s="6">
        <f>11814208-11021245</f>
        <v>792963</v>
      </c>
      <c r="BQ45" s="6"/>
      <c r="BR45" s="6">
        <f>IF(+R45-AR45+BP45&gt;0,R45-AR45+BP45,0)</f>
        <v>11530651</v>
      </c>
      <c r="BT45" s="6">
        <f>+AR45+BR45</f>
        <v>11814208</v>
      </c>
      <c r="BV45" s="6">
        <f t="shared" si="10"/>
        <v>-792963</v>
      </c>
    </row>
    <row r="46" spans="1:75">
      <c r="A46" s="57"/>
      <c r="B46" s="233" t="s">
        <v>22</v>
      </c>
      <c r="C46"/>
      <c r="D46"/>
      <c r="E46"/>
      <c r="F46"/>
      <c r="G46"/>
      <c r="H46"/>
      <c r="I46"/>
      <c r="J46" s="49" t="s">
        <v>229</v>
      </c>
      <c r="K46"/>
      <c r="L46" s="134" t="s">
        <v>202</v>
      </c>
      <c r="M46" s="6"/>
      <c r="N46" s="6">
        <v>0</v>
      </c>
      <c r="O46" s="6"/>
      <c r="P46" s="6">
        <v>0</v>
      </c>
      <c r="Q46" s="6"/>
      <c r="R46" s="235">
        <v>538785</v>
      </c>
      <c r="S46" s="6"/>
      <c r="T46" s="6">
        <v>0</v>
      </c>
      <c r="U46" s="6"/>
      <c r="V46" s="6">
        <v>0</v>
      </c>
      <c r="X46" s="6">
        <v>0</v>
      </c>
      <c r="Z46" s="6">
        <v>0</v>
      </c>
      <c r="AB46" s="6">
        <v>0</v>
      </c>
      <c r="AD46" s="6">
        <v>0</v>
      </c>
      <c r="AF46" s="6">
        <v>0</v>
      </c>
      <c r="AH46" s="6">
        <v>0</v>
      </c>
      <c r="AI46"/>
      <c r="AJ46" s="6">
        <v>0</v>
      </c>
      <c r="AK46"/>
      <c r="AL46" s="6">
        <v>0</v>
      </c>
      <c r="AM46"/>
      <c r="AN46" s="6">
        <v>0</v>
      </c>
      <c r="AP46" s="6">
        <v>0</v>
      </c>
      <c r="AR46" s="6">
        <v>58714</v>
      </c>
      <c r="AT46" s="6">
        <v>0</v>
      </c>
      <c r="AV46" s="6">
        <f>97285-58714</f>
        <v>38571</v>
      </c>
      <c r="AX46" s="6">
        <v>0</v>
      </c>
      <c r="AZ46" s="6">
        <f>272628-97285</f>
        <v>175343</v>
      </c>
      <c r="BB46" s="6">
        <v>0</v>
      </c>
      <c r="BD46" s="6">
        <v>0</v>
      </c>
      <c r="BF46" s="6">
        <v>0</v>
      </c>
      <c r="BH46" s="6">
        <v>0</v>
      </c>
      <c r="BJ46" s="6">
        <v>0</v>
      </c>
      <c r="BL46"/>
      <c r="BM46" s="6"/>
      <c r="BN46" s="6">
        <f t="shared" si="9"/>
        <v>272628</v>
      </c>
      <c r="BO46" s="6"/>
      <c r="BP46" s="6">
        <f>592469-538785</f>
        <v>53684</v>
      </c>
      <c r="BQ46" s="6"/>
      <c r="BR46" s="6">
        <f>IF(+R46-AR46+BP46&gt;0,R46-AR46+BP46,0)</f>
        <v>533755</v>
      </c>
      <c r="BT46" s="6">
        <f>+AR46+BR46</f>
        <v>592469</v>
      </c>
      <c r="BV46" s="6">
        <f t="shared" si="10"/>
        <v>-53684</v>
      </c>
    </row>
    <row r="47" spans="1:75">
      <c r="A47" s="57"/>
      <c r="B47" s="233" t="s">
        <v>485</v>
      </c>
      <c r="C47"/>
      <c r="D47"/>
      <c r="E47"/>
      <c r="F47"/>
      <c r="G47"/>
      <c r="H47"/>
      <c r="I47"/>
      <c r="J47" s="49" t="s">
        <v>229</v>
      </c>
      <c r="K47"/>
      <c r="L47" s="134" t="s">
        <v>202</v>
      </c>
      <c r="M47" s="6"/>
      <c r="N47" s="6">
        <v>0</v>
      </c>
      <c r="O47" s="6"/>
      <c r="P47" s="6">
        <v>0</v>
      </c>
      <c r="Q47" s="6"/>
      <c r="R47" s="235">
        <v>150000</v>
      </c>
      <c r="S47" s="6"/>
      <c r="T47" s="6">
        <v>0</v>
      </c>
      <c r="U47" s="6"/>
      <c r="V47" s="6">
        <v>0</v>
      </c>
      <c r="X47" s="6">
        <v>0</v>
      </c>
      <c r="Z47" s="6">
        <v>0</v>
      </c>
      <c r="AB47" s="6">
        <v>0</v>
      </c>
      <c r="AD47" s="6">
        <v>0</v>
      </c>
      <c r="AF47" s="6">
        <v>0</v>
      </c>
      <c r="AH47" s="6">
        <v>0</v>
      </c>
      <c r="AI47"/>
      <c r="AJ47" s="6">
        <v>0</v>
      </c>
      <c r="AK47"/>
      <c r="AL47" s="6">
        <v>0</v>
      </c>
      <c r="AM47"/>
      <c r="AN47" s="6">
        <v>0</v>
      </c>
      <c r="AP47" s="6">
        <v>0</v>
      </c>
      <c r="AR47" s="6">
        <v>11607</v>
      </c>
      <c r="AT47" s="6">
        <v>0</v>
      </c>
      <c r="AV47" s="6">
        <f>77250-11607</f>
        <v>65643</v>
      </c>
      <c r="AX47" s="6">
        <v>0</v>
      </c>
      <c r="AZ47" s="6">
        <f>57394-77250</f>
        <v>-19856</v>
      </c>
      <c r="BB47" s="6">
        <v>0</v>
      </c>
      <c r="BD47" s="6">
        <v>0</v>
      </c>
      <c r="BF47" s="6">
        <v>0</v>
      </c>
      <c r="BH47" s="6">
        <v>0</v>
      </c>
      <c r="BJ47" s="6">
        <v>0</v>
      </c>
      <c r="BL47"/>
      <c r="BM47" s="6"/>
      <c r="BN47" s="6">
        <f t="shared" si="9"/>
        <v>57394</v>
      </c>
      <c r="BO47" s="6"/>
      <c r="BP47" s="6">
        <v>0</v>
      </c>
      <c r="BQ47" s="6"/>
      <c r="BR47" s="6">
        <f>IF(+R47-AR47+BP47&gt;0,R47-AR47+BP47,0)</f>
        <v>138393</v>
      </c>
      <c r="BT47" s="6">
        <f>+AR47+BR47</f>
        <v>150000</v>
      </c>
      <c r="BV47" s="6">
        <f t="shared" si="10"/>
        <v>0</v>
      </c>
    </row>
    <row r="48" spans="1:75">
      <c r="A48" s="57"/>
      <c r="B48" s="233" t="s">
        <v>190</v>
      </c>
      <c r="C48"/>
      <c r="D48"/>
      <c r="E48"/>
      <c r="F48"/>
      <c r="G48"/>
      <c r="H48"/>
      <c r="I48"/>
      <c r="J48" s="49" t="s">
        <v>229</v>
      </c>
      <c r="K48"/>
      <c r="L48" s="134" t="s">
        <v>202</v>
      </c>
      <c r="M48" s="6"/>
      <c r="N48" s="6">
        <v>0</v>
      </c>
      <c r="O48" s="6"/>
      <c r="P48" s="6">
        <v>0</v>
      </c>
      <c r="Q48" s="6"/>
      <c r="R48" s="235">
        <v>0</v>
      </c>
      <c r="S48" s="6"/>
      <c r="T48" s="6">
        <v>0</v>
      </c>
      <c r="U48" s="6"/>
      <c r="V48" s="6">
        <v>0</v>
      </c>
      <c r="X48" s="6">
        <v>0</v>
      </c>
      <c r="Z48" s="6">
        <v>0</v>
      </c>
      <c r="AB48" s="6">
        <v>0</v>
      </c>
      <c r="AD48" s="6">
        <v>0</v>
      </c>
      <c r="AF48" s="6">
        <v>0</v>
      </c>
      <c r="AH48" s="6">
        <v>0</v>
      </c>
      <c r="AI48"/>
      <c r="AJ48" s="6">
        <v>0</v>
      </c>
      <c r="AK48"/>
      <c r="AL48" s="6">
        <v>0</v>
      </c>
      <c r="AM48"/>
      <c r="AN48" s="6">
        <v>0</v>
      </c>
      <c r="AP48" s="6">
        <v>0</v>
      </c>
      <c r="AR48" s="6">
        <v>0</v>
      </c>
      <c r="AT48" s="6">
        <v>0</v>
      </c>
      <c r="AV48" s="6">
        <v>0</v>
      </c>
      <c r="AX48" s="6">
        <v>0</v>
      </c>
      <c r="AZ48" s="6">
        <v>0</v>
      </c>
      <c r="BB48" s="6">
        <v>0</v>
      </c>
      <c r="BD48" s="6">
        <v>0</v>
      </c>
      <c r="BF48" s="6">
        <v>0</v>
      </c>
      <c r="BH48" s="6">
        <v>0</v>
      </c>
      <c r="BJ48" s="6">
        <v>0</v>
      </c>
      <c r="BL48" s="6"/>
      <c r="BM48" s="6"/>
      <c r="BN48" s="6">
        <f t="shared" si="9"/>
        <v>0</v>
      </c>
      <c r="BO48" s="6"/>
      <c r="BP48" s="6">
        <v>421112</v>
      </c>
      <c r="BQ48" s="6"/>
      <c r="BR48" s="6">
        <f t="shared" ref="BR48:BR53" si="11">IF(+R48-BN48+BP48&gt;0,R48-BN48+BP48,0)</f>
        <v>421112</v>
      </c>
      <c r="BT48" s="6">
        <f t="shared" ref="BT48:BT53" si="12">+BN48+BR48</f>
        <v>421112</v>
      </c>
      <c r="BV48" s="6">
        <f t="shared" si="10"/>
        <v>-421112</v>
      </c>
    </row>
    <row r="49" spans="1:74">
      <c r="A49" s="57"/>
      <c r="B49" s="233" t="s">
        <v>298</v>
      </c>
      <c r="C49"/>
      <c r="D49"/>
      <c r="E49"/>
      <c r="F49"/>
      <c r="G49"/>
      <c r="H49"/>
      <c r="I49"/>
      <c r="J49" s="49"/>
      <c r="K49"/>
      <c r="L49" s="134" t="s">
        <v>202</v>
      </c>
      <c r="M49" s="6"/>
      <c r="N49" s="6">
        <v>0</v>
      </c>
      <c r="O49" s="6"/>
      <c r="P49" s="6">
        <v>0</v>
      </c>
      <c r="Q49" s="6"/>
      <c r="R49" s="235">
        <v>-2832</v>
      </c>
      <c r="S49" s="6"/>
      <c r="T49" s="6">
        <v>0</v>
      </c>
      <c r="U49" s="6"/>
      <c r="V49" s="6">
        <v>0</v>
      </c>
      <c r="X49" s="6">
        <v>0</v>
      </c>
      <c r="Z49" s="6">
        <v>0</v>
      </c>
      <c r="AB49" s="6">
        <v>0</v>
      </c>
      <c r="AD49" s="6">
        <v>0</v>
      </c>
      <c r="AF49" s="6">
        <v>0</v>
      </c>
      <c r="AH49" s="6">
        <v>0</v>
      </c>
      <c r="AI49"/>
      <c r="AJ49" s="6">
        <v>0</v>
      </c>
      <c r="AK49"/>
      <c r="AL49" s="6">
        <v>0</v>
      </c>
      <c r="AM49"/>
      <c r="AN49" s="6">
        <v>0</v>
      </c>
      <c r="AP49" s="6">
        <v>0</v>
      </c>
      <c r="AR49" s="6">
        <v>0</v>
      </c>
      <c r="AT49" s="6">
        <v>0</v>
      </c>
      <c r="AV49" s="6">
        <v>0</v>
      </c>
      <c r="AX49" s="6">
        <v>0</v>
      </c>
      <c r="AZ49" s="6">
        <v>0</v>
      </c>
      <c r="BB49" s="6">
        <v>0</v>
      </c>
      <c r="BD49" s="6">
        <v>0</v>
      </c>
      <c r="BF49" s="6">
        <v>0</v>
      </c>
      <c r="BH49" s="6">
        <v>0</v>
      </c>
      <c r="BJ49" s="6">
        <v>0</v>
      </c>
      <c r="BL49" s="6"/>
      <c r="BM49" s="6"/>
      <c r="BN49" s="6">
        <f t="shared" si="9"/>
        <v>0</v>
      </c>
      <c r="BO49" s="6"/>
      <c r="BP49" s="6"/>
      <c r="BQ49" s="6"/>
      <c r="BR49" s="6">
        <f t="shared" si="11"/>
        <v>0</v>
      </c>
      <c r="BT49" s="6">
        <f t="shared" si="12"/>
        <v>0</v>
      </c>
      <c r="BV49" s="6">
        <f t="shared" si="10"/>
        <v>-2832</v>
      </c>
    </row>
    <row r="50" spans="1:74">
      <c r="A50" s="57"/>
      <c r="B50" s="233" t="s">
        <v>499</v>
      </c>
      <c r="C50"/>
      <c r="D50"/>
      <c r="E50"/>
      <c r="F50"/>
      <c r="G50"/>
      <c r="H50"/>
      <c r="I50"/>
      <c r="J50" s="49"/>
      <c r="K50"/>
      <c r="L50" s="134"/>
      <c r="M50" s="6"/>
      <c r="O50" s="6"/>
      <c r="Q50" s="6"/>
      <c r="R50" s="235"/>
      <c r="S50" s="6"/>
      <c r="T50" s="6"/>
      <c r="U50" s="6"/>
      <c r="V50" s="6"/>
      <c r="X50" s="6"/>
      <c r="Z50" s="6"/>
      <c r="AB50" s="6"/>
      <c r="AD50" s="6"/>
      <c r="AI50"/>
      <c r="AK50"/>
      <c r="AM50"/>
      <c r="AZ50" s="6">
        <v>34274</v>
      </c>
      <c r="BL50" s="6"/>
      <c r="BM50" s="6"/>
      <c r="BN50" s="6">
        <f t="shared" si="9"/>
        <v>34274</v>
      </c>
      <c r="BO50" s="6"/>
      <c r="BP50" s="6">
        <v>0</v>
      </c>
      <c r="BQ50" s="6"/>
      <c r="BR50" s="6">
        <f>IF(+R50-BN50+BP50&gt;0,R50-BN50+BP50,0)</f>
        <v>0</v>
      </c>
      <c r="BT50" s="6">
        <f>+BN50+BR50</f>
        <v>34274</v>
      </c>
      <c r="BV50" s="6">
        <f t="shared" si="10"/>
        <v>-34274</v>
      </c>
    </row>
    <row r="51" spans="1:74">
      <c r="A51" s="57"/>
      <c r="B51" s="233" t="s">
        <v>487</v>
      </c>
      <c r="C51"/>
      <c r="D51"/>
      <c r="E51"/>
      <c r="F51"/>
      <c r="G51"/>
      <c r="H51"/>
      <c r="I51"/>
      <c r="J51" s="49"/>
      <c r="K51"/>
      <c r="L51" s="134"/>
      <c r="M51" s="6"/>
      <c r="O51" s="6"/>
      <c r="Q51" s="6"/>
      <c r="S51" s="6"/>
      <c r="T51" s="6"/>
      <c r="U51" s="6"/>
      <c r="V51" s="6"/>
      <c r="X51" s="6"/>
      <c r="Z51" s="6"/>
      <c r="AB51" s="6"/>
      <c r="AD51" s="6"/>
      <c r="AI51"/>
      <c r="AK51"/>
      <c r="AM51"/>
      <c r="AV51" s="6">
        <v>19839</v>
      </c>
      <c r="AZ51" s="6">
        <f>61465-19839</f>
        <v>41626</v>
      </c>
      <c r="BL51" s="6"/>
      <c r="BM51" s="6"/>
      <c r="BN51" s="6">
        <f>SUM(T51:BM51)</f>
        <v>61465</v>
      </c>
      <c r="BO51" s="6"/>
      <c r="BP51" s="6">
        <v>0</v>
      </c>
      <c r="BQ51" s="6"/>
      <c r="BR51" s="6">
        <f t="shared" si="11"/>
        <v>0</v>
      </c>
      <c r="BT51" s="6">
        <f t="shared" si="12"/>
        <v>61465</v>
      </c>
      <c r="BV51" s="6">
        <f>+R51-BT51</f>
        <v>-61465</v>
      </c>
    </row>
    <row r="52" spans="1:74">
      <c r="A52" s="57"/>
      <c r="B52" s="233" t="s">
        <v>508</v>
      </c>
      <c r="C52"/>
      <c r="D52"/>
      <c r="E52"/>
      <c r="F52"/>
      <c r="G52"/>
      <c r="H52"/>
      <c r="I52"/>
      <c r="J52" s="49"/>
      <c r="K52"/>
      <c r="L52" s="134"/>
      <c r="M52" s="6"/>
      <c r="O52" s="6"/>
      <c r="Q52" s="6"/>
      <c r="S52" s="6"/>
      <c r="T52" s="6"/>
      <c r="U52" s="6"/>
      <c r="V52" s="6"/>
      <c r="X52" s="6"/>
      <c r="Z52" s="6"/>
      <c r="AB52" s="6"/>
      <c r="AD52" s="6"/>
      <c r="AI52"/>
      <c r="AK52"/>
      <c r="AM52"/>
      <c r="AV52" s="6">
        <v>264288</v>
      </c>
      <c r="AZ52" s="6">
        <f>281729-264288</f>
        <v>17441</v>
      </c>
      <c r="BL52" s="6"/>
      <c r="BM52" s="6"/>
      <c r="BN52" s="6">
        <f>SUM(T52:BM52)</f>
        <v>281729</v>
      </c>
      <c r="BO52" s="6"/>
      <c r="BP52" s="6">
        <v>263743</v>
      </c>
      <c r="BQ52" s="6"/>
      <c r="BR52" s="6">
        <f t="shared" si="11"/>
        <v>0</v>
      </c>
      <c r="BT52" s="6">
        <f t="shared" si="12"/>
        <v>281729</v>
      </c>
      <c r="BV52" s="6">
        <f>+R52-BT52</f>
        <v>-281729</v>
      </c>
    </row>
    <row r="53" spans="1:74">
      <c r="A53" s="57"/>
      <c r="B53" s="233"/>
      <c r="C53"/>
      <c r="D53"/>
      <c r="E53"/>
      <c r="F53"/>
      <c r="G53"/>
      <c r="H53"/>
      <c r="I53"/>
      <c r="J53" s="49"/>
      <c r="K53"/>
      <c r="L53" s="134" t="s">
        <v>202</v>
      </c>
      <c r="M53" s="6"/>
      <c r="N53" s="6">
        <v>0</v>
      </c>
      <c r="O53" s="6"/>
      <c r="P53" s="6">
        <v>0</v>
      </c>
      <c r="Q53" s="6"/>
      <c r="S53" s="6"/>
      <c r="T53" s="6">
        <v>0</v>
      </c>
      <c r="U53" s="6"/>
      <c r="V53" s="6">
        <v>0</v>
      </c>
      <c r="X53" s="6">
        <v>0</v>
      </c>
      <c r="Z53" s="6">
        <v>0</v>
      </c>
      <c r="AB53" s="6">
        <v>0</v>
      </c>
      <c r="AD53" s="6">
        <v>0</v>
      </c>
      <c r="AF53" s="6">
        <v>0</v>
      </c>
      <c r="AH53" s="6">
        <v>0</v>
      </c>
      <c r="AI53"/>
      <c r="AJ53" s="6">
        <v>0</v>
      </c>
      <c r="AK53"/>
      <c r="AL53" s="6">
        <v>0</v>
      </c>
      <c r="AM53"/>
      <c r="AN53" s="6">
        <v>0</v>
      </c>
      <c r="AP53" s="6">
        <v>0</v>
      </c>
      <c r="AR53" s="6">
        <v>0</v>
      </c>
      <c r="AT53" s="6">
        <v>0</v>
      </c>
      <c r="AV53" s="6">
        <v>0</v>
      </c>
      <c r="AX53" s="6">
        <v>0</v>
      </c>
      <c r="AZ53" s="6">
        <v>0</v>
      </c>
      <c r="BB53" s="6">
        <v>0</v>
      </c>
      <c r="BD53" s="6">
        <v>0</v>
      </c>
      <c r="BF53" s="6">
        <v>0</v>
      </c>
      <c r="BH53" s="6">
        <v>0</v>
      </c>
      <c r="BJ53" s="6">
        <v>0</v>
      </c>
      <c r="BL53" s="6"/>
      <c r="BM53" s="6"/>
      <c r="BN53" s="6">
        <f t="shared" si="9"/>
        <v>0</v>
      </c>
      <c r="BO53" s="6"/>
      <c r="BP53" s="6"/>
      <c r="BQ53" s="6"/>
      <c r="BR53" s="6">
        <f t="shared" si="11"/>
        <v>0</v>
      </c>
      <c r="BT53" s="6">
        <f t="shared" si="12"/>
        <v>0</v>
      </c>
      <c r="BV53" s="6">
        <f t="shared" si="10"/>
        <v>0</v>
      </c>
    </row>
    <row r="54" spans="1:74" s="21" customFormat="1">
      <c r="A54" s="118"/>
      <c r="B54" s="236" t="s">
        <v>300</v>
      </c>
      <c r="J54" s="8"/>
      <c r="L54" s="143" t="s">
        <v>202</v>
      </c>
      <c r="M54" s="9"/>
      <c r="N54" s="9">
        <v>0</v>
      </c>
      <c r="O54" s="9"/>
      <c r="P54" s="9">
        <v>0</v>
      </c>
      <c r="Q54" s="9"/>
      <c r="R54" s="9">
        <f t="shared" ref="R54:AH54" si="13">SUM(R43:R53)</f>
        <v>14764888</v>
      </c>
      <c r="S54" s="9">
        <f t="shared" si="13"/>
        <v>0</v>
      </c>
      <c r="T54" s="9">
        <f t="shared" si="13"/>
        <v>0</v>
      </c>
      <c r="U54" s="9">
        <f t="shared" si="13"/>
        <v>0</v>
      </c>
      <c r="V54" s="9">
        <f t="shared" si="13"/>
        <v>0</v>
      </c>
      <c r="W54" s="9">
        <f t="shared" si="13"/>
        <v>0</v>
      </c>
      <c r="X54" s="9">
        <f t="shared" si="13"/>
        <v>0</v>
      </c>
      <c r="Y54" s="9">
        <f t="shared" si="13"/>
        <v>0</v>
      </c>
      <c r="Z54" s="9">
        <f t="shared" si="13"/>
        <v>0</v>
      </c>
      <c r="AA54" s="9">
        <f t="shared" si="13"/>
        <v>0</v>
      </c>
      <c r="AB54" s="9">
        <f t="shared" si="13"/>
        <v>0</v>
      </c>
      <c r="AC54" s="9">
        <f t="shared" si="13"/>
        <v>0</v>
      </c>
      <c r="AD54" s="9">
        <f t="shared" si="13"/>
        <v>0</v>
      </c>
      <c r="AE54" s="9">
        <f t="shared" si="13"/>
        <v>0</v>
      </c>
      <c r="AF54" s="9">
        <f t="shared" si="13"/>
        <v>0</v>
      </c>
      <c r="AG54" s="9">
        <f t="shared" si="13"/>
        <v>0</v>
      </c>
      <c r="AH54" s="9">
        <f t="shared" si="13"/>
        <v>0</v>
      </c>
      <c r="AI54" s="9"/>
      <c r="AJ54" s="9">
        <f>SUM(AJ43:AJ53)</f>
        <v>0</v>
      </c>
      <c r="AK54" s="9"/>
      <c r="AL54" s="9">
        <f>SUM(AL43:AL53)</f>
        <v>0</v>
      </c>
      <c r="AM54" s="9"/>
      <c r="AN54" s="9">
        <f>SUM(AN43:AN53)</f>
        <v>0</v>
      </c>
      <c r="AO54" s="9"/>
      <c r="AP54" s="9">
        <f>SUM(AP43:AP53)</f>
        <v>0</v>
      </c>
      <c r="AQ54" s="9"/>
      <c r="AR54" s="9">
        <f t="shared" ref="AR54:BT54" si="14">SUM(AR43:AR53)</f>
        <v>420818</v>
      </c>
      <c r="AS54" s="9">
        <f t="shared" si="14"/>
        <v>0</v>
      </c>
      <c r="AT54" s="9">
        <f t="shared" si="14"/>
        <v>0</v>
      </c>
      <c r="AU54" s="9">
        <f t="shared" si="14"/>
        <v>0</v>
      </c>
      <c r="AV54" s="9">
        <f t="shared" si="14"/>
        <v>1769159</v>
      </c>
      <c r="AW54" s="9">
        <f t="shared" si="14"/>
        <v>0</v>
      </c>
      <c r="AX54" s="9">
        <f t="shared" si="14"/>
        <v>0</v>
      </c>
      <c r="AY54" s="9">
        <f t="shared" si="14"/>
        <v>0</v>
      </c>
      <c r="AZ54" s="9">
        <f t="shared" si="14"/>
        <v>1915100</v>
      </c>
      <c r="BA54" s="9">
        <f t="shared" si="14"/>
        <v>0</v>
      </c>
      <c r="BB54" s="9">
        <f t="shared" si="14"/>
        <v>0</v>
      </c>
      <c r="BC54" s="9">
        <f t="shared" si="14"/>
        <v>0</v>
      </c>
      <c r="BD54" s="9">
        <f t="shared" si="14"/>
        <v>0</v>
      </c>
      <c r="BE54" s="9">
        <f t="shared" si="14"/>
        <v>0</v>
      </c>
      <c r="BF54" s="9">
        <f t="shared" si="14"/>
        <v>0</v>
      </c>
      <c r="BG54" s="9">
        <f t="shared" si="14"/>
        <v>0</v>
      </c>
      <c r="BH54" s="9">
        <f t="shared" si="14"/>
        <v>0</v>
      </c>
      <c r="BI54" s="9">
        <f t="shared" si="14"/>
        <v>0</v>
      </c>
      <c r="BJ54" s="9">
        <f t="shared" si="14"/>
        <v>0</v>
      </c>
      <c r="BK54" s="9">
        <f t="shared" si="14"/>
        <v>0</v>
      </c>
      <c r="BL54" s="9">
        <f t="shared" si="14"/>
        <v>0</v>
      </c>
      <c r="BM54" s="9">
        <f t="shared" si="14"/>
        <v>0</v>
      </c>
      <c r="BN54" s="9">
        <f t="shared" si="14"/>
        <v>4105077</v>
      </c>
      <c r="BO54" s="9">
        <f t="shared" si="14"/>
        <v>0</v>
      </c>
      <c r="BP54" s="9">
        <f t="shared" si="14"/>
        <v>2058165</v>
      </c>
      <c r="BQ54" s="9">
        <f t="shared" si="14"/>
        <v>0</v>
      </c>
      <c r="BR54" s="9">
        <f t="shared" si="14"/>
        <v>16141324</v>
      </c>
      <c r="BS54" s="9">
        <f t="shared" si="14"/>
        <v>0</v>
      </c>
      <c r="BT54" s="9">
        <f t="shared" si="14"/>
        <v>16939610</v>
      </c>
      <c r="BU54" s="9"/>
      <c r="BV54" s="9">
        <f t="shared" si="10"/>
        <v>-2174722</v>
      </c>
    </row>
    <row r="55" spans="1:74">
      <c r="A55" s="57"/>
      <c r="B55" s="234"/>
      <c r="C55"/>
      <c r="D55"/>
      <c r="E55"/>
      <c r="F55"/>
      <c r="G55"/>
      <c r="H55"/>
      <c r="I55"/>
      <c r="J55" s="49"/>
      <c r="K55"/>
      <c r="L55" s="134"/>
      <c r="M55" s="6"/>
      <c r="O55" s="6"/>
      <c r="Q55" s="6"/>
      <c r="S55" s="6"/>
      <c r="T55" s="6"/>
      <c r="U55" s="6"/>
      <c r="V55" s="6"/>
      <c r="X55" s="6"/>
      <c r="Z55" s="6"/>
      <c r="AB55" s="6"/>
      <c r="AD55" s="6"/>
      <c r="AI55"/>
      <c r="AK55"/>
      <c r="AM55"/>
      <c r="BL55" s="6"/>
      <c r="BM55" s="6"/>
      <c r="BO55" s="6"/>
      <c r="BP55" s="6"/>
      <c r="BQ55" s="6"/>
      <c r="BV55" s="4"/>
    </row>
    <row r="56" spans="1:74">
      <c r="B56" s="21" t="s">
        <v>301</v>
      </c>
      <c r="C56"/>
      <c r="D56"/>
      <c r="E56"/>
      <c r="F56"/>
      <c r="G56"/>
      <c r="H56"/>
      <c r="I56"/>
      <c r="J56" s="49"/>
      <c r="K56"/>
      <c r="L56" s="134"/>
      <c r="M56" s="6"/>
      <c r="O56" s="6"/>
      <c r="Q56" s="6"/>
      <c r="S56" s="6"/>
      <c r="T56" s="6"/>
      <c r="U56" s="6"/>
      <c r="V56" s="6"/>
      <c r="X56" s="6"/>
      <c r="Z56" s="6"/>
      <c r="AB56" s="6"/>
      <c r="AD56" s="6"/>
      <c r="AI56"/>
      <c r="AK56"/>
      <c r="AM56"/>
      <c r="BL56" s="6"/>
      <c r="BM56" s="6"/>
      <c r="BO56" s="6"/>
      <c r="BP56" s="6"/>
      <c r="BQ56" s="6"/>
      <c r="BV56" s="4"/>
    </row>
    <row r="57" spans="1:74">
      <c r="A57"/>
      <c r="B57" s="233" t="s">
        <v>536</v>
      </c>
      <c r="C57"/>
      <c r="D57"/>
      <c r="E57"/>
      <c r="F57"/>
      <c r="G57"/>
      <c r="H57"/>
      <c r="I57"/>
      <c r="J57" s="49" t="s">
        <v>229</v>
      </c>
      <c r="K57"/>
      <c r="L57" s="134"/>
      <c r="M57" s="6"/>
      <c r="O57" s="6"/>
      <c r="Q57" s="6"/>
      <c r="R57" s="235">
        <v>200485</v>
      </c>
      <c r="S57" s="6"/>
      <c r="T57" s="6"/>
      <c r="U57" s="6"/>
      <c r="V57" s="6"/>
      <c r="X57" s="6"/>
      <c r="Z57" s="6"/>
      <c r="AB57" s="6"/>
      <c r="AD57" s="6"/>
      <c r="AI57"/>
      <c r="AK57"/>
      <c r="AM57"/>
      <c r="AV57" s="6">
        <v>557</v>
      </c>
      <c r="AZ57" s="6">
        <f>117841-557</f>
        <v>117284</v>
      </c>
      <c r="BL57" s="6"/>
      <c r="BM57" s="6"/>
      <c r="BN57" s="6">
        <f>SUM(T57:BM57)</f>
        <v>117841</v>
      </c>
      <c r="BO57" s="6"/>
      <c r="BP57" s="6"/>
      <c r="BQ57" s="6"/>
      <c r="BR57" s="6">
        <f>IF(+R57-BN57+BP57&gt;0,R57-BN57+BP57,0)</f>
        <v>82644</v>
      </c>
      <c r="BT57" s="6">
        <f>+BN57+BR57</f>
        <v>200485</v>
      </c>
      <c r="BV57" s="6">
        <f t="shared" ref="BV57:BV63" si="15">+R57-BT57</f>
        <v>0</v>
      </c>
    </row>
    <row r="58" spans="1:74">
      <c r="A58"/>
      <c r="B58" s="233" t="s">
        <v>537</v>
      </c>
      <c r="C58"/>
      <c r="D58"/>
      <c r="E58"/>
      <c r="F58"/>
      <c r="G58"/>
      <c r="H58"/>
      <c r="I58"/>
      <c r="J58" s="49" t="s">
        <v>229</v>
      </c>
      <c r="K58"/>
      <c r="L58" s="134"/>
      <c r="M58" s="6"/>
      <c r="O58" s="6"/>
      <c r="Q58" s="6"/>
      <c r="R58" s="235">
        <v>3824394</v>
      </c>
      <c r="S58" s="6"/>
      <c r="T58" s="6"/>
      <c r="U58" s="6"/>
      <c r="V58" s="6"/>
      <c r="X58" s="6"/>
      <c r="Z58" s="6"/>
      <c r="AB58" s="6"/>
      <c r="AD58" s="6"/>
      <c r="AI58"/>
      <c r="AK58"/>
      <c r="AM58"/>
      <c r="AR58" s="6">
        <v>84021</v>
      </c>
      <c r="AV58" s="6">
        <v>224712</v>
      </c>
      <c r="AZ58" s="6">
        <f>2894530-308733</f>
        <v>2585797</v>
      </c>
      <c r="BL58" s="6"/>
      <c r="BM58" s="6"/>
      <c r="BN58" s="6">
        <f>SUM(T58:BM58)</f>
        <v>2894530</v>
      </c>
      <c r="BO58" s="6"/>
      <c r="BP58" s="6">
        <f>3006669-3824394</f>
        <v>-817725</v>
      </c>
      <c r="BQ58" s="6"/>
      <c r="BR58" s="6">
        <f>IF(+R58-BN58+BP58&gt;0,R58-BN58+BP58,0)</f>
        <v>112139</v>
      </c>
      <c r="BT58" s="6">
        <f>+BN58+BR58</f>
        <v>3006669</v>
      </c>
      <c r="BV58" s="6">
        <f t="shared" si="15"/>
        <v>817725</v>
      </c>
    </row>
    <row r="59" spans="1:74">
      <c r="A59"/>
      <c r="B59" s="233" t="s">
        <v>19</v>
      </c>
      <c r="C59"/>
      <c r="D59"/>
      <c r="E59"/>
      <c r="F59"/>
      <c r="G59"/>
      <c r="H59"/>
      <c r="I59"/>
      <c r="J59" s="49" t="s">
        <v>229</v>
      </c>
      <c r="K59"/>
      <c r="L59" s="134"/>
      <c r="M59" s="6"/>
      <c r="O59" s="6"/>
      <c r="Q59" s="6"/>
      <c r="R59" s="235">
        <v>789260</v>
      </c>
      <c r="S59" s="6"/>
      <c r="T59" s="6"/>
      <c r="U59" s="6"/>
      <c r="V59" s="6"/>
      <c r="X59" s="6"/>
      <c r="Z59" s="6"/>
      <c r="AB59" s="6"/>
      <c r="AD59" s="6"/>
      <c r="AI59"/>
      <c r="AK59"/>
      <c r="AM59"/>
      <c r="AZ59" s="6">
        <v>276231</v>
      </c>
      <c r="BL59" s="6"/>
      <c r="BM59" s="6"/>
      <c r="BN59" s="6">
        <f>SUM(T59:BM59)</f>
        <v>276231</v>
      </c>
      <c r="BO59" s="6"/>
      <c r="BP59" s="6">
        <v>0</v>
      </c>
      <c r="BQ59" s="6"/>
      <c r="BR59" s="6">
        <f>IF(+R59-BN59+BP59&gt;0,R59-BN59+BP59,0)</f>
        <v>513029</v>
      </c>
      <c r="BT59" s="6">
        <f>+BN59+BR59</f>
        <v>789260</v>
      </c>
      <c r="BV59" s="6">
        <f t="shared" si="15"/>
        <v>0</v>
      </c>
    </row>
    <row r="60" spans="1:74">
      <c r="A60"/>
      <c r="B60" s="233" t="s">
        <v>538</v>
      </c>
      <c r="C60"/>
      <c r="D60"/>
      <c r="E60"/>
      <c r="F60"/>
      <c r="G60"/>
      <c r="H60"/>
      <c r="I60"/>
      <c r="J60" s="49" t="s">
        <v>229</v>
      </c>
      <c r="K60"/>
      <c r="L60" s="134"/>
      <c r="M60" s="6"/>
      <c r="O60" s="6"/>
      <c r="Q60" s="6"/>
      <c r="R60" s="235">
        <v>482700</v>
      </c>
      <c r="S60" s="6"/>
      <c r="T60" s="6"/>
      <c r="U60" s="6"/>
      <c r="V60" s="6"/>
      <c r="X60" s="6"/>
      <c r="Z60" s="6"/>
      <c r="AB60" s="6"/>
      <c r="AD60" s="6"/>
      <c r="AI60"/>
      <c r="AK60"/>
      <c r="AM60"/>
      <c r="AZ60" s="6">
        <v>174035</v>
      </c>
      <c r="BL60" s="6"/>
      <c r="BM60" s="6"/>
      <c r="BN60" s="6">
        <f>SUM(T60:BM60)</f>
        <v>174035</v>
      </c>
      <c r="BO60" s="6"/>
      <c r="BP60" s="6">
        <f>442495-482700</f>
        <v>-40205</v>
      </c>
      <c r="BQ60" s="6"/>
      <c r="BR60" s="6">
        <f>IF(+R60-BN60+BP60&gt;0,R60-BN60+BP60,0)</f>
        <v>268460</v>
      </c>
      <c r="BT60" s="6">
        <f>+BN60+BR60</f>
        <v>442495</v>
      </c>
      <c r="BV60" s="6">
        <f t="shared" si="15"/>
        <v>40205</v>
      </c>
    </row>
    <row r="61" spans="1:74">
      <c r="A61"/>
      <c r="B61" s="233" t="s">
        <v>159</v>
      </c>
      <c r="C61"/>
      <c r="D61"/>
      <c r="E61"/>
      <c r="F61"/>
      <c r="G61"/>
      <c r="H61"/>
      <c r="I61"/>
      <c r="J61" s="49" t="s">
        <v>229</v>
      </c>
      <c r="K61"/>
      <c r="L61" s="134"/>
      <c r="M61" s="6"/>
      <c r="O61" s="6"/>
      <c r="Q61" s="6"/>
      <c r="R61" s="235">
        <v>0</v>
      </c>
      <c r="S61" s="6"/>
      <c r="T61" s="6"/>
      <c r="U61" s="6"/>
      <c r="V61" s="6"/>
      <c r="X61" s="6"/>
      <c r="Z61" s="6"/>
      <c r="AB61" s="6"/>
      <c r="AD61" s="6"/>
      <c r="AI61"/>
      <c r="AK61"/>
      <c r="AM61"/>
      <c r="AZ61" s="6">
        <v>20223</v>
      </c>
      <c r="BL61" s="6"/>
      <c r="BM61" s="6"/>
      <c r="BN61" s="6">
        <f>SUM(T61:BM61)</f>
        <v>20223</v>
      </c>
      <c r="BO61" s="6"/>
      <c r="BP61" s="6">
        <v>0</v>
      </c>
      <c r="BQ61" s="6"/>
      <c r="BR61" s="6">
        <f>IF(+R61-BN61+BP61&gt;0,R61-BN61+BP61,0)</f>
        <v>0</v>
      </c>
      <c r="BT61" s="6">
        <f>+BN61+BR61</f>
        <v>20223</v>
      </c>
      <c r="BV61" s="6">
        <f t="shared" si="15"/>
        <v>-20223</v>
      </c>
    </row>
    <row r="62" spans="1:74">
      <c r="A62"/>
      <c r="B62" s="233"/>
      <c r="C62"/>
      <c r="D62"/>
      <c r="E62"/>
      <c r="F62"/>
      <c r="G62"/>
      <c r="H62"/>
      <c r="I62"/>
      <c r="J62" s="49"/>
      <c r="K62"/>
      <c r="L62" s="134"/>
      <c r="M62" s="6"/>
      <c r="O62" s="6"/>
      <c r="Q62" s="6"/>
      <c r="R62" s="235"/>
      <c r="S62" s="6"/>
      <c r="T62" s="6"/>
      <c r="U62" s="6"/>
      <c r="V62" s="6"/>
      <c r="X62" s="6"/>
      <c r="Z62" s="6"/>
      <c r="AB62" s="6"/>
      <c r="AD62" s="6"/>
      <c r="AI62"/>
      <c r="AK62"/>
      <c r="AM62"/>
      <c r="BL62" s="6"/>
      <c r="BM62" s="6"/>
      <c r="BO62" s="6"/>
      <c r="BP62" s="6"/>
      <c r="BQ62" s="6"/>
    </row>
    <row r="63" spans="1:74" s="21" customFormat="1">
      <c r="B63" s="236" t="s">
        <v>302</v>
      </c>
      <c r="J63" s="8"/>
      <c r="L63" s="143" t="s">
        <v>202</v>
      </c>
      <c r="M63" s="9"/>
      <c r="N63" s="9">
        <v>0</v>
      </c>
      <c r="O63" s="9"/>
      <c r="P63" s="9">
        <v>0</v>
      </c>
      <c r="Q63" s="9"/>
      <c r="R63" s="9">
        <f t="shared" ref="R63:AH63" si="16">SUM(R57:R61)</f>
        <v>5296839</v>
      </c>
      <c r="S63" s="9">
        <f t="shared" si="16"/>
        <v>0</v>
      </c>
      <c r="T63" s="9">
        <f t="shared" si="16"/>
        <v>0</v>
      </c>
      <c r="U63" s="9">
        <f t="shared" si="16"/>
        <v>0</v>
      </c>
      <c r="V63" s="9">
        <f t="shared" si="16"/>
        <v>0</v>
      </c>
      <c r="W63" s="9">
        <f t="shared" si="16"/>
        <v>0</v>
      </c>
      <c r="X63" s="9">
        <f t="shared" si="16"/>
        <v>0</v>
      </c>
      <c r="Y63" s="9">
        <f t="shared" si="16"/>
        <v>0</v>
      </c>
      <c r="Z63" s="9">
        <f t="shared" si="16"/>
        <v>0</v>
      </c>
      <c r="AA63" s="9">
        <f t="shared" si="16"/>
        <v>0</v>
      </c>
      <c r="AB63" s="9">
        <f t="shared" si="16"/>
        <v>0</v>
      </c>
      <c r="AC63" s="9">
        <f t="shared" si="16"/>
        <v>0</v>
      </c>
      <c r="AD63" s="9">
        <f t="shared" si="16"/>
        <v>0</v>
      </c>
      <c r="AE63" s="9">
        <f t="shared" si="16"/>
        <v>0</v>
      </c>
      <c r="AF63" s="9">
        <f t="shared" si="16"/>
        <v>0</v>
      </c>
      <c r="AG63" s="9">
        <f t="shared" si="16"/>
        <v>0</v>
      </c>
      <c r="AH63" s="9">
        <f t="shared" si="16"/>
        <v>0</v>
      </c>
      <c r="AI63" s="9"/>
      <c r="AJ63" s="9">
        <f>SUM(AJ57:AJ61)</f>
        <v>0</v>
      </c>
      <c r="AK63" s="9"/>
      <c r="AL63" s="9">
        <f>SUM(AL57:AL61)</f>
        <v>0</v>
      </c>
      <c r="AM63" s="9"/>
      <c r="AN63" s="9">
        <f>SUM(AN57:AN61)</f>
        <v>0</v>
      </c>
      <c r="AO63" s="9"/>
      <c r="AP63" s="9">
        <f>SUM(AP57:AP61)</f>
        <v>0</v>
      </c>
      <c r="AQ63" s="9"/>
      <c r="AR63" s="9">
        <f t="shared" ref="AR63:BT63" si="17">SUM(AR57:AR61)</f>
        <v>84021</v>
      </c>
      <c r="AS63" s="9">
        <f t="shared" si="17"/>
        <v>0</v>
      </c>
      <c r="AT63" s="9">
        <f t="shared" si="17"/>
        <v>0</v>
      </c>
      <c r="AU63" s="9">
        <f t="shared" si="17"/>
        <v>0</v>
      </c>
      <c r="AV63" s="9">
        <f t="shared" si="17"/>
        <v>225269</v>
      </c>
      <c r="AW63" s="9">
        <f t="shared" si="17"/>
        <v>0</v>
      </c>
      <c r="AX63" s="9">
        <f t="shared" si="17"/>
        <v>0</v>
      </c>
      <c r="AY63" s="9">
        <f t="shared" si="17"/>
        <v>0</v>
      </c>
      <c r="AZ63" s="9">
        <f t="shared" si="17"/>
        <v>3173570</v>
      </c>
      <c r="BA63" s="9">
        <f t="shared" si="17"/>
        <v>0</v>
      </c>
      <c r="BB63" s="9">
        <f t="shared" si="17"/>
        <v>0</v>
      </c>
      <c r="BC63" s="9">
        <f t="shared" si="17"/>
        <v>0</v>
      </c>
      <c r="BD63" s="9">
        <f t="shared" si="17"/>
        <v>0</v>
      </c>
      <c r="BE63" s="9">
        <f t="shared" si="17"/>
        <v>0</v>
      </c>
      <c r="BF63" s="9">
        <f t="shared" si="17"/>
        <v>0</v>
      </c>
      <c r="BG63" s="9">
        <f t="shared" si="17"/>
        <v>0</v>
      </c>
      <c r="BH63" s="9">
        <f t="shared" si="17"/>
        <v>0</v>
      </c>
      <c r="BI63" s="9">
        <f t="shared" si="17"/>
        <v>0</v>
      </c>
      <c r="BJ63" s="9">
        <f t="shared" si="17"/>
        <v>0</v>
      </c>
      <c r="BK63" s="9">
        <f t="shared" si="17"/>
        <v>0</v>
      </c>
      <c r="BL63" s="9">
        <f t="shared" si="17"/>
        <v>0</v>
      </c>
      <c r="BM63" s="9">
        <f t="shared" si="17"/>
        <v>0</v>
      </c>
      <c r="BN63" s="9">
        <f t="shared" si="17"/>
        <v>3482860</v>
      </c>
      <c r="BO63" s="9">
        <f t="shared" si="17"/>
        <v>0</v>
      </c>
      <c r="BP63" s="9">
        <f t="shared" si="17"/>
        <v>-857930</v>
      </c>
      <c r="BQ63" s="9">
        <f t="shared" si="17"/>
        <v>0</v>
      </c>
      <c r="BR63" s="9">
        <f t="shared" si="17"/>
        <v>976272</v>
      </c>
      <c r="BS63" s="9">
        <f t="shared" si="17"/>
        <v>0</v>
      </c>
      <c r="BT63" s="9">
        <f t="shared" si="17"/>
        <v>4459132</v>
      </c>
      <c r="BU63" s="9"/>
      <c r="BV63" s="9">
        <f t="shared" si="15"/>
        <v>837707</v>
      </c>
    </row>
    <row r="64" spans="1:74" s="21" customFormat="1">
      <c r="B64" s="236"/>
      <c r="J64" s="8"/>
      <c r="L64" s="143"/>
      <c r="M64" s="9"/>
      <c r="N64" s="9"/>
      <c r="O64" s="9"/>
      <c r="P64" s="9"/>
      <c r="Q64" s="9"/>
      <c r="R64" s="9"/>
      <c r="S64" s="9"/>
      <c r="T64" s="9"/>
      <c r="U64" s="9"/>
      <c r="V64" s="9"/>
      <c r="W64" s="9"/>
      <c r="X64" s="9"/>
      <c r="Y64" s="9"/>
      <c r="Z64" s="9"/>
      <c r="AA64" s="9"/>
      <c r="AB64" s="9"/>
      <c r="AC64" s="9"/>
      <c r="AD64" s="9"/>
      <c r="AE64" s="9"/>
      <c r="AF64" s="9"/>
      <c r="AG64" s="9"/>
      <c r="AH64" s="9"/>
      <c r="AJ64" s="9"/>
      <c r="AL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row>
    <row r="65" spans="2:74" s="21" customFormat="1">
      <c r="B65" s="237" t="s">
        <v>314</v>
      </c>
      <c r="J65" s="8"/>
      <c r="L65" s="143"/>
      <c r="M65" s="9"/>
      <c r="N65" s="9"/>
      <c r="O65" s="9"/>
      <c r="P65" s="9"/>
      <c r="Q65" s="9"/>
      <c r="R65" s="9"/>
      <c r="S65" s="9"/>
      <c r="T65" s="9"/>
      <c r="U65" s="9"/>
      <c r="V65" s="9"/>
      <c r="W65" s="9"/>
      <c r="X65" s="9"/>
      <c r="Y65" s="9"/>
      <c r="Z65" s="9"/>
      <c r="AA65" s="9"/>
      <c r="AB65" s="9"/>
      <c r="AC65" s="9"/>
      <c r="AD65" s="9"/>
      <c r="AE65" s="9"/>
      <c r="AF65" s="9"/>
      <c r="AG65" s="9"/>
      <c r="AH65" s="9"/>
      <c r="AJ65" s="9"/>
      <c r="AL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row>
    <row r="66" spans="2:74" s="21" customFormat="1">
      <c r="B66" s="238" t="s">
        <v>303</v>
      </c>
      <c r="J66" s="8"/>
      <c r="L66" s="143"/>
      <c r="M66" s="9"/>
      <c r="N66" s="9"/>
      <c r="O66" s="9"/>
      <c r="P66" s="9"/>
      <c r="Q66" s="9"/>
      <c r="R66" s="235">
        <f>1350641+871112</f>
        <v>2221753</v>
      </c>
      <c r="S66" s="9"/>
      <c r="T66" s="9"/>
      <c r="U66" s="9"/>
      <c r="V66" s="9"/>
      <c r="W66" s="9"/>
      <c r="X66" s="9"/>
      <c r="Y66" s="9"/>
      <c r="Z66" s="9"/>
      <c r="AA66" s="9"/>
      <c r="AB66" s="9"/>
      <c r="AC66" s="9"/>
      <c r="AD66" s="9"/>
      <c r="AE66" s="9"/>
      <c r="AF66" s="9"/>
      <c r="AG66" s="9"/>
      <c r="AH66" s="9"/>
      <c r="AJ66" s="9"/>
      <c r="AL66" s="9"/>
      <c r="AN66" s="9"/>
      <c r="AO66" s="9"/>
      <c r="AP66" s="9"/>
      <c r="AQ66" s="9"/>
      <c r="AR66" s="6">
        <v>204588</v>
      </c>
      <c r="AS66" s="9"/>
      <c r="AT66" s="9"/>
      <c r="AU66" s="9"/>
      <c r="AV66" s="6">
        <f>2389052-204588</f>
        <v>2184464</v>
      </c>
      <c r="AW66" s="9"/>
      <c r="AX66" s="9"/>
      <c r="AY66" s="9"/>
      <c r="AZ66" s="6">
        <f>2924606+28224-2389052</f>
        <v>563778</v>
      </c>
      <c r="BA66" s="9"/>
      <c r="BB66" s="9"/>
      <c r="BC66" s="9"/>
      <c r="BD66" s="9"/>
      <c r="BE66" s="9"/>
      <c r="BF66" s="9"/>
      <c r="BG66" s="9"/>
      <c r="BH66" s="9"/>
      <c r="BI66" s="9"/>
      <c r="BJ66" s="9"/>
      <c r="BK66" s="9"/>
      <c r="BL66" s="9"/>
      <c r="BM66" s="9"/>
      <c r="BN66" s="6">
        <f t="shared" ref="BN66:BN84" si="18">SUM(T66:BM66)</f>
        <v>2952830</v>
      </c>
      <c r="BO66" s="9"/>
      <c r="BP66" s="6">
        <v>0</v>
      </c>
      <c r="BQ66" s="6"/>
      <c r="BR66" s="6">
        <f t="shared" ref="BR66:BR85" si="19">IF(+R66-BN66+BP66&gt;0,R66-BN66+BP66,0)</f>
        <v>0</v>
      </c>
      <c r="BS66" s="6"/>
      <c r="BT66" s="6">
        <f t="shared" ref="BT66:BT85" si="20">+BN66+BR66</f>
        <v>2952830</v>
      </c>
      <c r="BU66" s="9"/>
      <c r="BV66" s="6">
        <f t="shared" ref="BV66:BV85" si="21">+R66-BT66</f>
        <v>-731077</v>
      </c>
    </row>
    <row r="67" spans="2:74" s="21" customFormat="1">
      <c r="B67" s="238" t="s">
        <v>539</v>
      </c>
      <c r="J67" s="8"/>
      <c r="L67" s="143"/>
      <c r="M67" s="9"/>
      <c r="N67" s="9"/>
      <c r="O67" s="9"/>
      <c r="P67" s="9"/>
      <c r="Q67" s="9"/>
      <c r="R67" s="235">
        <v>363307</v>
      </c>
      <c r="S67" s="9"/>
      <c r="T67" s="9"/>
      <c r="U67" s="9"/>
      <c r="V67" s="9"/>
      <c r="W67" s="9"/>
      <c r="X67" s="9"/>
      <c r="Y67" s="9"/>
      <c r="Z67" s="9"/>
      <c r="AA67" s="9"/>
      <c r="AB67" s="9"/>
      <c r="AC67" s="9"/>
      <c r="AD67" s="9"/>
      <c r="AE67" s="9"/>
      <c r="AF67" s="9"/>
      <c r="AG67" s="9"/>
      <c r="AH67" s="9"/>
      <c r="AJ67" s="9"/>
      <c r="AL67" s="9"/>
      <c r="AN67" s="9"/>
      <c r="AO67" s="9"/>
      <c r="AP67" s="9"/>
      <c r="AQ67" s="9"/>
      <c r="AR67" s="9"/>
      <c r="AS67" s="9"/>
      <c r="AT67" s="9"/>
      <c r="AU67" s="9"/>
      <c r="AV67" s="6">
        <f>13499</f>
        <v>13499</v>
      </c>
      <c r="AW67" s="9"/>
      <c r="AX67" s="9"/>
      <c r="AY67" s="9"/>
      <c r="AZ67" s="6">
        <f>735944-13499</f>
        <v>722445</v>
      </c>
      <c r="BA67" s="9"/>
      <c r="BB67" s="9"/>
      <c r="BC67" s="9"/>
      <c r="BD67" s="9"/>
      <c r="BE67" s="9"/>
      <c r="BF67" s="9"/>
      <c r="BG67" s="9"/>
      <c r="BH67" s="9"/>
      <c r="BI67" s="9"/>
      <c r="BJ67" s="9"/>
      <c r="BK67" s="9"/>
      <c r="BL67" s="9"/>
      <c r="BM67" s="9"/>
      <c r="BN67" s="6">
        <f t="shared" si="18"/>
        <v>735944</v>
      </c>
      <c r="BO67" s="9"/>
      <c r="BP67" s="6">
        <f>508478-363263</f>
        <v>145215</v>
      </c>
      <c r="BQ67" s="6"/>
      <c r="BR67" s="6">
        <f t="shared" si="19"/>
        <v>0</v>
      </c>
      <c r="BS67" s="6"/>
      <c r="BT67" s="6">
        <f t="shared" si="20"/>
        <v>735944</v>
      </c>
      <c r="BU67" s="9"/>
      <c r="BV67" s="6">
        <f t="shared" si="21"/>
        <v>-372637</v>
      </c>
    </row>
    <row r="68" spans="2:74" s="21" customFormat="1">
      <c r="B68" s="238" t="s">
        <v>304</v>
      </c>
      <c r="J68" s="8"/>
      <c r="L68" s="143"/>
      <c r="M68" s="9"/>
      <c r="N68" s="9"/>
      <c r="O68" s="9"/>
      <c r="P68" s="9"/>
      <c r="Q68" s="9"/>
      <c r="R68" s="235">
        <v>272375</v>
      </c>
      <c r="S68" s="9"/>
      <c r="T68" s="9"/>
      <c r="U68" s="9"/>
      <c r="V68" s="9"/>
      <c r="W68" s="9"/>
      <c r="X68" s="9"/>
      <c r="Y68" s="9"/>
      <c r="Z68" s="9"/>
      <c r="AA68" s="9"/>
      <c r="AB68" s="9"/>
      <c r="AC68" s="9"/>
      <c r="AD68" s="9"/>
      <c r="AE68" s="9"/>
      <c r="AF68" s="9"/>
      <c r="AG68" s="9"/>
      <c r="AH68" s="9"/>
      <c r="AJ68" s="9"/>
      <c r="AL68" s="9"/>
      <c r="AN68" s="9"/>
      <c r="AO68" s="9"/>
      <c r="AP68" s="9"/>
      <c r="AQ68" s="9"/>
      <c r="AR68" s="9"/>
      <c r="AS68" s="9"/>
      <c r="AT68" s="9"/>
      <c r="AU68" s="9"/>
      <c r="AV68" s="6">
        <v>122734</v>
      </c>
      <c r="AW68" s="9"/>
      <c r="AX68" s="9"/>
      <c r="AY68" s="9"/>
      <c r="AZ68" s="6">
        <f>198522-122734</f>
        <v>75788</v>
      </c>
      <c r="BA68" s="9"/>
      <c r="BB68" s="9"/>
      <c r="BC68" s="9"/>
      <c r="BD68" s="9"/>
      <c r="BE68" s="9"/>
      <c r="BF68" s="9"/>
      <c r="BG68" s="9"/>
      <c r="BH68" s="9"/>
      <c r="BI68" s="9"/>
      <c r="BJ68" s="9"/>
      <c r="BK68" s="9"/>
      <c r="BL68" s="9"/>
      <c r="BM68" s="9"/>
      <c r="BN68" s="6">
        <f t="shared" si="18"/>
        <v>198522</v>
      </c>
      <c r="BO68" s="9"/>
      <c r="BP68" s="6"/>
      <c r="BQ68" s="6"/>
      <c r="BR68" s="6">
        <f t="shared" si="19"/>
        <v>73853</v>
      </c>
      <c r="BS68" s="6"/>
      <c r="BT68" s="6">
        <f t="shared" si="20"/>
        <v>272375</v>
      </c>
      <c r="BU68" s="9"/>
      <c r="BV68" s="6">
        <f t="shared" si="21"/>
        <v>0</v>
      </c>
    </row>
    <row r="69" spans="2:74" s="21" customFormat="1">
      <c r="B69" s="238" t="s">
        <v>540</v>
      </c>
      <c r="J69" s="8"/>
      <c r="L69" s="143"/>
      <c r="M69" s="9"/>
      <c r="N69" s="9"/>
      <c r="O69" s="9"/>
      <c r="P69" s="9"/>
      <c r="Q69" s="9"/>
      <c r="R69" s="235">
        <v>294546</v>
      </c>
      <c r="S69" s="9"/>
      <c r="T69" s="9"/>
      <c r="U69" s="9"/>
      <c r="V69" s="9"/>
      <c r="W69" s="9"/>
      <c r="X69" s="9"/>
      <c r="Y69" s="9"/>
      <c r="Z69" s="9"/>
      <c r="AA69" s="9"/>
      <c r="AB69" s="9"/>
      <c r="AC69" s="9"/>
      <c r="AD69" s="9"/>
      <c r="AE69" s="9"/>
      <c r="AF69" s="9"/>
      <c r="AG69" s="9"/>
      <c r="AH69" s="9"/>
      <c r="AJ69" s="9"/>
      <c r="AL69" s="9"/>
      <c r="AN69" s="9"/>
      <c r="AO69" s="9"/>
      <c r="AP69" s="9"/>
      <c r="AQ69" s="9"/>
      <c r="AR69" s="9"/>
      <c r="AS69" s="9"/>
      <c r="AT69" s="9"/>
      <c r="AU69" s="9"/>
      <c r="AV69" s="6"/>
      <c r="AW69" s="9"/>
      <c r="AX69" s="9"/>
      <c r="AY69" s="9"/>
      <c r="AZ69" s="6">
        <v>555814</v>
      </c>
      <c r="BA69" s="9"/>
      <c r="BB69" s="9"/>
      <c r="BC69" s="9"/>
      <c r="BD69" s="9"/>
      <c r="BE69" s="9"/>
      <c r="BF69" s="9"/>
      <c r="BG69" s="9"/>
      <c r="BH69" s="9"/>
      <c r="BI69" s="9"/>
      <c r="BJ69" s="9"/>
      <c r="BK69" s="9"/>
      <c r="BL69" s="9"/>
      <c r="BM69" s="9"/>
      <c r="BN69" s="6">
        <f t="shared" si="18"/>
        <v>555814</v>
      </c>
      <c r="BO69" s="9"/>
      <c r="BP69" s="6">
        <f>374050-294546</f>
        <v>79504</v>
      </c>
      <c r="BQ69" s="6"/>
      <c r="BR69" s="6">
        <f t="shared" si="19"/>
        <v>0</v>
      </c>
      <c r="BS69" s="6"/>
      <c r="BT69" s="6">
        <f t="shared" si="20"/>
        <v>555814</v>
      </c>
      <c r="BU69" s="9"/>
      <c r="BV69" s="6">
        <f t="shared" si="21"/>
        <v>-261268</v>
      </c>
    </row>
    <row r="70" spans="2:74" s="21" customFormat="1">
      <c r="B70" s="238" t="s">
        <v>305</v>
      </c>
      <c r="J70" s="8"/>
      <c r="L70" s="143"/>
      <c r="M70" s="9"/>
      <c r="N70" s="9"/>
      <c r="O70" s="9"/>
      <c r="P70" s="9"/>
      <c r="Q70" s="9"/>
      <c r="R70" s="235">
        <v>172231</v>
      </c>
      <c r="S70" s="9"/>
      <c r="T70" s="9"/>
      <c r="U70" s="9"/>
      <c r="V70" s="9"/>
      <c r="W70" s="9"/>
      <c r="X70" s="9"/>
      <c r="Y70" s="9"/>
      <c r="Z70" s="9"/>
      <c r="AA70" s="9"/>
      <c r="AB70" s="9"/>
      <c r="AC70" s="9"/>
      <c r="AD70" s="9"/>
      <c r="AE70" s="9"/>
      <c r="AF70" s="9"/>
      <c r="AG70" s="9"/>
      <c r="AH70" s="9"/>
      <c r="AJ70" s="9"/>
      <c r="AL70" s="9"/>
      <c r="AN70" s="9"/>
      <c r="AO70" s="9"/>
      <c r="AP70" s="9"/>
      <c r="AQ70" s="9"/>
      <c r="AR70" s="9"/>
      <c r="AS70" s="9"/>
      <c r="AT70" s="9"/>
      <c r="AU70" s="9"/>
      <c r="AV70" s="6">
        <v>116875</v>
      </c>
      <c r="AW70" s="9"/>
      <c r="AX70" s="9"/>
      <c r="AY70" s="9"/>
      <c r="AZ70" s="6">
        <f>259344-116875</f>
        <v>142469</v>
      </c>
      <c r="BA70" s="9"/>
      <c r="BB70" s="9"/>
      <c r="BC70" s="9"/>
      <c r="BD70" s="9"/>
      <c r="BE70" s="9"/>
      <c r="BF70" s="9"/>
      <c r="BG70" s="9"/>
      <c r="BH70" s="9"/>
      <c r="BI70" s="9"/>
      <c r="BJ70" s="9"/>
      <c r="BK70" s="9"/>
      <c r="BL70" s="9"/>
      <c r="BM70" s="9"/>
      <c r="BN70" s="6">
        <f t="shared" si="18"/>
        <v>259344</v>
      </c>
      <c r="BO70" s="9"/>
      <c r="BP70" s="6">
        <v>0</v>
      </c>
      <c r="BQ70" s="6"/>
      <c r="BR70" s="6">
        <f t="shared" si="19"/>
        <v>0</v>
      </c>
      <c r="BS70" s="6"/>
      <c r="BT70" s="6">
        <f t="shared" si="20"/>
        <v>259344</v>
      </c>
      <c r="BU70" s="9"/>
      <c r="BV70" s="6">
        <f t="shared" si="21"/>
        <v>-87113</v>
      </c>
    </row>
    <row r="71" spans="2:74" s="21" customFormat="1">
      <c r="B71" s="238" t="s">
        <v>546</v>
      </c>
      <c r="J71" s="8"/>
      <c r="L71" s="143"/>
      <c r="M71" s="9"/>
      <c r="N71" s="9"/>
      <c r="O71" s="9"/>
      <c r="P71" s="9"/>
      <c r="Q71" s="9"/>
      <c r="R71" s="235">
        <v>1115136</v>
      </c>
      <c r="S71" s="9"/>
      <c r="T71" s="9"/>
      <c r="U71" s="9"/>
      <c r="V71" s="9"/>
      <c r="W71" s="9"/>
      <c r="X71" s="9"/>
      <c r="Y71" s="9"/>
      <c r="Z71" s="9"/>
      <c r="AA71" s="9"/>
      <c r="AB71" s="9"/>
      <c r="AC71" s="9"/>
      <c r="AD71" s="9"/>
      <c r="AE71" s="9"/>
      <c r="AF71" s="9"/>
      <c r="AG71" s="9"/>
      <c r="AH71" s="9"/>
      <c r="AJ71" s="9"/>
      <c r="AL71" s="9"/>
      <c r="AN71" s="9"/>
      <c r="AO71" s="9"/>
      <c r="AP71" s="9"/>
      <c r="AQ71" s="9"/>
      <c r="AR71" s="9"/>
      <c r="AS71" s="9"/>
      <c r="AT71" s="9"/>
      <c r="AU71" s="9"/>
      <c r="AV71" s="6">
        <f>29294+12922</f>
        <v>42216</v>
      </c>
      <c r="AW71" s="9"/>
      <c r="AX71" s="9"/>
      <c r="AY71" s="9"/>
      <c r="AZ71" s="6">
        <f>1404467-42216</f>
        <v>1362251</v>
      </c>
      <c r="BA71" s="9"/>
      <c r="BB71" s="9"/>
      <c r="BC71" s="9"/>
      <c r="BD71" s="9"/>
      <c r="BE71" s="9"/>
      <c r="BF71" s="9"/>
      <c r="BG71" s="9"/>
      <c r="BH71" s="9"/>
      <c r="BI71" s="9"/>
      <c r="BJ71" s="9"/>
      <c r="BK71" s="9"/>
      <c r="BL71" s="9"/>
      <c r="BM71" s="9"/>
      <c r="BN71" s="6">
        <f t="shared" si="18"/>
        <v>1404467</v>
      </c>
      <c r="BO71" s="9"/>
      <c r="BP71" s="6">
        <f>1569522-1115136</f>
        <v>454386</v>
      </c>
      <c r="BQ71" s="6"/>
      <c r="BR71" s="6">
        <f t="shared" si="19"/>
        <v>165055</v>
      </c>
      <c r="BS71" s="6"/>
      <c r="BT71" s="6">
        <f t="shared" si="20"/>
        <v>1569522</v>
      </c>
      <c r="BU71" s="9"/>
      <c r="BV71" s="6">
        <f t="shared" si="21"/>
        <v>-454386</v>
      </c>
    </row>
    <row r="72" spans="2:74" s="21" customFormat="1">
      <c r="B72" s="238" t="s">
        <v>306</v>
      </c>
      <c r="J72" s="8"/>
      <c r="L72" s="143"/>
      <c r="M72" s="9"/>
      <c r="N72" s="9"/>
      <c r="O72" s="9"/>
      <c r="P72" s="9"/>
      <c r="Q72" s="9"/>
      <c r="R72" s="235">
        <v>751110</v>
      </c>
      <c r="S72" s="9"/>
      <c r="T72" s="9"/>
      <c r="U72" s="9"/>
      <c r="V72" s="9"/>
      <c r="W72" s="9"/>
      <c r="X72" s="9"/>
      <c r="Y72" s="9"/>
      <c r="Z72" s="9"/>
      <c r="AA72" s="9"/>
      <c r="AB72" s="9"/>
      <c r="AC72" s="9"/>
      <c r="AD72" s="9"/>
      <c r="AE72" s="9"/>
      <c r="AF72" s="9"/>
      <c r="AG72" s="9"/>
      <c r="AH72" s="9"/>
      <c r="AJ72" s="9"/>
      <c r="AL72" s="9"/>
      <c r="AN72" s="9"/>
      <c r="AO72" s="9"/>
      <c r="AP72" s="9"/>
      <c r="AQ72" s="9"/>
      <c r="AR72" s="9"/>
      <c r="AS72" s="9"/>
      <c r="AT72" s="9"/>
      <c r="AU72" s="9"/>
      <c r="AV72" s="6">
        <v>286589</v>
      </c>
      <c r="AW72" s="9"/>
      <c r="AX72" s="9"/>
      <c r="AY72" s="9"/>
      <c r="AZ72" s="6">
        <f>577419-286589</f>
        <v>290830</v>
      </c>
      <c r="BA72" s="9"/>
      <c r="BB72" s="9"/>
      <c r="BC72" s="9"/>
      <c r="BD72" s="9"/>
      <c r="BE72" s="9"/>
      <c r="BF72" s="9"/>
      <c r="BG72" s="9"/>
      <c r="BH72" s="9"/>
      <c r="BI72" s="9"/>
      <c r="BJ72" s="9"/>
      <c r="BK72" s="9"/>
      <c r="BL72" s="9"/>
      <c r="BM72" s="9"/>
      <c r="BN72" s="6">
        <f t="shared" si="18"/>
        <v>577419</v>
      </c>
      <c r="BO72" s="9"/>
      <c r="BP72" s="6"/>
      <c r="BQ72" s="6"/>
      <c r="BR72" s="6">
        <f t="shared" si="19"/>
        <v>173691</v>
      </c>
      <c r="BS72" s="6"/>
      <c r="BT72" s="6">
        <f t="shared" si="20"/>
        <v>751110</v>
      </c>
      <c r="BU72" s="9"/>
      <c r="BV72" s="6">
        <f t="shared" si="21"/>
        <v>0</v>
      </c>
    </row>
    <row r="73" spans="2:74" s="21" customFormat="1">
      <c r="B73" s="238" t="s">
        <v>541</v>
      </c>
      <c r="J73" s="8"/>
      <c r="L73" s="143"/>
      <c r="M73" s="9"/>
      <c r="N73" s="9"/>
      <c r="O73" s="9"/>
      <c r="P73" s="9"/>
      <c r="Q73" s="9"/>
      <c r="R73" s="235">
        <v>79049</v>
      </c>
      <c r="S73" s="9"/>
      <c r="T73" s="9"/>
      <c r="U73" s="9"/>
      <c r="V73" s="9"/>
      <c r="W73" s="9"/>
      <c r="X73" s="9"/>
      <c r="Y73" s="9"/>
      <c r="Z73" s="9"/>
      <c r="AA73" s="9"/>
      <c r="AB73" s="9"/>
      <c r="AC73" s="9"/>
      <c r="AD73" s="9"/>
      <c r="AE73" s="9"/>
      <c r="AF73" s="9"/>
      <c r="AG73" s="9"/>
      <c r="AH73" s="9"/>
      <c r="AJ73" s="9"/>
      <c r="AL73" s="9"/>
      <c r="AN73" s="9"/>
      <c r="AO73" s="9"/>
      <c r="AP73" s="9"/>
      <c r="AQ73" s="9"/>
      <c r="AR73" s="9"/>
      <c r="AS73" s="9"/>
      <c r="AT73" s="9"/>
      <c r="AU73" s="9"/>
      <c r="AV73" s="6">
        <v>0</v>
      </c>
      <c r="AW73" s="9"/>
      <c r="AX73" s="9"/>
      <c r="AY73" s="9"/>
      <c r="AZ73" s="6">
        <v>22214</v>
      </c>
      <c r="BA73" s="9"/>
      <c r="BB73" s="9"/>
      <c r="BC73" s="9"/>
      <c r="BD73" s="9"/>
      <c r="BE73" s="9"/>
      <c r="BF73" s="9"/>
      <c r="BG73" s="9"/>
      <c r="BH73" s="9"/>
      <c r="BI73" s="9"/>
      <c r="BJ73" s="9"/>
      <c r="BK73" s="9"/>
      <c r="BL73" s="9"/>
      <c r="BM73" s="9"/>
      <c r="BN73" s="6">
        <f t="shared" si="18"/>
        <v>22214</v>
      </c>
      <c r="BO73" s="9"/>
      <c r="BP73" s="6">
        <f>108008-79049</f>
        <v>28959</v>
      </c>
      <c r="BQ73" s="6"/>
      <c r="BR73" s="6">
        <f t="shared" si="19"/>
        <v>85794</v>
      </c>
      <c r="BS73" s="6"/>
      <c r="BT73" s="6">
        <f t="shared" si="20"/>
        <v>108008</v>
      </c>
      <c r="BU73" s="9"/>
      <c r="BV73" s="6">
        <f t="shared" si="21"/>
        <v>-28959</v>
      </c>
    </row>
    <row r="74" spans="2:74" s="21" customFormat="1">
      <c r="B74" s="238" t="s">
        <v>545</v>
      </c>
      <c r="J74" s="8"/>
      <c r="L74" s="143"/>
      <c r="M74" s="9"/>
      <c r="N74" s="9"/>
      <c r="O74" s="9"/>
      <c r="P74" s="9"/>
      <c r="Q74" s="9"/>
      <c r="R74" s="235">
        <v>43500</v>
      </c>
      <c r="S74" s="9"/>
      <c r="T74" s="9"/>
      <c r="U74" s="9"/>
      <c r="V74" s="9"/>
      <c r="W74" s="9"/>
      <c r="X74" s="9"/>
      <c r="Y74" s="9"/>
      <c r="Z74" s="9"/>
      <c r="AA74" s="9"/>
      <c r="AB74" s="9"/>
      <c r="AC74" s="9"/>
      <c r="AD74" s="9"/>
      <c r="AE74" s="9"/>
      <c r="AF74" s="9"/>
      <c r="AG74" s="9"/>
      <c r="AH74" s="9"/>
      <c r="AJ74" s="9"/>
      <c r="AL74" s="9"/>
      <c r="AN74" s="9"/>
      <c r="AO74" s="9"/>
      <c r="AP74" s="9"/>
      <c r="AQ74" s="9"/>
      <c r="AR74" s="9"/>
      <c r="AS74" s="9"/>
      <c r="AT74" s="9"/>
      <c r="AU74" s="9"/>
      <c r="AV74" s="6">
        <v>11125</v>
      </c>
      <c r="AW74" s="9"/>
      <c r="AX74" s="9"/>
      <c r="AY74" s="9"/>
      <c r="AZ74" s="6">
        <f>15847-11125</f>
        <v>4722</v>
      </c>
      <c r="BA74" s="9"/>
      <c r="BB74" s="9"/>
      <c r="BC74" s="9"/>
      <c r="BD74" s="9"/>
      <c r="BE74" s="9"/>
      <c r="BF74" s="9"/>
      <c r="BG74" s="9"/>
      <c r="BH74" s="9"/>
      <c r="BI74" s="9"/>
      <c r="BJ74" s="9"/>
      <c r="BK74" s="9"/>
      <c r="BL74" s="9"/>
      <c r="BM74" s="9"/>
      <c r="BN74" s="6">
        <f t="shared" si="18"/>
        <v>15847</v>
      </c>
      <c r="BO74" s="9"/>
      <c r="BP74" s="6"/>
      <c r="BQ74" s="6"/>
      <c r="BR74" s="6">
        <f t="shared" si="19"/>
        <v>27653</v>
      </c>
      <c r="BS74" s="6"/>
      <c r="BT74" s="6">
        <f t="shared" si="20"/>
        <v>43500</v>
      </c>
      <c r="BU74" s="9"/>
      <c r="BV74" s="6">
        <f t="shared" si="21"/>
        <v>0</v>
      </c>
    </row>
    <row r="75" spans="2:74" s="21" customFormat="1">
      <c r="B75" s="238" t="s">
        <v>553</v>
      </c>
      <c r="J75" s="8"/>
      <c r="L75" s="143"/>
      <c r="M75" s="9"/>
      <c r="N75" s="9"/>
      <c r="O75" s="9"/>
      <c r="P75" s="9"/>
      <c r="Q75" s="9"/>
      <c r="R75" s="235">
        <v>81956</v>
      </c>
      <c r="S75" s="9"/>
      <c r="T75" s="9"/>
      <c r="U75" s="9"/>
      <c r="V75" s="9"/>
      <c r="W75" s="9"/>
      <c r="X75" s="9"/>
      <c r="Y75" s="9"/>
      <c r="Z75" s="9"/>
      <c r="AA75" s="9"/>
      <c r="AB75" s="9"/>
      <c r="AC75" s="9"/>
      <c r="AD75" s="9"/>
      <c r="AE75" s="9"/>
      <c r="AF75" s="9"/>
      <c r="AG75" s="9"/>
      <c r="AH75" s="9"/>
      <c r="AJ75" s="9"/>
      <c r="AL75" s="9"/>
      <c r="AN75" s="9"/>
      <c r="AO75" s="9"/>
      <c r="AP75" s="9"/>
      <c r="AQ75" s="9"/>
      <c r="AR75" s="9"/>
      <c r="AS75" s="9"/>
      <c r="AT75" s="9"/>
      <c r="AU75" s="9"/>
      <c r="AV75" s="6">
        <v>1183</v>
      </c>
      <c r="AW75" s="9"/>
      <c r="AX75" s="9"/>
      <c r="AY75" s="9"/>
      <c r="AZ75" s="6">
        <f>29878-1183</f>
        <v>28695</v>
      </c>
      <c r="BA75" s="9"/>
      <c r="BB75" s="9"/>
      <c r="BC75" s="9"/>
      <c r="BD75" s="9"/>
      <c r="BE75" s="9"/>
      <c r="BF75" s="9"/>
      <c r="BG75" s="9"/>
      <c r="BH75" s="9"/>
      <c r="BI75" s="9"/>
      <c r="BJ75" s="9"/>
      <c r="BK75" s="9"/>
      <c r="BL75" s="9"/>
      <c r="BM75" s="9"/>
      <c r="BN75" s="6">
        <f t="shared" si="18"/>
        <v>29878</v>
      </c>
      <c r="BO75" s="9"/>
      <c r="BP75" s="6">
        <f>101800-81956</f>
        <v>19844</v>
      </c>
      <c r="BQ75" s="6"/>
      <c r="BR75" s="6">
        <f t="shared" si="19"/>
        <v>71922</v>
      </c>
      <c r="BS75" s="6"/>
      <c r="BT75" s="6">
        <f t="shared" si="20"/>
        <v>101800</v>
      </c>
      <c r="BU75" s="9"/>
      <c r="BV75" s="6">
        <f t="shared" si="21"/>
        <v>-19844</v>
      </c>
    </row>
    <row r="76" spans="2:74" s="21" customFormat="1">
      <c r="B76" s="238" t="s">
        <v>308</v>
      </c>
      <c r="J76" s="8"/>
      <c r="L76" s="143"/>
      <c r="M76" s="9"/>
      <c r="N76" s="9"/>
      <c r="O76" s="9"/>
      <c r="P76" s="9"/>
      <c r="Q76" s="9"/>
      <c r="R76" s="235">
        <v>217350</v>
      </c>
      <c r="S76" s="9"/>
      <c r="T76" s="9"/>
      <c r="U76" s="9"/>
      <c r="V76" s="9"/>
      <c r="W76" s="9"/>
      <c r="X76" s="9"/>
      <c r="Y76" s="9"/>
      <c r="Z76" s="9"/>
      <c r="AA76" s="9"/>
      <c r="AB76" s="9"/>
      <c r="AC76" s="9"/>
      <c r="AD76" s="9"/>
      <c r="AE76" s="9"/>
      <c r="AF76" s="9"/>
      <c r="AG76" s="9"/>
      <c r="AH76" s="9"/>
      <c r="AJ76" s="9"/>
      <c r="AL76" s="9"/>
      <c r="AN76" s="9"/>
      <c r="AO76" s="9"/>
      <c r="AP76" s="9"/>
      <c r="AQ76" s="9"/>
      <c r="AR76" s="9"/>
      <c r="AS76" s="9"/>
      <c r="AT76" s="9"/>
      <c r="AU76" s="9"/>
      <c r="AV76" s="6"/>
      <c r="AW76" s="9"/>
      <c r="AX76" s="9"/>
      <c r="AY76" s="9"/>
      <c r="AZ76" s="6"/>
      <c r="BA76" s="9"/>
      <c r="BB76" s="9"/>
      <c r="BC76" s="9"/>
      <c r="BD76" s="9"/>
      <c r="BE76" s="9"/>
      <c r="BF76" s="9"/>
      <c r="BG76" s="9"/>
      <c r="BH76" s="9"/>
      <c r="BI76" s="9"/>
      <c r="BJ76" s="9"/>
      <c r="BK76" s="9"/>
      <c r="BL76" s="9"/>
      <c r="BM76" s="9"/>
      <c r="BN76" s="6">
        <f t="shared" si="18"/>
        <v>0</v>
      </c>
      <c r="BO76" s="9"/>
      <c r="BP76" s="6"/>
      <c r="BQ76" s="6"/>
      <c r="BR76" s="6">
        <f t="shared" si="19"/>
        <v>217350</v>
      </c>
      <c r="BS76" s="6"/>
      <c r="BT76" s="6">
        <f t="shared" si="20"/>
        <v>217350</v>
      </c>
      <c r="BU76" s="9"/>
      <c r="BV76" s="6">
        <f t="shared" si="21"/>
        <v>0</v>
      </c>
    </row>
    <row r="77" spans="2:74" s="21" customFormat="1">
      <c r="B77" s="238" t="s">
        <v>309</v>
      </c>
      <c r="J77" s="8"/>
      <c r="L77" s="143"/>
      <c r="M77" s="9"/>
      <c r="N77" s="9"/>
      <c r="O77" s="9"/>
      <c r="P77" s="9"/>
      <c r="Q77" s="9"/>
      <c r="R77" s="235">
        <v>199748</v>
      </c>
      <c r="S77" s="9"/>
      <c r="T77" s="9"/>
      <c r="U77" s="9"/>
      <c r="V77" s="9"/>
      <c r="W77" s="9"/>
      <c r="X77" s="9"/>
      <c r="Y77" s="9"/>
      <c r="Z77" s="9"/>
      <c r="AA77" s="9"/>
      <c r="AB77" s="9"/>
      <c r="AC77" s="9"/>
      <c r="AD77" s="9"/>
      <c r="AE77" s="9"/>
      <c r="AF77" s="9"/>
      <c r="AG77" s="9"/>
      <c r="AH77" s="9"/>
      <c r="AJ77" s="9"/>
      <c r="AL77" s="9"/>
      <c r="AN77" s="9"/>
      <c r="AO77" s="9"/>
      <c r="AP77" s="9"/>
      <c r="AQ77" s="9"/>
      <c r="AR77" s="9"/>
      <c r="AS77" s="9"/>
      <c r="AT77" s="9"/>
      <c r="AU77" s="9"/>
      <c r="AV77" s="6">
        <v>0</v>
      </c>
      <c r="AW77" s="9"/>
      <c r="AX77" s="9"/>
      <c r="AY77" s="9"/>
      <c r="AZ77" s="6">
        <v>9122</v>
      </c>
      <c r="BA77" s="9"/>
      <c r="BB77" s="9"/>
      <c r="BC77" s="9"/>
      <c r="BD77" s="9"/>
      <c r="BE77" s="9"/>
      <c r="BF77" s="9"/>
      <c r="BG77" s="9"/>
      <c r="BH77" s="9"/>
      <c r="BI77" s="9"/>
      <c r="BJ77" s="9"/>
      <c r="BK77" s="9"/>
      <c r="BL77" s="9"/>
      <c r="BM77" s="9"/>
      <c r="BN77" s="6">
        <f t="shared" si="18"/>
        <v>9122</v>
      </c>
      <c r="BO77" s="9"/>
      <c r="BP77" s="6">
        <f>200656-199748</f>
        <v>908</v>
      </c>
      <c r="BQ77" s="6"/>
      <c r="BR77" s="6">
        <f t="shared" si="19"/>
        <v>191534</v>
      </c>
      <c r="BS77" s="6"/>
      <c r="BT77" s="6">
        <f t="shared" si="20"/>
        <v>200656</v>
      </c>
      <c r="BU77" s="9"/>
      <c r="BV77" s="6">
        <f t="shared" si="21"/>
        <v>-908</v>
      </c>
    </row>
    <row r="78" spans="2:74" s="21" customFormat="1">
      <c r="B78" s="238" t="s">
        <v>310</v>
      </c>
      <c r="J78" s="8"/>
      <c r="L78" s="143"/>
      <c r="M78" s="9"/>
      <c r="N78" s="9"/>
      <c r="O78" s="9"/>
      <c r="P78" s="9"/>
      <c r="Q78" s="9"/>
      <c r="R78" s="235">
        <v>390000</v>
      </c>
      <c r="S78" s="9"/>
      <c r="T78" s="9"/>
      <c r="U78" s="9"/>
      <c r="V78" s="9"/>
      <c r="W78" s="9"/>
      <c r="X78" s="9"/>
      <c r="Y78" s="9"/>
      <c r="Z78" s="9"/>
      <c r="AA78" s="9"/>
      <c r="AB78" s="9"/>
      <c r="AC78" s="9"/>
      <c r="AD78" s="9"/>
      <c r="AE78" s="9"/>
      <c r="AF78" s="9"/>
      <c r="AG78" s="9"/>
      <c r="AH78" s="9"/>
      <c r="AJ78" s="9"/>
      <c r="AL78" s="9"/>
      <c r="AN78" s="9"/>
      <c r="AO78" s="9"/>
      <c r="AP78" s="9"/>
      <c r="AQ78" s="9"/>
      <c r="AR78" s="9"/>
      <c r="AS78" s="9"/>
      <c r="AT78" s="9"/>
      <c r="AU78" s="9"/>
      <c r="AV78" s="6">
        <v>11300</v>
      </c>
      <c r="AW78" s="9"/>
      <c r="AX78" s="9"/>
      <c r="AY78" s="9"/>
      <c r="AZ78" s="6">
        <f>184450-11300</f>
        <v>173150</v>
      </c>
      <c r="BA78" s="9"/>
      <c r="BB78" s="9"/>
      <c r="BC78" s="9"/>
      <c r="BD78" s="9"/>
      <c r="BE78" s="9"/>
      <c r="BF78" s="9"/>
      <c r="BG78" s="9"/>
      <c r="BH78" s="9"/>
      <c r="BI78" s="9"/>
      <c r="BJ78" s="9"/>
      <c r="BK78" s="9"/>
      <c r="BL78" s="9"/>
      <c r="BM78" s="9"/>
      <c r="BN78" s="6">
        <f t="shared" si="18"/>
        <v>184450</v>
      </c>
      <c r="BO78" s="9"/>
      <c r="BP78" s="6"/>
      <c r="BQ78" s="6"/>
      <c r="BR78" s="6">
        <f t="shared" si="19"/>
        <v>205550</v>
      </c>
      <c r="BS78" s="6"/>
      <c r="BT78" s="6">
        <f t="shared" si="20"/>
        <v>390000</v>
      </c>
      <c r="BU78" s="9"/>
      <c r="BV78" s="6">
        <f t="shared" si="21"/>
        <v>0</v>
      </c>
    </row>
    <row r="79" spans="2:74" s="21" customFormat="1">
      <c r="B79" s="238" t="s">
        <v>543</v>
      </c>
      <c r="J79" s="8"/>
      <c r="L79" s="143"/>
      <c r="M79" s="9"/>
      <c r="N79" s="9"/>
      <c r="O79" s="9"/>
      <c r="P79" s="9"/>
      <c r="Q79" s="9"/>
      <c r="R79" s="235">
        <v>290544</v>
      </c>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6">
        <v>958</v>
      </c>
      <c r="AW79" s="9"/>
      <c r="AX79" s="9"/>
      <c r="AY79" s="9"/>
      <c r="AZ79" s="6">
        <f>21684-958</f>
        <v>20726</v>
      </c>
      <c r="BA79" s="9"/>
      <c r="BB79" s="9"/>
      <c r="BC79" s="9"/>
      <c r="BD79" s="9"/>
      <c r="BE79" s="9"/>
      <c r="BF79" s="9"/>
      <c r="BG79" s="9"/>
      <c r="BH79" s="9"/>
      <c r="BI79" s="9"/>
      <c r="BJ79" s="9"/>
      <c r="BK79" s="9"/>
      <c r="BL79" s="9"/>
      <c r="BM79" s="9"/>
      <c r="BN79" s="6">
        <f t="shared" si="18"/>
        <v>21684</v>
      </c>
      <c r="BO79" s="9"/>
      <c r="BP79" s="6">
        <f>369817-290544</f>
        <v>79273</v>
      </c>
      <c r="BQ79" s="6"/>
      <c r="BR79" s="6">
        <f t="shared" si="19"/>
        <v>348133</v>
      </c>
      <c r="BS79" s="6"/>
      <c r="BT79" s="6">
        <f t="shared" si="20"/>
        <v>369817</v>
      </c>
      <c r="BU79" s="9"/>
      <c r="BV79" s="6">
        <f t="shared" si="21"/>
        <v>-79273</v>
      </c>
    </row>
    <row r="80" spans="2:74" s="21" customFormat="1">
      <c r="B80" s="238" t="s">
        <v>544</v>
      </c>
      <c r="J80" s="8"/>
      <c r="L80" s="143"/>
      <c r="M80" s="9"/>
      <c r="N80" s="9"/>
      <c r="O80" s="9"/>
      <c r="P80" s="9"/>
      <c r="Q80" s="9"/>
      <c r="R80" s="235">
        <v>1025638</v>
      </c>
      <c r="S80" s="9"/>
      <c r="T80" s="9"/>
      <c r="U80" s="9"/>
      <c r="V80" s="9"/>
      <c r="W80" s="9"/>
      <c r="X80" s="9"/>
      <c r="Y80" s="9"/>
      <c r="Z80" s="9"/>
      <c r="AA80" s="9"/>
      <c r="AB80" s="9"/>
      <c r="AC80" s="9"/>
      <c r="AD80" s="9"/>
      <c r="AE80" s="9"/>
      <c r="AF80" s="9"/>
      <c r="AG80" s="9"/>
      <c r="AH80" s="9"/>
      <c r="AJ80" s="9"/>
      <c r="AL80" s="9"/>
      <c r="AN80" s="9"/>
      <c r="AO80" s="9"/>
      <c r="AP80" s="9"/>
      <c r="AQ80" s="9"/>
      <c r="AR80" s="9"/>
      <c r="AS80" s="9"/>
      <c r="AT80" s="9"/>
      <c r="AU80" s="9"/>
      <c r="AV80" s="6"/>
      <c r="AW80" s="9"/>
      <c r="AX80" s="9"/>
      <c r="AY80" s="9"/>
      <c r="AZ80" s="6">
        <v>148038</v>
      </c>
      <c r="BA80" s="9"/>
      <c r="BB80" s="9"/>
      <c r="BC80" s="9"/>
      <c r="BD80" s="9"/>
      <c r="BE80" s="9"/>
      <c r="BF80" s="9"/>
      <c r="BG80" s="9"/>
      <c r="BH80" s="9"/>
      <c r="BI80" s="9"/>
      <c r="BJ80" s="9"/>
      <c r="BK80" s="9"/>
      <c r="BL80" s="9"/>
      <c r="BM80" s="9"/>
      <c r="BN80" s="6">
        <f t="shared" si="18"/>
        <v>148038</v>
      </c>
      <c r="BO80" s="9"/>
      <c r="BP80" s="6">
        <f>1887865-1025638</f>
        <v>862227</v>
      </c>
      <c r="BQ80" s="6"/>
      <c r="BR80" s="6">
        <f t="shared" si="19"/>
        <v>1739827</v>
      </c>
      <c r="BS80" s="6"/>
      <c r="BT80" s="6">
        <f t="shared" si="20"/>
        <v>1887865</v>
      </c>
      <c r="BU80" s="9"/>
      <c r="BV80" s="6">
        <f t="shared" si="21"/>
        <v>-862227</v>
      </c>
    </row>
    <row r="81" spans="2:74" s="21" customFormat="1">
      <c r="B81" s="238" t="s">
        <v>549</v>
      </c>
      <c r="J81" s="8"/>
      <c r="L81" s="143"/>
      <c r="M81" s="9"/>
      <c r="N81" s="9"/>
      <c r="O81" s="9"/>
      <c r="P81" s="9"/>
      <c r="Q81" s="9"/>
      <c r="R81" s="235">
        <v>347524</v>
      </c>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6"/>
      <c r="AW81" s="9"/>
      <c r="AX81" s="9"/>
      <c r="AY81" s="9"/>
      <c r="AZ81" s="6"/>
      <c r="BA81" s="9"/>
      <c r="BB81" s="9"/>
      <c r="BC81" s="9"/>
      <c r="BD81" s="9"/>
      <c r="BE81" s="9"/>
      <c r="BF81" s="9"/>
      <c r="BG81" s="9"/>
      <c r="BH81" s="9"/>
      <c r="BI81" s="9"/>
      <c r="BJ81" s="9"/>
      <c r="BK81" s="9"/>
      <c r="BL81" s="9"/>
      <c r="BM81" s="9"/>
      <c r="BN81" s="6">
        <f t="shared" si="18"/>
        <v>0</v>
      </c>
      <c r="BO81" s="9"/>
      <c r="BP81" s="6">
        <f>382731-347524</f>
        <v>35207</v>
      </c>
      <c r="BQ81" s="6"/>
      <c r="BR81" s="6">
        <f t="shared" si="19"/>
        <v>382731</v>
      </c>
      <c r="BS81" s="6"/>
      <c r="BT81" s="6">
        <f t="shared" si="20"/>
        <v>382731</v>
      </c>
      <c r="BU81" s="9"/>
      <c r="BV81" s="6">
        <f t="shared" si="21"/>
        <v>-35207</v>
      </c>
    </row>
    <row r="82" spans="2:74" s="21" customFormat="1">
      <c r="B82" s="238" t="s">
        <v>312</v>
      </c>
      <c r="J82" s="8"/>
      <c r="L82" s="143"/>
      <c r="M82" s="9"/>
      <c r="N82" s="9"/>
      <c r="O82" s="9"/>
      <c r="P82" s="9"/>
      <c r="Q82" s="9"/>
      <c r="R82" s="235">
        <f>405981+158966</f>
        <v>564947</v>
      </c>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6"/>
      <c r="AW82" s="9"/>
      <c r="AX82" s="9"/>
      <c r="AY82" s="9"/>
      <c r="AZ82" s="6">
        <v>0</v>
      </c>
      <c r="BA82" s="9"/>
      <c r="BB82" s="9"/>
      <c r="BC82" s="9"/>
      <c r="BD82" s="9"/>
      <c r="BE82" s="9"/>
      <c r="BF82" s="9"/>
      <c r="BG82" s="9"/>
      <c r="BH82" s="9"/>
      <c r="BI82" s="9"/>
      <c r="BJ82" s="9"/>
      <c r="BK82" s="9"/>
      <c r="BL82" s="9"/>
      <c r="BM82" s="9"/>
      <c r="BN82" s="6">
        <f t="shared" si="18"/>
        <v>0</v>
      </c>
      <c r="BO82" s="9"/>
      <c r="BP82" s="6">
        <v>0</v>
      </c>
      <c r="BQ82" s="6"/>
      <c r="BR82" s="6">
        <f t="shared" si="19"/>
        <v>564947</v>
      </c>
      <c r="BS82" s="6"/>
      <c r="BT82" s="6">
        <f t="shared" si="20"/>
        <v>564947</v>
      </c>
      <c r="BU82" s="9"/>
      <c r="BV82" s="6">
        <f t="shared" si="21"/>
        <v>0</v>
      </c>
    </row>
    <row r="83" spans="2:74" s="21" customFormat="1">
      <c r="B83" s="238" t="s">
        <v>548</v>
      </c>
      <c r="J83" s="8"/>
      <c r="L83" s="143"/>
      <c r="M83" s="9"/>
      <c r="N83" s="9"/>
      <c r="O83" s="9"/>
      <c r="P83" s="9"/>
      <c r="Q83" s="9"/>
      <c r="R83" s="235">
        <v>3436815</v>
      </c>
      <c r="S83" s="9"/>
      <c r="T83" s="9"/>
      <c r="U83" s="9"/>
      <c r="V83" s="9"/>
      <c r="W83" s="9"/>
      <c r="X83" s="9"/>
      <c r="Y83" s="9"/>
      <c r="Z83" s="9"/>
      <c r="AA83" s="9"/>
      <c r="AB83" s="9"/>
      <c r="AC83" s="9"/>
      <c r="AD83" s="9"/>
      <c r="AE83" s="9"/>
      <c r="AF83" s="9"/>
      <c r="AG83" s="9"/>
      <c r="AH83" s="9"/>
      <c r="AJ83" s="9"/>
      <c r="AL83" s="9"/>
      <c r="AN83" s="9"/>
      <c r="AO83" s="9"/>
      <c r="AP83" s="9"/>
      <c r="AQ83" s="9"/>
      <c r="AR83" s="9"/>
      <c r="AS83" s="9"/>
      <c r="AT83" s="9"/>
      <c r="AU83" s="9"/>
      <c r="AV83" s="6">
        <v>1953</v>
      </c>
      <c r="AW83" s="9"/>
      <c r="AX83" s="9"/>
      <c r="AY83" s="9"/>
      <c r="AZ83" s="6">
        <f>684606-1953</f>
        <v>682653</v>
      </c>
      <c r="BA83" s="9"/>
      <c r="BB83" s="9"/>
      <c r="BC83" s="9"/>
      <c r="BD83" s="9"/>
      <c r="BE83" s="9"/>
      <c r="BF83" s="9"/>
      <c r="BG83" s="9"/>
      <c r="BH83" s="9"/>
      <c r="BI83" s="9"/>
      <c r="BJ83" s="9"/>
      <c r="BK83" s="9"/>
      <c r="BL83" s="9"/>
      <c r="BM83" s="9"/>
      <c r="BN83" s="6">
        <f t="shared" si="18"/>
        <v>684606</v>
      </c>
      <c r="BO83" s="9"/>
      <c r="BP83" s="6">
        <f>4361334-3436815</f>
        <v>924519</v>
      </c>
      <c r="BQ83" s="6"/>
      <c r="BR83" s="6">
        <f t="shared" si="19"/>
        <v>3676728</v>
      </c>
      <c r="BS83" s="6"/>
      <c r="BT83" s="6">
        <f t="shared" si="20"/>
        <v>4361334</v>
      </c>
      <c r="BU83" s="9"/>
      <c r="BV83" s="6">
        <f t="shared" si="21"/>
        <v>-924519</v>
      </c>
    </row>
    <row r="84" spans="2:74" s="21" customFormat="1">
      <c r="B84" s="238" t="s">
        <v>550</v>
      </c>
      <c r="J84" s="8"/>
      <c r="L84" s="143"/>
      <c r="M84" s="9"/>
      <c r="N84" s="9"/>
      <c r="O84" s="9"/>
      <c r="P84" s="9"/>
      <c r="Q84" s="9"/>
      <c r="R84" s="235">
        <v>582144</v>
      </c>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6"/>
      <c r="AW84" s="9"/>
      <c r="AX84" s="9"/>
      <c r="AY84" s="9"/>
      <c r="AZ84" s="6">
        <v>72428</v>
      </c>
      <c r="BA84" s="9"/>
      <c r="BB84" s="9"/>
      <c r="BC84" s="9"/>
      <c r="BD84" s="9"/>
      <c r="BE84" s="9"/>
      <c r="BF84" s="9"/>
      <c r="BG84" s="9"/>
      <c r="BH84" s="9"/>
      <c r="BI84" s="9"/>
      <c r="BJ84" s="9"/>
      <c r="BK84" s="9"/>
      <c r="BL84" s="9"/>
      <c r="BM84" s="9"/>
      <c r="BN84" s="6">
        <f t="shared" si="18"/>
        <v>72428</v>
      </c>
      <c r="BO84" s="9"/>
      <c r="BP84" s="6">
        <f>836221-582144</f>
        <v>254077</v>
      </c>
      <c r="BQ84" s="6"/>
      <c r="BR84" s="6">
        <f t="shared" si="19"/>
        <v>763793</v>
      </c>
      <c r="BS84" s="6"/>
      <c r="BT84" s="6">
        <f t="shared" si="20"/>
        <v>836221</v>
      </c>
      <c r="BU84" s="9"/>
      <c r="BV84" s="6">
        <f t="shared" si="21"/>
        <v>-254077</v>
      </c>
    </row>
    <row r="85" spans="2:74" s="21" customFormat="1">
      <c r="B85" s="239"/>
      <c r="J85" s="8"/>
      <c r="L85" s="143"/>
      <c r="M85" s="9"/>
      <c r="N85" s="9"/>
      <c r="O85" s="9"/>
      <c r="P85" s="9"/>
      <c r="Q85" s="9"/>
      <c r="R85" s="9"/>
      <c r="S85" s="9"/>
      <c r="T85" s="9"/>
      <c r="U85" s="9"/>
      <c r="V85" s="9"/>
      <c r="W85" s="9"/>
      <c r="X85" s="9"/>
      <c r="Y85" s="9"/>
      <c r="Z85" s="9"/>
      <c r="AA85" s="9"/>
      <c r="AB85" s="9"/>
      <c r="AC85" s="9"/>
      <c r="AD85" s="9"/>
      <c r="AE85" s="9"/>
      <c r="AF85" s="9"/>
      <c r="AG85" s="9"/>
      <c r="AH85" s="9"/>
      <c r="AJ85" s="9"/>
      <c r="AL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6">
        <f t="shared" si="19"/>
        <v>0</v>
      </c>
      <c r="BS85" s="6"/>
      <c r="BT85" s="6">
        <f t="shared" si="20"/>
        <v>0</v>
      </c>
      <c r="BU85" s="9"/>
      <c r="BV85" s="6">
        <f t="shared" si="21"/>
        <v>0</v>
      </c>
    </row>
    <row r="86" spans="2:74" s="21" customFormat="1">
      <c r="B86" s="236" t="s">
        <v>315</v>
      </c>
      <c r="J86" s="8"/>
      <c r="L86" s="143"/>
      <c r="M86" s="9"/>
      <c r="N86" s="9"/>
      <c r="O86" s="9"/>
      <c r="P86" s="9"/>
      <c r="Q86" s="9"/>
      <c r="R86" s="9">
        <f t="shared" ref="R86:AH86" si="22">SUM(R66:R85)</f>
        <v>12449673</v>
      </c>
      <c r="S86" s="9">
        <f t="shared" si="22"/>
        <v>0</v>
      </c>
      <c r="T86" s="9">
        <f t="shared" si="22"/>
        <v>0</v>
      </c>
      <c r="U86" s="9">
        <f t="shared" si="22"/>
        <v>0</v>
      </c>
      <c r="V86" s="9">
        <f t="shared" si="22"/>
        <v>0</v>
      </c>
      <c r="W86" s="9">
        <f t="shared" si="22"/>
        <v>0</v>
      </c>
      <c r="X86" s="9">
        <f t="shared" si="22"/>
        <v>0</v>
      </c>
      <c r="Y86" s="9">
        <f t="shared" si="22"/>
        <v>0</v>
      </c>
      <c r="Z86" s="9">
        <f t="shared" si="22"/>
        <v>0</v>
      </c>
      <c r="AA86" s="9">
        <f t="shared" si="22"/>
        <v>0</v>
      </c>
      <c r="AB86" s="9">
        <f t="shared" si="22"/>
        <v>0</v>
      </c>
      <c r="AC86" s="9">
        <f t="shared" si="22"/>
        <v>0</v>
      </c>
      <c r="AD86" s="9">
        <f t="shared" si="22"/>
        <v>0</v>
      </c>
      <c r="AE86" s="9">
        <f t="shared" si="22"/>
        <v>0</v>
      </c>
      <c r="AF86" s="9">
        <f t="shared" si="22"/>
        <v>0</v>
      </c>
      <c r="AG86" s="9">
        <f t="shared" si="22"/>
        <v>0</v>
      </c>
      <c r="AH86" s="9">
        <f t="shared" si="22"/>
        <v>0</v>
      </c>
      <c r="AI86" s="9"/>
      <c r="AJ86" s="9">
        <f>SUM(AJ66:AJ85)</f>
        <v>0</v>
      </c>
      <c r="AK86" s="9"/>
      <c r="AL86" s="9">
        <f>SUM(AL66:AL85)</f>
        <v>0</v>
      </c>
      <c r="AM86" s="9"/>
      <c r="AN86" s="9">
        <f>SUM(AN66:AN85)</f>
        <v>0</v>
      </c>
      <c r="AO86" s="9"/>
      <c r="AP86" s="9">
        <f>SUM(AP66:AP85)</f>
        <v>0</v>
      </c>
      <c r="AQ86" s="9"/>
      <c r="AR86" s="9">
        <f t="shared" ref="AR86:BU86" si="23">SUM(AR66:AR85)</f>
        <v>204588</v>
      </c>
      <c r="AS86" s="9">
        <f t="shared" si="23"/>
        <v>0</v>
      </c>
      <c r="AT86" s="9">
        <f t="shared" si="23"/>
        <v>0</v>
      </c>
      <c r="AU86" s="9">
        <f t="shared" si="23"/>
        <v>0</v>
      </c>
      <c r="AV86" s="9">
        <f t="shared" si="23"/>
        <v>2792896</v>
      </c>
      <c r="AW86" s="9">
        <f t="shared" si="23"/>
        <v>0</v>
      </c>
      <c r="AX86" s="9">
        <f t="shared" si="23"/>
        <v>0</v>
      </c>
      <c r="AY86" s="9">
        <f t="shared" si="23"/>
        <v>0</v>
      </c>
      <c r="AZ86" s="9">
        <f t="shared" si="23"/>
        <v>4875123</v>
      </c>
      <c r="BA86" s="9">
        <f t="shared" si="23"/>
        <v>0</v>
      </c>
      <c r="BB86" s="9">
        <f t="shared" si="23"/>
        <v>0</v>
      </c>
      <c r="BC86" s="9">
        <f t="shared" si="23"/>
        <v>0</v>
      </c>
      <c r="BD86" s="9">
        <f t="shared" si="23"/>
        <v>0</v>
      </c>
      <c r="BE86" s="9">
        <f t="shared" si="23"/>
        <v>0</v>
      </c>
      <c r="BF86" s="9">
        <f t="shared" si="23"/>
        <v>0</v>
      </c>
      <c r="BG86" s="9">
        <f t="shared" si="23"/>
        <v>0</v>
      </c>
      <c r="BH86" s="9">
        <f t="shared" si="23"/>
        <v>0</v>
      </c>
      <c r="BI86" s="9">
        <f t="shared" si="23"/>
        <v>0</v>
      </c>
      <c r="BJ86" s="9">
        <f t="shared" si="23"/>
        <v>0</v>
      </c>
      <c r="BK86" s="9">
        <f t="shared" si="23"/>
        <v>0</v>
      </c>
      <c r="BL86" s="9">
        <f t="shared" si="23"/>
        <v>0</v>
      </c>
      <c r="BM86" s="9">
        <f t="shared" si="23"/>
        <v>0</v>
      </c>
      <c r="BN86" s="9">
        <f t="shared" si="23"/>
        <v>7872607</v>
      </c>
      <c r="BO86" s="9">
        <f t="shared" si="23"/>
        <v>0</v>
      </c>
      <c r="BP86" s="9">
        <f t="shared" si="23"/>
        <v>2884119</v>
      </c>
      <c r="BQ86" s="9">
        <f t="shared" si="23"/>
        <v>0</v>
      </c>
      <c r="BR86" s="9">
        <f t="shared" si="23"/>
        <v>8688561</v>
      </c>
      <c r="BS86" s="9">
        <f t="shared" si="23"/>
        <v>0</v>
      </c>
      <c r="BT86" s="9">
        <f t="shared" si="23"/>
        <v>16561168</v>
      </c>
      <c r="BU86" s="9">
        <f t="shared" si="23"/>
        <v>0</v>
      </c>
      <c r="BV86" s="9">
        <f>+R86-BT86</f>
        <v>-4111495</v>
      </c>
    </row>
    <row r="87" spans="2:74" s="21" customFormat="1">
      <c r="B87" s="236"/>
      <c r="J87" s="8"/>
      <c r="L87" s="143"/>
      <c r="M87" s="9"/>
      <c r="N87" s="9"/>
      <c r="O87" s="9"/>
      <c r="P87" s="9"/>
      <c r="Q87" s="9"/>
      <c r="R87" s="9"/>
      <c r="S87" s="9"/>
      <c r="T87" s="9"/>
      <c r="U87" s="9"/>
      <c r="V87" s="9"/>
      <c r="W87" s="9"/>
      <c r="X87" s="9"/>
      <c r="Y87" s="9"/>
      <c r="Z87" s="9"/>
      <c r="AA87" s="9"/>
      <c r="AB87" s="9"/>
      <c r="AC87" s="9"/>
      <c r="AD87" s="9"/>
      <c r="AE87" s="9"/>
      <c r="AF87" s="9"/>
      <c r="AG87" s="9"/>
      <c r="AH87" s="9"/>
      <c r="AJ87" s="9"/>
      <c r="AL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row>
    <row r="88" spans="2:74" s="21" customFormat="1">
      <c r="B88" s="241" t="s">
        <v>317</v>
      </c>
      <c r="J88" s="8"/>
      <c r="L88" s="143"/>
      <c r="M88" s="9"/>
      <c r="N88" s="9"/>
      <c r="O88" s="9"/>
      <c r="P88" s="9"/>
      <c r="Q88" s="9"/>
      <c r="R88" s="9"/>
      <c r="S88" s="9"/>
      <c r="T88" s="9"/>
      <c r="U88" s="9"/>
      <c r="V88" s="9"/>
      <c r="W88" s="9"/>
      <c r="X88" s="9"/>
      <c r="Y88" s="9"/>
      <c r="Z88" s="9"/>
      <c r="AA88" s="9"/>
      <c r="AB88" s="9"/>
      <c r="AC88" s="9"/>
      <c r="AD88" s="9"/>
      <c r="AE88" s="9"/>
      <c r="AF88" s="9"/>
      <c r="AG88" s="9"/>
      <c r="AH88" s="9"/>
      <c r="AJ88" s="9"/>
      <c r="AL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2:74" s="21" customFormat="1">
      <c r="B89" s="240" t="s">
        <v>67</v>
      </c>
      <c r="J89" s="8"/>
      <c r="L89" s="143"/>
      <c r="M89" s="9"/>
      <c r="N89" s="9"/>
      <c r="O89" s="9"/>
      <c r="P89" s="9"/>
      <c r="Q89" s="9"/>
      <c r="R89" s="235">
        <v>9230000</v>
      </c>
      <c r="S89" s="9"/>
      <c r="T89" s="9"/>
      <c r="U89" s="9"/>
      <c r="V89" s="9"/>
      <c r="W89" s="9"/>
      <c r="X89" s="9"/>
      <c r="Y89" s="9"/>
      <c r="Z89" s="9"/>
      <c r="AA89" s="9"/>
      <c r="AB89" s="9"/>
      <c r="AC89" s="9"/>
      <c r="AD89" s="9"/>
      <c r="AE89" s="9"/>
      <c r="AF89" s="9"/>
      <c r="AG89" s="9"/>
      <c r="AH89" s="9"/>
      <c r="AJ89" s="9"/>
      <c r="AL89" s="9"/>
      <c r="AN89" s="9"/>
      <c r="AO89" s="9"/>
      <c r="AP89" s="9"/>
      <c r="AQ89" s="9"/>
      <c r="AR89" s="9"/>
      <c r="AS89" s="9"/>
      <c r="AT89" s="9"/>
      <c r="AU89" s="9"/>
      <c r="AV89" s="6">
        <v>848349</v>
      </c>
      <c r="AW89" s="9"/>
      <c r="AX89" s="9"/>
      <c r="AY89" s="9"/>
      <c r="AZ89" s="6">
        <f>8708878-848349</f>
        <v>7860529</v>
      </c>
      <c r="BA89" s="9"/>
      <c r="BB89" s="9"/>
      <c r="BC89" s="9"/>
      <c r="BD89" s="9"/>
      <c r="BE89" s="9"/>
      <c r="BF89" s="9"/>
      <c r="BG89" s="9"/>
      <c r="BH89" s="9"/>
      <c r="BI89" s="9"/>
      <c r="BJ89" s="9"/>
      <c r="BK89" s="9"/>
      <c r="BL89" s="9"/>
      <c r="BM89" s="9"/>
      <c r="BN89" s="6">
        <f>SUM(T89:BM89)</f>
        <v>8708878</v>
      </c>
      <c r="BO89" s="9"/>
      <c r="BP89" s="6">
        <f>12136758-9230000</f>
        <v>2906758</v>
      </c>
      <c r="BQ89" s="6"/>
      <c r="BR89" s="6">
        <f>IF(+R89-BN89+BP89&gt;0,R89-BN89+BP89,0)</f>
        <v>3427880</v>
      </c>
      <c r="BS89" s="6"/>
      <c r="BT89" s="6">
        <f>+BN89+BR89</f>
        <v>12136758</v>
      </c>
      <c r="BU89" s="9"/>
      <c r="BV89" s="6">
        <f>+R89-BT89</f>
        <v>-2906758</v>
      </c>
    </row>
    <row r="90" spans="2:74" s="21" customFormat="1">
      <c r="B90" s="233"/>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2:74" s="21" customFormat="1">
      <c r="B91" s="234" t="s">
        <v>316</v>
      </c>
      <c r="J91" s="8"/>
      <c r="L91" s="143"/>
      <c r="M91" s="9"/>
      <c r="N91" s="9"/>
      <c r="O91" s="9"/>
      <c r="P91" s="9"/>
      <c r="Q91" s="9"/>
      <c r="R91" s="9">
        <f t="shared" ref="R91:AH91" si="24">SUM(R89:R90)</f>
        <v>9230000</v>
      </c>
      <c r="S91" s="9">
        <f t="shared" si="24"/>
        <v>0</v>
      </c>
      <c r="T91" s="9">
        <f t="shared" si="24"/>
        <v>0</v>
      </c>
      <c r="U91" s="9">
        <f t="shared" si="24"/>
        <v>0</v>
      </c>
      <c r="V91" s="9">
        <f t="shared" si="24"/>
        <v>0</v>
      </c>
      <c r="W91" s="9">
        <f t="shared" si="24"/>
        <v>0</v>
      </c>
      <c r="X91" s="9">
        <f t="shared" si="24"/>
        <v>0</v>
      </c>
      <c r="Y91" s="9">
        <f t="shared" si="24"/>
        <v>0</v>
      </c>
      <c r="Z91" s="9">
        <f t="shared" si="24"/>
        <v>0</v>
      </c>
      <c r="AA91" s="9">
        <f t="shared" si="24"/>
        <v>0</v>
      </c>
      <c r="AB91" s="9">
        <f t="shared" si="24"/>
        <v>0</v>
      </c>
      <c r="AC91" s="9">
        <f t="shared" si="24"/>
        <v>0</v>
      </c>
      <c r="AD91" s="9">
        <f t="shared" si="24"/>
        <v>0</v>
      </c>
      <c r="AE91" s="9">
        <f t="shared" si="24"/>
        <v>0</v>
      </c>
      <c r="AF91" s="9">
        <f t="shared" si="24"/>
        <v>0</v>
      </c>
      <c r="AG91" s="9">
        <f t="shared" si="24"/>
        <v>0</v>
      </c>
      <c r="AH91" s="9">
        <f t="shared" si="24"/>
        <v>0</v>
      </c>
      <c r="AI91" s="9"/>
      <c r="AJ91" s="9">
        <f>SUM(AJ89:AJ90)</f>
        <v>0</v>
      </c>
      <c r="AK91" s="9"/>
      <c r="AL91" s="9">
        <f>SUM(AL89:AL90)</f>
        <v>0</v>
      </c>
      <c r="AM91" s="9"/>
      <c r="AN91" s="9">
        <f>SUM(AN89:AN90)</f>
        <v>0</v>
      </c>
      <c r="AO91" s="9"/>
      <c r="AP91" s="9">
        <f>SUM(AP89:AP90)</f>
        <v>0</v>
      </c>
      <c r="AQ91" s="9"/>
      <c r="AR91" s="9">
        <f t="shared" ref="AR91:BT91" si="25">SUM(AR89:AR90)</f>
        <v>0</v>
      </c>
      <c r="AS91" s="9">
        <f t="shared" si="25"/>
        <v>0</v>
      </c>
      <c r="AT91" s="9">
        <f t="shared" si="25"/>
        <v>0</v>
      </c>
      <c r="AU91" s="9">
        <f t="shared" si="25"/>
        <v>0</v>
      </c>
      <c r="AV91" s="9">
        <f t="shared" si="25"/>
        <v>848349</v>
      </c>
      <c r="AW91" s="9">
        <f t="shared" si="25"/>
        <v>0</v>
      </c>
      <c r="AX91" s="9">
        <f t="shared" si="25"/>
        <v>0</v>
      </c>
      <c r="AY91" s="9">
        <f t="shared" si="25"/>
        <v>0</v>
      </c>
      <c r="AZ91" s="9">
        <f t="shared" si="25"/>
        <v>7860529</v>
      </c>
      <c r="BA91" s="9">
        <f t="shared" si="25"/>
        <v>0</v>
      </c>
      <c r="BB91" s="9">
        <f t="shared" si="25"/>
        <v>0</v>
      </c>
      <c r="BC91" s="9">
        <f t="shared" si="25"/>
        <v>0</v>
      </c>
      <c r="BD91" s="9">
        <f t="shared" si="25"/>
        <v>0</v>
      </c>
      <c r="BE91" s="9">
        <f t="shared" si="25"/>
        <v>0</v>
      </c>
      <c r="BF91" s="9">
        <f t="shared" si="25"/>
        <v>0</v>
      </c>
      <c r="BG91" s="9">
        <f t="shared" si="25"/>
        <v>0</v>
      </c>
      <c r="BH91" s="9">
        <f t="shared" si="25"/>
        <v>0</v>
      </c>
      <c r="BI91" s="9">
        <f t="shared" si="25"/>
        <v>0</v>
      </c>
      <c r="BJ91" s="9">
        <f t="shared" si="25"/>
        <v>0</v>
      </c>
      <c r="BK91" s="9">
        <f t="shared" si="25"/>
        <v>0</v>
      </c>
      <c r="BL91" s="9">
        <f t="shared" si="25"/>
        <v>0</v>
      </c>
      <c r="BM91" s="9">
        <f t="shared" si="25"/>
        <v>0</v>
      </c>
      <c r="BN91" s="9">
        <f t="shared" si="25"/>
        <v>8708878</v>
      </c>
      <c r="BO91" s="9">
        <f t="shared" si="25"/>
        <v>0</v>
      </c>
      <c r="BP91" s="9">
        <f t="shared" si="25"/>
        <v>2906758</v>
      </c>
      <c r="BQ91" s="9">
        <f t="shared" si="25"/>
        <v>0</v>
      </c>
      <c r="BR91" s="9">
        <f t="shared" si="25"/>
        <v>3427880</v>
      </c>
      <c r="BS91" s="9">
        <f t="shared" si="25"/>
        <v>0</v>
      </c>
      <c r="BT91" s="9">
        <f t="shared" si="25"/>
        <v>12136758</v>
      </c>
      <c r="BU91" s="9"/>
      <c r="BV91" s="9">
        <f>+R91-BT91</f>
        <v>-2906758</v>
      </c>
    </row>
    <row r="92" spans="2:74" s="21" customFormat="1">
      <c r="B92" s="234"/>
      <c r="J92" s="8"/>
      <c r="L92" s="143"/>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row>
    <row r="93" spans="2:74" s="21" customFormat="1">
      <c r="B93" s="241" t="s">
        <v>489</v>
      </c>
      <c r="J93" s="8"/>
      <c r="L93" s="143"/>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6">
        <f>SUM(T93:BM93)</f>
        <v>0</v>
      </c>
      <c r="BO93" s="9"/>
      <c r="BP93" s="9"/>
      <c r="BQ93" s="9"/>
      <c r="BR93" s="6">
        <v>-3387761</v>
      </c>
      <c r="BS93" s="9"/>
      <c r="BT93" s="6">
        <v>-3387761</v>
      </c>
      <c r="BU93" s="9"/>
      <c r="BV93" s="6">
        <f>+R93-BT93</f>
        <v>3387761</v>
      </c>
    </row>
    <row r="94" spans="2:74" s="21" customFormat="1">
      <c r="B94" s="234"/>
      <c r="J94" s="8"/>
      <c r="L94" s="143"/>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6"/>
    </row>
    <row r="95" spans="2:74" s="21" customFormat="1">
      <c r="B95" s="241" t="s">
        <v>318</v>
      </c>
      <c r="J95" s="8"/>
      <c r="L95" s="143"/>
      <c r="M95" s="9"/>
      <c r="N95" s="9"/>
      <c r="O95" s="9"/>
      <c r="P95" s="9"/>
      <c r="Q95" s="9"/>
      <c r="R95" s="9">
        <v>0</v>
      </c>
      <c r="S95" s="9"/>
      <c r="T95" s="9"/>
      <c r="U95" s="9"/>
      <c r="V95" s="9"/>
      <c r="W95" s="9"/>
      <c r="X95" s="9"/>
      <c r="Y95" s="9"/>
      <c r="Z95" s="9"/>
      <c r="AA95" s="9"/>
      <c r="AB95" s="9"/>
      <c r="AC95" s="9"/>
      <c r="AD95" s="9"/>
      <c r="AE95" s="9"/>
      <c r="AF95" s="9"/>
      <c r="AG95" s="9"/>
      <c r="AH95" s="9"/>
      <c r="AI95" s="9"/>
      <c r="AJ95" s="9"/>
      <c r="AK95" s="9"/>
      <c r="AL95" s="9"/>
      <c r="AM95" s="9"/>
      <c r="AN95" s="9"/>
      <c r="AO95" s="9"/>
      <c r="AP95" s="9"/>
      <c r="AQ95" s="9"/>
      <c r="AR95" s="9">
        <f>6054031.56-709427</f>
        <v>5344604.5599999996</v>
      </c>
      <c r="AS95" s="9"/>
      <c r="AT95" s="9"/>
      <c r="AU95" s="9"/>
      <c r="AV95" s="6">
        <f>-5344605+5295206-291068</f>
        <v>-340467</v>
      </c>
      <c r="AW95" s="9"/>
      <c r="AX95" s="9">
        <v>6512226</v>
      </c>
      <c r="AY95" s="9"/>
      <c r="AZ95" s="9">
        <v>-9645865</v>
      </c>
      <c r="BA95" s="9"/>
      <c r="BB95" s="9">
        <v>7581129</v>
      </c>
      <c r="BC95" s="9"/>
      <c r="BD95" s="9"/>
      <c r="BE95" s="9"/>
      <c r="BF95" s="9"/>
      <c r="BG95" s="9"/>
      <c r="BH95" s="9"/>
      <c r="BI95" s="9"/>
      <c r="BJ95" s="9"/>
      <c r="BK95" s="9"/>
      <c r="BL95" s="9"/>
      <c r="BM95" s="9"/>
      <c r="BN95" s="6">
        <f>SUM(T95:BM95)</f>
        <v>9451627.5599999987</v>
      </c>
      <c r="BO95" s="9"/>
      <c r="BP95" s="9"/>
      <c r="BQ95" s="9"/>
      <c r="BR95" s="9">
        <v>-9451628</v>
      </c>
      <c r="BS95" s="9"/>
      <c r="BT95" s="6">
        <f>+BN95+BR95</f>
        <v>-0.44000000134110451</v>
      </c>
      <c r="BU95" s="9"/>
      <c r="BV95" s="6">
        <f>+R95-BT95</f>
        <v>0.44000000134110451</v>
      </c>
    </row>
    <row r="96" spans="2:74" s="21" customFormat="1">
      <c r="B96" s="236"/>
      <c r="J96" s="8"/>
      <c r="L96" s="143"/>
      <c r="M96" s="9"/>
      <c r="N96" s="9"/>
      <c r="O96" s="9"/>
      <c r="P96" s="9"/>
      <c r="Q96" s="9"/>
      <c r="R96" s="9"/>
      <c r="S96" s="9"/>
      <c r="T96" s="9"/>
      <c r="U96" s="9"/>
      <c r="V96" s="9"/>
      <c r="W96" s="9"/>
      <c r="X96" s="9"/>
      <c r="Y96" s="9"/>
      <c r="Z96" s="9"/>
      <c r="AA96" s="9"/>
      <c r="AB96" s="9"/>
      <c r="AC96" s="9"/>
      <c r="AD96" s="9"/>
      <c r="AE96" s="9"/>
      <c r="AF96" s="9"/>
      <c r="AG96" s="9"/>
      <c r="AH96" s="9"/>
      <c r="AJ96" s="9"/>
      <c r="AL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row>
    <row r="97" spans="1:75" s="105" customFormat="1">
      <c r="A97" s="242"/>
      <c r="B97" s="243" t="s">
        <v>243</v>
      </c>
      <c r="J97" s="158"/>
      <c r="L97" s="144"/>
      <c r="M97" s="13"/>
      <c r="N97" s="244">
        <f>SUM(N41:N96)</f>
        <v>0</v>
      </c>
      <c r="O97" s="13"/>
      <c r="P97" s="244">
        <f>SUM(P41:P96)</f>
        <v>0</v>
      </c>
      <c r="Q97" s="13"/>
      <c r="R97" s="244">
        <f t="shared" ref="R97:AH97" si="26">R91+R86+R63+R54+R95</f>
        <v>41741400</v>
      </c>
      <c r="S97" s="244">
        <f t="shared" si="26"/>
        <v>0</v>
      </c>
      <c r="T97" s="244">
        <f t="shared" si="26"/>
        <v>0</v>
      </c>
      <c r="U97" s="244">
        <f t="shared" si="26"/>
        <v>0</v>
      </c>
      <c r="V97" s="244">
        <f t="shared" si="26"/>
        <v>0</v>
      </c>
      <c r="W97" s="244">
        <f t="shared" si="26"/>
        <v>0</v>
      </c>
      <c r="X97" s="244">
        <f t="shared" si="26"/>
        <v>0</v>
      </c>
      <c r="Y97" s="244">
        <f t="shared" si="26"/>
        <v>0</v>
      </c>
      <c r="Z97" s="244">
        <f t="shared" si="26"/>
        <v>0</v>
      </c>
      <c r="AA97" s="244">
        <f t="shared" si="26"/>
        <v>0</v>
      </c>
      <c r="AB97" s="244">
        <f t="shared" si="26"/>
        <v>0</v>
      </c>
      <c r="AC97" s="244">
        <f t="shared" si="26"/>
        <v>0</v>
      </c>
      <c r="AD97" s="244">
        <f t="shared" si="26"/>
        <v>0</v>
      </c>
      <c r="AE97" s="244">
        <f t="shared" si="26"/>
        <v>0</v>
      </c>
      <c r="AF97" s="244">
        <f t="shared" si="26"/>
        <v>0</v>
      </c>
      <c r="AG97" s="244">
        <f t="shared" si="26"/>
        <v>0</v>
      </c>
      <c r="AH97" s="244">
        <f t="shared" si="26"/>
        <v>0</v>
      </c>
      <c r="AI97" s="244"/>
      <c r="AJ97" s="244">
        <f>AJ91+AJ86+AJ63+AJ54+AJ95</f>
        <v>0</v>
      </c>
      <c r="AK97" s="244"/>
      <c r="AL97" s="244">
        <f>AL91+AL86+AL63+AL54+AL95</f>
        <v>0</v>
      </c>
      <c r="AM97" s="244"/>
      <c r="AN97" s="244">
        <f>AN91+AN86+AN63+AN54+AN95</f>
        <v>0</v>
      </c>
      <c r="AO97" s="244"/>
      <c r="AP97" s="244">
        <f>AP91+AP86+AP63+AP54+AP95</f>
        <v>0</v>
      </c>
      <c r="AQ97" s="244"/>
      <c r="AR97" s="244">
        <f>AR91+AR86+AR63+AR54+AR95</f>
        <v>6054031.5599999996</v>
      </c>
      <c r="AS97" s="244">
        <f>AS91+AS86+AS63+AS54+AS95</f>
        <v>0</v>
      </c>
      <c r="AT97" s="244">
        <f>AT91+AT86+AT63+AT54+AT95</f>
        <v>0</v>
      </c>
      <c r="AU97" s="244">
        <f>AU91+AU86+AU63+AU54+AU95</f>
        <v>0</v>
      </c>
      <c r="AV97" s="244">
        <f t="shared" ref="AV97:BW97" si="27">AV91+AV86+AV63+AV54+AV95+AV93</f>
        <v>5295206</v>
      </c>
      <c r="AW97" s="244">
        <f t="shared" si="27"/>
        <v>0</v>
      </c>
      <c r="AX97" s="244">
        <f t="shared" si="27"/>
        <v>6512226</v>
      </c>
      <c r="AY97" s="244">
        <f t="shared" si="27"/>
        <v>0</v>
      </c>
      <c r="AZ97" s="244">
        <f t="shared" si="27"/>
        <v>8178457</v>
      </c>
      <c r="BA97" s="244">
        <f t="shared" si="27"/>
        <v>0</v>
      </c>
      <c r="BB97" s="244">
        <f t="shared" si="27"/>
        <v>7581129</v>
      </c>
      <c r="BC97" s="244">
        <f t="shared" si="27"/>
        <v>0</v>
      </c>
      <c r="BD97" s="244">
        <f t="shared" si="27"/>
        <v>0</v>
      </c>
      <c r="BE97" s="244">
        <f t="shared" si="27"/>
        <v>0</v>
      </c>
      <c r="BF97" s="244">
        <f t="shared" si="27"/>
        <v>0</v>
      </c>
      <c r="BG97" s="244">
        <f t="shared" si="27"/>
        <v>0</v>
      </c>
      <c r="BH97" s="244">
        <f t="shared" si="27"/>
        <v>0</v>
      </c>
      <c r="BI97" s="244">
        <f t="shared" si="27"/>
        <v>0</v>
      </c>
      <c r="BJ97" s="244">
        <f t="shared" si="27"/>
        <v>0</v>
      </c>
      <c r="BK97" s="244">
        <f t="shared" si="27"/>
        <v>0</v>
      </c>
      <c r="BL97" s="244">
        <f t="shared" si="27"/>
        <v>0</v>
      </c>
      <c r="BM97" s="244">
        <f t="shared" si="27"/>
        <v>0</v>
      </c>
      <c r="BN97" s="244">
        <f t="shared" si="27"/>
        <v>33621049.560000002</v>
      </c>
      <c r="BO97" s="244">
        <f t="shared" si="27"/>
        <v>0</v>
      </c>
      <c r="BP97" s="244">
        <f t="shared" si="27"/>
        <v>6991112</v>
      </c>
      <c r="BQ97" s="244">
        <f t="shared" si="27"/>
        <v>0</v>
      </c>
      <c r="BR97" s="244">
        <f t="shared" si="27"/>
        <v>16394648</v>
      </c>
      <c r="BS97" s="244">
        <f t="shared" si="27"/>
        <v>0</v>
      </c>
      <c r="BT97" s="244">
        <f t="shared" si="27"/>
        <v>46708906.560000002</v>
      </c>
      <c r="BU97" s="244">
        <f t="shared" si="27"/>
        <v>0</v>
      </c>
      <c r="BV97" s="244">
        <f t="shared" si="27"/>
        <v>-4967506.5599999987</v>
      </c>
      <c r="BW97" s="244">
        <f t="shared" si="27"/>
        <v>0</v>
      </c>
    </row>
    <row r="98" spans="1:75">
      <c r="A98" s="57"/>
      <c r="B98" s="17"/>
      <c r="C98"/>
      <c r="D98"/>
      <c r="E98"/>
      <c r="F98"/>
      <c r="G98"/>
      <c r="H98"/>
      <c r="I98"/>
      <c r="J98" s="49"/>
      <c r="K98"/>
      <c r="L98" s="134"/>
      <c r="M98" s="6"/>
      <c r="O98" s="6"/>
      <c r="Q98" s="6"/>
      <c r="S98" s="6"/>
      <c r="T98" s="6"/>
      <c r="U98" s="6"/>
      <c r="V98" s="6"/>
      <c r="X98" s="6"/>
      <c r="Z98" s="6"/>
      <c r="AB98" s="6"/>
      <c r="AD98" s="6"/>
      <c r="BL98" s="6"/>
      <c r="BM98" s="6"/>
      <c r="BO98" s="6"/>
      <c r="BP98" s="6"/>
      <c r="BQ98" s="6"/>
      <c r="BW98" s="6"/>
    </row>
    <row r="99" spans="1:75">
      <c r="A99" s="56" t="s">
        <v>227</v>
      </c>
      <c r="B99" s="11"/>
      <c r="C99"/>
      <c r="D99"/>
      <c r="E99"/>
      <c r="F99"/>
      <c r="G99"/>
      <c r="H99"/>
      <c r="I99"/>
      <c r="J99" s="49"/>
      <c r="K99"/>
      <c r="L99" s="134"/>
      <c r="M99" s="6"/>
      <c r="O99" s="6"/>
      <c r="Q99" s="6"/>
      <c r="S99" s="6"/>
      <c r="T99" s="6"/>
      <c r="U99" s="6"/>
      <c r="V99" s="6"/>
      <c r="X99" s="6"/>
      <c r="Z99" s="6"/>
      <c r="AB99" s="6"/>
      <c r="AD99" s="6"/>
      <c r="BL99" s="6"/>
      <c r="BM99" s="6"/>
      <c r="BO99" s="6"/>
      <c r="BP99" s="6"/>
      <c r="BQ99" s="6"/>
      <c r="BW99" s="6"/>
    </row>
    <row r="100" spans="1:75">
      <c r="A100" s="61"/>
      <c r="B100" s="17" t="s">
        <v>228</v>
      </c>
      <c r="C100"/>
      <c r="D100"/>
      <c r="E100"/>
      <c r="F100"/>
      <c r="G100"/>
      <c r="H100"/>
      <c r="I100"/>
      <c r="J100" s="49" t="s">
        <v>236</v>
      </c>
      <c r="K100"/>
      <c r="L100" s="134" t="s">
        <v>202</v>
      </c>
      <c r="M100" s="6"/>
      <c r="N100" s="6">
        <v>0</v>
      </c>
      <c r="O100" s="6"/>
      <c r="P100" s="6">
        <v>0</v>
      </c>
      <c r="Q100" s="6"/>
      <c r="R100" s="6">
        <v>929800</v>
      </c>
      <c r="S100" s="6"/>
      <c r="T100" s="6">
        <v>0</v>
      </c>
      <c r="U100" s="22"/>
      <c r="V100" s="6">
        <v>0</v>
      </c>
      <c r="W100" s="22"/>
      <c r="X100" s="6">
        <v>0</v>
      </c>
      <c r="Y100" s="22"/>
      <c r="Z100" s="6">
        <v>0</v>
      </c>
      <c r="AA100" s="22"/>
      <c r="AB100" s="6">
        <v>0</v>
      </c>
      <c r="AC100" s="22"/>
      <c r="AD100" s="6">
        <v>0</v>
      </c>
      <c r="AE100" s="22"/>
      <c r="AF100" s="6">
        <v>0</v>
      </c>
      <c r="AG100" s="22"/>
      <c r="AH100" s="6">
        <v>0</v>
      </c>
      <c r="AI100" s="22"/>
      <c r="AJ100" s="6">
        <v>0</v>
      </c>
      <c r="AK100" s="22"/>
      <c r="AL100" s="6">
        <v>232450</v>
      </c>
      <c r="AM100" s="22"/>
      <c r="AN100" s="6">
        <v>0</v>
      </c>
      <c r="AO100" s="22"/>
      <c r="AP100" s="6">
        <v>77483.34</v>
      </c>
      <c r="AQ100" s="22"/>
      <c r="AR100" s="6">
        <v>77483.33</v>
      </c>
      <c r="AS100" s="22"/>
      <c r="AT100" s="6">
        <v>77483.33</v>
      </c>
      <c r="AU100" s="22"/>
      <c r="AV100" s="6">
        <v>77483.34</v>
      </c>
      <c r="AX100" s="6">
        <v>77483.34</v>
      </c>
      <c r="AZ100" s="6">
        <v>77483.33</v>
      </c>
      <c r="BB100" s="6">
        <v>77483</v>
      </c>
      <c r="BD100" s="6">
        <v>0</v>
      </c>
      <c r="BF100" s="6">
        <v>0</v>
      </c>
      <c r="BH100" s="6">
        <v>0</v>
      </c>
      <c r="BJ100" s="6">
        <v>0</v>
      </c>
      <c r="BL100" s="6">
        <v>0</v>
      </c>
      <c r="BM100" s="6"/>
      <c r="BN100" s="6">
        <f t="shared" ref="BN100:BN105" si="28">SUM(T100:BM100)</f>
        <v>774833.00999999989</v>
      </c>
      <c r="BO100" s="6"/>
      <c r="BP100" s="6">
        <v>0</v>
      </c>
      <c r="BQ100" s="6"/>
      <c r="BR100" s="6">
        <f t="shared" ref="BR100:BR106" si="29">IF(+R100-BN100+BP100&gt;0,R100-BN100+BP100,0)</f>
        <v>154966.99000000011</v>
      </c>
      <c r="BT100" s="6">
        <f t="shared" ref="BT100:BT105" si="30">+BN100+BR100</f>
        <v>929800</v>
      </c>
      <c r="BV100" s="6">
        <f t="shared" ref="BV100:BV105" si="31">+R100-BT100</f>
        <v>0</v>
      </c>
      <c r="BW100" s="6"/>
    </row>
    <row r="101" spans="1:75">
      <c r="A101" s="61"/>
      <c r="B101" s="17" t="s">
        <v>230</v>
      </c>
      <c r="C101"/>
      <c r="D101"/>
      <c r="E101"/>
      <c r="F101"/>
      <c r="G101"/>
      <c r="H101"/>
      <c r="I101"/>
      <c r="J101" s="49" t="s">
        <v>230</v>
      </c>
      <c r="K101"/>
      <c r="L101" s="134" t="s">
        <v>202</v>
      </c>
      <c r="M101" s="6"/>
      <c r="N101" s="6">
        <v>0</v>
      </c>
      <c r="O101" s="6"/>
      <c r="P101" s="6">
        <v>0</v>
      </c>
      <c r="Q101" s="6"/>
      <c r="R101" s="6">
        <v>2840700</v>
      </c>
      <c r="S101" s="6"/>
      <c r="T101" s="6">
        <v>0</v>
      </c>
      <c r="U101" s="22"/>
      <c r="V101" s="6">
        <v>0</v>
      </c>
      <c r="W101" s="22"/>
      <c r="X101" s="6">
        <v>0</v>
      </c>
      <c r="Y101" s="22"/>
      <c r="Z101" s="6">
        <v>0</v>
      </c>
      <c r="AA101" s="22"/>
      <c r="AB101" s="6">
        <v>0</v>
      </c>
      <c r="AC101" s="22"/>
      <c r="AD101" s="6">
        <v>0</v>
      </c>
      <c r="AE101" s="22"/>
      <c r="AF101" s="6">
        <v>0</v>
      </c>
      <c r="AG101" s="22"/>
      <c r="AH101" s="6">
        <v>0</v>
      </c>
      <c r="AI101" s="22"/>
      <c r="AJ101" s="6">
        <v>0</v>
      </c>
      <c r="AK101" s="22"/>
      <c r="AL101" s="6">
        <v>710172</v>
      </c>
      <c r="AM101" s="22"/>
      <c r="AN101" s="6">
        <v>0</v>
      </c>
      <c r="AO101" s="22"/>
      <c r="AP101" s="6">
        <v>236722.33</v>
      </c>
      <c r="AQ101" s="22"/>
      <c r="AR101" s="6">
        <v>236722.33</v>
      </c>
      <c r="AS101" s="22"/>
      <c r="AT101" s="6">
        <v>236722</v>
      </c>
      <c r="AU101" s="22"/>
      <c r="AV101" s="6">
        <v>236722</v>
      </c>
      <c r="AX101" s="6">
        <v>236722</v>
      </c>
      <c r="AZ101" s="6">
        <v>236722</v>
      </c>
      <c r="BB101" s="6">
        <v>236722</v>
      </c>
      <c r="BD101" s="6">
        <v>0</v>
      </c>
      <c r="BF101" s="6">
        <v>0</v>
      </c>
      <c r="BH101" s="6">
        <v>0</v>
      </c>
      <c r="BJ101" s="6">
        <v>0</v>
      </c>
      <c r="BL101" s="6">
        <v>0</v>
      </c>
      <c r="BM101" s="6"/>
      <c r="BN101" s="6">
        <f t="shared" si="28"/>
        <v>2367226.66</v>
      </c>
      <c r="BO101" s="6"/>
      <c r="BP101" s="6">
        <v>0</v>
      </c>
      <c r="BQ101" s="6"/>
      <c r="BR101" s="6">
        <f t="shared" si="29"/>
        <v>473473.33999999985</v>
      </c>
      <c r="BT101" s="6">
        <f t="shared" si="30"/>
        <v>2840700</v>
      </c>
      <c r="BV101" s="6">
        <f t="shared" si="31"/>
        <v>0</v>
      </c>
      <c r="BW101" s="6"/>
    </row>
    <row r="102" spans="1:75">
      <c r="A102" s="61"/>
      <c r="B102" s="17" t="s">
        <v>231</v>
      </c>
      <c r="C102"/>
      <c r="D102"/>
      <c r="E102"/>
      <c r="F102"/>
      <c r="G102"/>
      <c r="H102"/>
      <c r="I102"/>
      <c r="J102" s="49" t="s">
        <v>236</v>
      </c>
      <c r="K102"/>
      <c r="L102" s="134" t="s">
        <v>202</v>
      </c>
      <c r="M102" s="6"/>
      <c r="N102" s="6">
        <v>0</v>
      </c>
      <c r="O102" s="6"/>
      <c r="P102" s="6">
        <v>0</v>
      </c>
      <c r="Q102" s="6"/>
      <c r="R102" s="6">
        <v>0</v>
      </c>
      <c r="S102" s="6"/>
      <c r="T102" s="6">
        <v>0</v>
      </c>
      <c r="U102" s="22"/>
      <c r="V102" s="6">
        <v>0</v>
      </c>
      <c r="W102" s="22"/>
      <c r="X102" s="6">
        <v>0</v>
      </c>
      <c r="Y102" s="22"/>
      <c r="Z102" s="6">
        <v>0</v>
      </c>
      <c r="AA102" s="22"/>
      <c r="AB102" s="6">
        <v>0</v>
      </c>
      <c r="AC102" s="22"/>
      <c r="AD102" s="6">
        <v>0</v>
      </c>
      <c r="AE102" s="22"/>
      <c r="AF102" s="6">
        <v>0</v>
      </c>
      <c r="AG102" s="22"/>
      <c r="AH102" s="6">
        <v>0</v>
      </c>
      <c r="AI102" s="22"/>
      <c r="AJ102" s="6">
        <v>0</v>
      </c>
      <c r="AK102" s="22"/>
      <c r="AM102" s="22"/>
      <c r="AN102" s="6">
        <v>0</v>
      </c>
      <c r="AO102" s="22"/>
      <c r="AP102" s="6">
        <v>0</v>
      </c>
      <c r="AQ102" s="22"/>
      <c r="AR102" s="6">
        <v>0</v>
      </c>
      <c r="AS102" s="22"/>
      <c r="AT102" s="6">
        <v>0</v>
      </c>
      <c r="AU102" s="22"/>
      <c r="AV102" s="6">
        <v>0</v>
      </c>
      <c r="AX102" s="6">
        <v>0</v>
      </c>
      <c r="AZ102" s="6">
        <v>0</v>
      </c>
      <c r="BB102" s="6">
        <v>0</v>
      </c>
      <c r="BD102" s="6">
        <v>0</v>
      </c>
      <c r="BF102" s="6">
        <v>0</v>
      </c>
      <c r="BH102" s="6">
        <v>0</v>
      </c>
      <c r="BJ102" s="6">
        <v>0</v>
      </c>
      <c r="BL102" s="6">
        <v>0</v>
      </c>
      <c r="BM102" s="6"/>
      <c r="BN102" s="6">
        <f t="shared" si="28"/>
        <v>0</v>
      </c>
      <c r="BO102" s="6"/>
      <c r="BP102" s="6">
        <v>0</v>
      </c>
      <c r="BQ102" s="6"/>
      <c r="BR102" s="6">
        <f t="shared" si="29"/>
        <v>0</v>
      </c>
      <c r="BT102" s="6">
        <f t="shared" si="30"/>
        <v>0</v>
      </c>
      <c r="BV102" s="6">
        <f t="shared" si="31"/>
        <v>0</v>
      </c>
      <c r="BW102" s="6"/>
    </row>
    <row r="103" spans="1:75">
      <c r="A103" s="61"/>
      <c r="B103" s="17" t="s">
        <v>232</v>
      </c>
      <c r="C103"/>
      <c r="D103"/>
      <c r="E103"/>
      <c r="F103"/>
      <c r="G103"/>
      <c r="H103"/>
      <c r="I103"/>
      <c r="J103" s="49" t="s">
        <v>236</v>
      </c>
      <c r="K103"/>
      <c r="L103" s="134" t="s">
        <v>202</v>
      </c>
      <c r="M103" s="6"/>
      <c r="N103" s="12">
        <v>0</v>
      </c>
      <c r="O103" s="12"/>
      <c r="P103" s="12">
        <v>0</v>
      </c>
      <c r="Q103" s="12"/>
      <c r="R103" s="6">
        <f>+N103+P103</f>
        <v>0</v>
      </c>
      <c r="S103" s="12"/>
      <c r="T103" s="12">
        <v>0</v>
      </c>
      <c r="U103" s="80"/>
      <c r="V103" s="12">
        <v>0</v>
      </c>
      <c r="W103" s="80"/>
      <c r="X103" s="12">
        <v>0</v>
      </c>
      <c r="Y103" s="80"/>
      <c r="Z103" s="12">
        <v>0</v>
      </c>
      <c r="AA103" s="80"/>
      <c r="AB103" s="12">
        <v>0</v>
      </c>
      <c r="AC103" s="80"/>
      <c r="AD103" s="12">
        <v>0</v>
      </c>
      <c r="AE103" s="80"/>
      <c r="AF103" s="12">
        <v>0</v>
      </c>
      <c r="AG103" s="80"/>
      <c r="AH103" s="12">
        <v>0</v>
      </c>
      <c r="AI103" s="80"/>
      <c r="AJ103" s="12">
        <v>0</v>
      </c>
      <c r="AK103" s="80"/>
      <c r="AL103" s="12"/>
      <c r="AM103" s="80"/>
      <c r="AN103" s="12">
        <v>0</v>
      </c>
      <c r="AO103" s="80"/>
      <c r="AP103" s="12">
        <v>0</v>
      </c>
      <c r="AQ103" s="80"/>
      <c r="AR103" s="12">
        <v>0</v>
      </c>
      <c r="AS103" s="80"/>
      <c r="AT103" s="12">
        <v>0</v>
      </c>
      <c r="AU103" s="80"/>
      <c r="AV103" s="12">
        <v>0</v>
      </c>
      <c r="AW103" s="12"/>
      <c r="AX103" s="12">
        <v>0</v>
      </c>
      <c r="AY103" s="12"/>
      <c r="AZ103" s="12">
        <v>0</v>
      </c>
      <c r="BA103" s="12"/>
      <c r="BB103" s="12">
        <v>0</v>
      </c>
      <c r="BC103" s="12"/>
      <c r="BD103" s="12">
        <v>0</v>
      </c>
      <c r="BE103" s="12"/>
      <c r="BF103" s="12">
        <v>0</v>
      </c>
      <c r="BG103" s="12"/>
      <c r="BH103" s="12">
        <v>0</v>
      </c>
      <c r="BI103" s="12"/>
      <c r="BJ103" s="12">
        <v>0</v>
      </c>
      <c r="BK103" s="12"/>
      <c r="BL103" s="12">
        <v>0</v>
      </c>
      <c r="BM103" s="12"/>
      <c r="BN103" s="12">
        <f t="shared" si="28"/>
        <v>0</v>
      </c>
      <c r="BO103" s="6"/>
      <c r="BP103" s="12">
        <v>0</v>
      </c>
      <c r="BQ103" s="6"/>
      <c r="BR103" s="6">
        <f t="shared" si="29"/>
        <v>0</v>
      </c>
      <c r="BS103" s="12"/>
      <c r="BT103" s="6">
        <f t="shared" si="30"/>
        <v>0</v>
      </c>
      <c r="BU103" s="12"/>
      <c r="BV103" s="6">
        <f t="shared" si="31"/>
        <v>0</v>
      </c>
      <c r="BW103" s="12"/>
    </row>
    <row r="104" spans="1:75" s="11" customFormat="1">
      <c r="A104" s="17"/>
      <c r="B104" s="17" t="s">
        <v>233</v>
      </c>
      <c r="C104" s="30"/>
      <c r="D104" s="30"/>
      <c r="E104" s="30"/>
      <c r="F104" s="30"/>
      <c r="G104" s="30"/>
      <c r="H104" s="30"/>
      <c r="I104" s="30"/>
      <c r="J104" s="156" t="s">
        <v>236</v>
      </c>
      <c r="K104" s="30"/>
      <c r="L104" s="134" t="s">
        <v>202</v>
      </c>
      <c r="M104" s="12"/>
      <c r="N104" s="12">
        <v>0</v>
      </c>
      <c r="O104" s="12"/>
      <c r="P104" s="12">
        <v>0</v>
      </c>
      <c r="Q104" s="12"/>
      <c r="R104" s="6">
        <f>+N104+P104</f>
        <v>0</v>
      </c>
      <c r="S104" s="12"/>
      <c r="T104" s="12">
        <v>0</v>
      </c>
      <c r="U104" s="80"/>
      <c r="V104" s="12">
        <v>0</v>
      </c>
      <c r="W104" s="80"/>
      <c r="X104" s="12">
        <v>0</v>
      </c>
      <c r="Y104" s="80"/>
      <c r="Z104" s="12">
        <v>0</v>
      </c>
      <c r="AA104" s="80"/>
      <c r="AB104" s="12">
        <v>0</v>
      </c>
      <c r="AC104" s="80"/>
      <c r="AD104" s="12">
        <v>0</v>
      </c>
      <c r="AE104" s="80"/>
      <c r="AF104" s="12">
        <v>0</v>
      </c>
      <c r="AG104" s="80"/>
      <c r="AH104" s="12">
        <v>0</v>
      </c>
      <c r="AI104" s="80"/>
      <c r="AJ104" s="12">
        <v>0</v>
      </c>
      <c r="AK104" s="80"/>
      <c r="AL104" s="12"/>
      <c r="AM104" s="80"/>
      <c r="AN104" s="12">
        <v>0</v>
      </c>
      <c r="AO104" s="80"/>
      <c r="AP104" s="12">
        <v>0</v>
      </c>
      <c r="AQ104" s="80"/>
      <c r="AR104" s="12">
        <v>0</v>
      </c>
      <c r="AS104" s="80"/>
      <c r="AT104" s="12">
        <v>0</v>
      </c>
      <c r="AU104" s="80"/>
      <c r="AV104" s="12">
        <v>0</v>
      </c>
      <c r="AW104" s="12"/>
      <c r="AX104" s="12">
        <v>0</v>
      </c>
      <c r="AY104" s="12"/>
      <c r="AZ104" s="12">
        <v>0</v>
      </c>
      <c r="BA104" s="12"/>
      <c r="BB104" s="12">
        <v>0</v>
      </c>
      <c r="BC104" s="12"/>
      <c r="BD104" s="12">
        <v>0</v>
      </c>
      <c r="BE104" s="12"/>
      <c r="BF104" s="12">
        <v>0</v>
      </c>
      <c r="BG104" s="12"/>
      <c r="BH104" s="12">
        <v>0</v>
      </c>
      <c r="BI104" s="12"/>
      <c r="BJ104" s="12">
        <v>0</v>
      </c>
      <c r="BK104" s="12"/>
      <c r="BL104" s="12">
        <v>0</v>
      </c>
      <c r="BM104" s="12"/>
      <c r="BN104" s="12">
        <f t="shared" si="28"/>
        <v>0</v>
      </c>
      <c r="BO104" s="12"/>
      <c r="BP104" s="12">
        <v>0</v>
      </c>
      <c r="BQ104" s="12"/>
      <c r="BR104" s="6">
        <f t="shared" si="29"/>
        <v>0</v>
      </c>
      <c r="BS104" s="12"/>
      <c r="BT104" s="6">
        <f t="shared" si="30"/>
        <v>0</v>
      </c>
      <c r="BU104" s="12"/>
      <c r="BV104" s="6">
        <f t="shared" si="31"/>
        <v>0</v>
      </c>
      <c r="BW104" s="12"/>
    </row>
    <row r="105" spans="1:75">
      <c r="A105" s="61"/>
      <c r="B105" s="17" t="s">
        <v>446</v>
      </c>
      <c r="C105"/>
      <c r="D105"/>
      <c r="E105"/>
      <c r="F105"/>
      <c r="G105"/>
      <c r="H105"/>
      <c r="I105"/>
      <c r="J105" s="49"/>
      <c r="K105"/>
      <c r="L105" s="134" t="s">
        <v>202</v>
      </c>
      <c r="M105" s="6"/>
      <c r="N105" s="12">
        <v>0</v>
      </c>
      <c r="O105" s="12"/>
      <c r="P105" s="12">
        <v>0</v>
      </c>
      <c r="Q105" s="12"/>
      <c r="R105" s="6">
        <f>+N105+P105</f>
        <v>0</v>
      </c>
      <c r="S105" s="12"/>
      <c r="T105" s="12">
        <v>0</v>
      </c>
      <c r="U105" s="80"/>
      <c r="V105" s="12">
        <v>0</v>
      </c>
      <c r="W105" s="80"/>
      <c r="X105" s="12">
        <v>0</v>
      </c>
      <c r="Y105" s="80"/>
      <c r="Z105" s="12">
        <v>0</v>
      </c>
      <c r="AA105" s="80"/>
      <c r="AB105" s="12">
        <v>0</v>
      </c>
      <c r="AC105" s="80"/>
      <c r="AD105" s="12">
        <v>0</v>
      </c>
      <c r="AE105" s="80"/>
      <c r="AF105" s="12">
        <v>0</v>
      </c>
      <c r="AG105" s="80"/>
      <c r="AH105" s="12">
        <v>0</v>
      </c>
      <c r="AI105" s="80"/>
      <c r="AJ105" s="12">
        <v>0</v>
      </c>
      <c r="AK105" s="80"/>
      <c r="AL105" s="12"/>
      <c r="AM105" s="80"/>
      <c r="AN105" s="12">
        <v>0</v>
      </c>
      <c r="AO105" s="80"/>
      <c r="AP105" s="12">
        <v>0</v>
      </c>
      <c r="AQ105" s="80"/>
      <c r="AR105" s="12">
        <v>0</v>
      </c>
      <c r="AS105" s="80"/>
      <c r="AT105" s="12">
        <v>-250000</v>
      </c>
      <c r="AU105" s="80"/>
      <c r="AV105" s="12">
        <v>0</v>
      </c>
      <c r="AW105" s="12"/>
      <c r="AX105" s="12">
        <v>0</v>
      </c>
      <c r="AY105" s="12"/>
      <c r="AZ105" s="12">
        <v>0</v>
      </c>
      <c r="BA105" s="12"/>
      <c r="BB105" s="12">
        <v>0</v>
      </c>
      <c r="BC105" s="12"/>
      <c r="BD105" s="12">
        <v>0</v>
      </c>
      <c r="BE105" s="12"/>
      <c r="BF105" s="12">
        <v>0</v>
      </c>
      <c r="BG105" s="12"/>
      <c r="BH105" s="12">
        <v>0</v>
      </c>
      <c r="BI105" s="12"/>
      <c r="BJ105" s="12">
        <v>0</v>
      </c>
      <c r="BK105" s="12"/>
      <c r="BL105" s="12">
        <v>0</v>
      </c>
      <c r="BM105" s="12"/>
      <c r="BN105" s="12">
        <f t="shared" si="28"/>
        <v>-250000</v>
      </c>
      <c r="BO105" s="6"/>
      <c r="BP105" s="12">
        <v>0</v>
      </c>
      <c r="BQ105" s="6"/>
      <c r="BR105" s="6">
        <v>0</v>
      </c>
      <c r="BS105" s="12"/>
      <c r="BT105" s="9">
        <f t="shared" si="30"/>
        <v>-250000</v>
      </c>
      <c r="BU105" s="12"/>
      <c r="BV105" s="6">
        <f t="shared" si="31"/>
        <v>250000</v>
      </c>
      <c r="BW105" s="12"/>
    </row>
    <row r="106" spans="1:75">
      <c r="A106" s="61"/>
      <c r="B106" s="17"/>
      <c r="C106"/>
      <c r="D106"/>
      <c r="E106"/>
      <c r="F106"/>
      <c r="G106"/>
      <c r="H106"/>
      <c r="I106"/>
      <c r="J106" s="49"/>
      <c r="K106"/>
      <c r="L106" s="134"/>
      <c r="M106" s="6"/>
      <c r="N106" s="12"/>
      <c r="O106" s="12"/>
      <c r="P106" s="12"/>
      <c r="Q106" s="12"/>
      <c r="R106" s="12"/>
      <c r="S106" s="12"/>
      <c r="T106" s="12"/>
      <c r="U106" s="80"/>
      <c r="V106" s="12"/>
      <c r="W106" s="80"/>
      <c r="X106" s="12"/>
      <c r="Y106" s="80"/>
      <c r="Z106" s="12"/>
      <c r="AA106" s="80"/>
      <c r="AB106" s="12"/>
      <c r="AC106" s="80"/>
      <c r="AD106" s="12"/>
      <c r="AE106" s="80"/>
      <c r="AF106" s="12"/>
      <c r="AG106" s="80"/>
      <c r="AH106" s="12"/>
      <c r="AI106" s="80"/>
      <c r="AJ106" s="12"/>
      <c r="AK106" s="80"/>
      <c r="AL106" s="12"/>
      <c r="AM106" s="80"/>
      <c r="AN106" s="12"/>
      <c r="AO106" s="80"/>
      <c r="AP106" s="12"/>
      <c r="AQ106" s="80"/>
      <c r="AR106" s="12"/>
      <c r="AS106" s="80"/>
      <c r="AT106" s="12"/>
      <c r="AU106" s="80"/>
      <c r="AV106" s="12"/>
      <c r="AW106" s="12"/>
      <c r="AX106" s="12"/>
      <c r="AY106" s="12"/>
      <c r="AZ106" s="12"/>
      <c r="BA106" s="12"/>
      <c r="BB106" s="12"/>
      <c r="BC106" s="12"/>
      <c r="BD106" s="12"/>
      <c r="BE106" s="12"/>
      <c r="BF106" s="12"/>
      <c r="BG106" s="12"/>
      <c r="BH106" s="12"/>
      <c r="BI106" s="12"/>
      <c r="BJ106" s="12"/>
      <c r="BK106" s="12"/>
      <c r="BL106" s="12"/>
      <c r="BM106" s="12"/>
      <c r="BN106" s="12"/>
      <c r="BO106" s="6"/>
      <c r="BP106" s="12"/>
      <c r="BQ106" s="6"/>
      <c r="BR106" s="6">
        <f t="shared" si="29"/>
        <v>0</v>
      </c>
      <c r="BS106" s="12"/>
      <c r="BT106" s="12"/>
      <c r="BU106" s="12"/>
      <c r="BV106" s="12"/>
      <c r="BW106" s="12"/>
    </row>
    <row r="107" spans="1:75" s="114" customFormat="1">
      <c r="A107" s="112"/>
      <c r="B107" s="113" t="s">
        <v>244</v>
      </c>
      <c r="J107" s="157"/>
      <c r="L107" s="142"/>
      <c r="M107" s="115"/>
      <c r="N107" s="116">
        <f>SUM(N100:N106)</f>
        <v>0</v>
      </c>
      <c r="O107" s="115"/>
      <c r="P107" s="116">
        <f>SUM(P100:P106)</f>
        <v>0</v>
      </c>
      <c r="Q107" s="115"/>
      <c r="R107" s="116">
        <f>SUM(R100:R106)</f>
        <v>3770500</v>
      </c>
      <c r="S107" s="115"/>
      <c r="T107" s="116">
        <f>SUM(T100:T106)</f>
        <v>0</v>
      </c>
      <c r="U107" s="115"/>
      <c r="V107" s="116">
        <f>SUM(V100:V106)</f>
        <v>0</v>
      </c>
      <c r="W107" s="115"/>
      <c r="X107" s="116">
        <f>SUM(X100:X106)</f>
        <v>0</v>
      </c>
      <c r="Y107" s="115"/>
      <c r="Z107" s="116">
        <f>SUM(Z100:Z106)</f>
        <v>0</v>
      </c>
      <c r="AA107" s="115"/>
      <c r="AB107" s="116">
        <f>SUM(AB100:AB106)</f>
        <v>0</v>
      </c>
      <c r="AC107" s="115"/>
      <c r="AD107" s="116">
        <f>SUM(AD100:AD106)</f>
        <v>0</v>
      </c>
      <c r="AE107" s="115"/>
      <c r="AF107" s="116">
        <f>SUM(AF100:AF106)</f>
        <v>0</v>
      </c>
      <c r="AG107" s="115"/>
      <c r="AH107" s="116">
        <f>SUM(AH100:AH106)</f>
        <v>0</v>
      </c>
      <c r="AI107" s="115"/>
      <c r="AJ107" s="116">
        <f>SUM(AJ100:AJ106)</f>
        <v>0</v>
      </c>
      <c r="AK107" s="115"/>
      <c r="AL107" s="116">
        <f>SUM(AL100:AL106)</f>
        <v>942622</v>
      </c>
      <c r="AM107" s="116"/>
      <c r="AN107" s="116">
        <f>SUM(AN100:AN106)</f>
        <v>0</v>
      </c>
      <c r="AO107" s="115"/>
      <c r="AP107" s="116">
        <f>SUM(AP100:AP106)</f>
        <v>314205.67</v>
      </c>
      <c r="AQ107" s="115"/>
      <c r="AR107" s="116">
        <f>SUM(AR100:AR106)</f>
        <v>314205.65999999997</v>
      </c>
      <c r="AS107" s="115"/>
      <c r="AT107" s="116">
        <f>SUM(AT100:AT106)</f>
        <v>64205.330000000016</v>
      </c>
      <c r="AU107" s="115"/>
      <c r="AV107" s="116">
        <f>SUM(AV100:AV106)</f>
        <v>314205.33999999997</v>
      </c>
      <c r="AW107" s="117"/>
      <c r="AX107" s="116">
        <f>SUM(AX100:AX106)</f>
        <v>314205.33999999997</v>
      </c>
      <c r="AY107" s="117"/>
      <c r="AZ107" s="116">
        <f>SUM(AZ100:AZ106)</f>
        <v>314205.33</v>
      </c>
      <c r="BA107" s="117"/>
      <c r="BB107" s="116">
        <f>SUM(BB100:BB106)</f>
        <v>314205</v>
      </c>
      <c r="BC107" s="117"/>
      <c r="BD107" s="116">
        <f>SUM(BD100:BD106)</f>
        <v>0</v>
      </c>
      <c r="BE107" s="117"/>
      <c r="BF107" s="116">
        <f>SUM(BF100:BF106)</f>
        <v>0</v>
      </c>
      <c r="BG107" s="117"/>
      <c r="BH107" s="116">
        <f>SUM(BH100:BH106)</f>
        <v>0</v>
      </c>
      <c r="BI107" s="117"/>
      <c r="BJ107" s="116">
        <f>SUM(BJ100:BJ106)</f>
        <v>0</v>
      </c>
      <c r="BK107" s="117"/>
      <c r="BL107" s="116">
        <f>SUM(BL100:BL106)</f>
        <v>0</v>
      </c>
      <c r="BM107" s="115"/>
      <c r="BN107" s="116">
        <f>SUM(BN100:BN106)</f>
        <v>2892059.67</v>
      </c>
      <c r="BO107" s="115"/>
      <c r="BP107" s="116">
        <f>SUM(BP100:BP106)</f>
        <v>0</v>
      </c>
      <c r="BQ107" s="115"/>
      <c r="BR107" s="116">
        <f>SUM(BR100:BR106)</f>
        <v>628440.32999999996</v>
      </c>
      <c r="BS107" s="115"/>
      <c r="BT107" s="116">
        <f>SUM(BT100:BT106)</f>
        <v>3520500</v>
      </c>
      <c r="BU107" s="115"/>
      <c r="BV107" s="116">
        <f>SUM(BV100:BV106)</f>
        <v>250000</v>
      </c>
      <c r="BW107" s="117"/>
    </row>
    <row r="108" spans="1:75" customFormat="1"/>
    <row r="109" spans="1:75" s="15" customFormat="1">
      <c r="A109" s="62" t="s">
        <v>242</v>
      </c>
      <c r="B109" s="17"/>
      <c r="C109"/>
      <c r="D109"/>
      <c r="E109"/>
      <c r="F109"/>
      <c r="G109"/>
      <c r="H109"/>
      <c r="I109"/>
      <c r="J109" s="49"/>
      <c r="K109"/>
      <c r="L109" s="134" t="s">
        <v>202</v>
      </c>
      <c r="M109" s="22"/>
      <c r="N109" s="22"/>
      <c r="O109" s="22"/>
      <c r="P109" s="22"/>
      <c r="Q109" s="22"/>
      <c r="R109" s="22"/>
      <c r="S109" s="22"/>
      <c r="T109" s="22"/>
      <c r="U109" s="22"/>
      <c r="V109" s="22"/>
      <c r="W109" s="22"/>
      <c r="X109" s="22"/>
      <c r="Y109" s="22"/>
      <c r="Z109" s="22"/>
      <c r="AA109" s="22"/>
      <c r="AB109" s="22"/>
      <c r="AC109" s="22"/>
      <c r="AD109" s="22"/>
      <c r="AE109" s="22"/>
      <c r="AF109" s="22"/>
      <c r="AG109" s="22"/>
      <c r="AH109" s="22"/>
      <c r="AI109" s="22"/>
      <c r="AJ109" s="22"/>
      <c r="AK109" s="22"/>
      <c r="AL109" s="22"/>
      <c r="AM109" s="22"/>
      <c r="AN109" s="22"/>
      <c r="AO109" s="22"/>
      <c r="AP109" s="22"/>
      <c r="AQ109" s="22"/>
      <c r="AR109" s="22"/>
      <c r="AS109" s="22"/>
      <c r="AT109" s="22"/>
      <c r="AU109" s="22"/>
      <c r="AV109" s="22"/>
      <c r="AW109" s="22"/>
      <c r="AX109" s="22"/>
      <c r="AY109" s="22"/>
      <c r="AZ109" s="22"/>
      <c r="BA109" s="22"/>
      <c r="BB109" s="22"/>
      <c r="BC109" s="22"/>
      <c r="BD109" s="22"/>
      <c r="BE109" s="22"/>
      <c r="BF109" s="22"/>
      <c r="BG109" s="22"/>
      <c r="BH109" s="22"/>
      <c r="BI109" s="22"/>
      <c r="BJ109" s="22"/>
      <c r="BK109" s="22"/>
      <c r="BL109" s="22"/>
      <c r="BM109" s="22"/>
      <c r="BN109" s="22"/>
      <c r="BO109" s="22"/>
      <c r="BP109" s="22"/>
      <c r="BQ109" s="22"/>
      <c r="BR109" s="22"/>
      <c r="BS109" s="22"/>
      <c r="BT109" s="22"/>
      <c r="BU109" s="22"/>
      <c r="BV109" s="22"/>
      <c r="BW109" s="22"/>
    </row>
    <row r="110" spans="1:75" s="15" customFormat="1">
      <c r="A110" s="57"/>
      <c r="B110" s="17" t="s">
        <v>121</v>
      </c>
      <c r="C110"/>
      <c r="D110"/>
      <c r="E110"/>
      <c r="F110"/>
      <c r="G110"/>
      <c r="H110"/>
      <c r="I110"/>
      <c r="J110" s="49" t="s">
        <v>0</v>
      </c>
      <c r="K110"/>
      <c r="L110" s="134" t="s">
        <v>202</v>
      </c>
      <c r="M110" s="22"/>
      <c r="N110" s="80">
        <v>0</v>
      </c>
      <c r="O110" s="22"/>
      <c r="P110" s="80">
        <v>0</v>
      </c>
      <c r="Q110" s="22"/>
      <c r="R110" s="6">
        <f>+N110+P110</f>
        <v>0</v>
      </c>
      <c r="S110" s="22"/>
      <c r="T110" s="80">
        <v>0</v>
      </c>
      <c r="U110" s="80"/>
      <c r="V110" s="80">
        <v>0</v>
      </c>
      <c r="W110" s="80"/>
      <c r="X110" s="80">
        <v>0</v>
      </c>
      <c r="Y110" s="80"/>
      <c r="Z110" s="80">
        <v>0</v>
      </c>
      <c r="AA110" s="80"/>
      <c r="AB110" s="80">
        <v>0</v>
      </c>
      <c r="AC110" s="80"/>
      <c r="AD110" s="80">
        <v>0</v>
      </c>
      <c r="AE110" s="80"/>
      <c r="AF110" s="80">
        <v>0</v>
      </c>
      <c r="AG110" s="80"/>
      <c r="AH110" s="80">
        <v>0</v>
      </c>
      <c r="AI110" s="80"/>
      <c r="AJ110" s="80">
        <v>0</v>
      </c>
      <c r="AK110" s="80"/>
      <c r="AL110" s="80"/>
      <c r="AM110" s="80"/>
      <c r="AN110" s="80">
        <v>0</v>
      </c>
      <c r="AO110" s="80"/>
      <c r="AP110" s="80">
        <v>0</v>
      </c>
      <c r="AQ110" s="80"/>
      <c r="AR110" s="80">
        <v>0</v>
      </c>
      <c r="AS110" s="80"/>
      <c r="AT110" s="80">
        <v>0</v>
      </c>
      <c r="AU110" s="80"/>
      <c r="AV110" s="80">
        <v>0</v>
      </c>
      <c r="AW110" s="80"/>
      <c r="AX110" s="80">
        <v>0</v>
      </c>
      <c r="AY110" s="80"/>
      <c r="AZ110" s="80">
        <v>0</v>
      </c>
      <c r="BA110" s="80"/>
      <c r="BB110" s="80">
        <v>0</v>
      </c>
      <c r="BC110" s="80"/>
      <c r="BD110" s="80">
        <v>0</v>
      </c>
      <c r="BE110" s="80"/>
      <c r="BF110" s="80">
        <v>0</v>
      </c>
      <c r="BG110" s="80"/>
      <c r="BH110" s="80">
        <v>0</v>
      </c>
      <c r="BI110" s="80"/>
      <c r="BJ110" s="80">
        <v>0</v>
      </c>
      <c r="BK110" s="80"/>
      <c r="BL110" s="80">
        <v>0</v>
      </c>
      <c r="BM110" s="22"/>
      <c r="BN110" s="80">
        <f>SUM(T110:BM110)</f>
        <v>0</v>
      </c>
      <c r="BO110" s="22"/>
      <c r="BP110" s="80">
        <v>0</v>
      </c>
      <c r="BQ110" s="22"/>
      <c r="BR110" s="6">
        <f>IF(+R110-BN110+BP110&gt;0,R110-BN110+BP110,0)</f>
        <v>0</v>
      </c>
      <c r="BS110" s="22"/>
      <c r="BT110" s="6">
        <f>+BN110+BR110</f>
        <v>0</v>
      </c>
      <c r="BU110" s="22"/>
      <c r="BV110" s="6">
        <f>+R110-BT110</f>
        <v>0</v>
      </c>
      <c r="BW110" s="80"/>
    </row>
    <row r="111" spans="1:75" s="15" customFormat="1">
      <c r="A111" s="57"/>
      <c r="B111" s="17"/>
      <c r="C111"/>
      <c r="D111"/>
      <c r="E111"/>
      <c r="F111"/>
      <c r="G111"/>
      <c r="H111"/>
      <c r="I111"/>
      <c r="J111" s="49"/>
      <c r="K111"/>
      <c r="L111" s="134"/>
      <c r="M111" s="22"/>
      <c r="N111" s="80"/>
      <c r="O111" s="22"/>
      <c r="P111" s="80"/>
      <c r="Q111" s="22"/>
      <c r="R111" s="80"/>
      <c r="S111" s="22"/>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22"/>
      <c r="BN111" s="80"/>
      <c r="BO111" s="22"/>
      <c r="BP111" s="80"/>
      <c r="BQ111" s="22"/>
      <c r="BR111" s="80"/>
      <c r="BS111" s="22"/>
      <c r="BT111" s="80"/>
      <c r="BU111" s="22"/>
      <c r="BV111" s="80"/>
      <c r="BW111" s="80"/>
    </row>
    <row r="112" spans="1:75" s="104" customFormat="1">
      <c r="A112" s="111"/>
      <c r="B112" s="77" t="s">
        <v>245</v>
      </c>
      <c r="C112" s="21"/>
      <c r="D112" s="21"/>
      <c r="E112" s="21"/>
      <c r="F112" s="21"/>
      <c r="G112" s="21"/>
      <c r="H112" s="21"/>
      <c r="I112" s="21"/>
      <c r="J112" s="8"/>
      <c r="K112" s="21"/>
      <c r="L112" s="143"/>
      <c r="M112" s="16"/>
      <c r="N112" s="108">
        <f>SUM(N110:N111)</f>
        <v>0</v>
      </c>
      <c r="O112" s="16"/>
      <c r="P112" s="108">
        <f>SUM(P110:P111)</f>
        <v>0</v>
      </c>
      <c r="Q112" s="16"/>
      <c r="R112" s="108">
        <f>SUM(R110:R111)</f>
        <v>0</v>
      </c>
      <c r="S112" s="16"/>
      <c r="T112" s="108">
        <f>SUM(T110:T111)</f>
        <v>0</v>
      </c>
      <c r="U112" s="16"/>
      <c r="V112" s="108">
        <f>SUM(V110:V111)</f>
        <v>0</v>
      </c>
      <c r="W112" s="16"/>
      <c r="X112" s="108">
        <f>SUM(X110:X111)</f>
        <v>0</v>
      </c>
      <c r="Y112" s="16"/>
      <c r="Z112" s="108">
        <f>SUM(Z110:Z111)</f>
        <v>0</v>
      </c>
      <c r="AA112" s="16"/>
      <c r="AB112" s="108">
        <f>SUM(AB110:AB111)</f>
        <v>0</v>
      </c>
      <c r="AC112" s="16"/>
      <c r="AD112" s="108">
        <f>SUM(AD110:AD111)</f>
        <v>0</v>
      </c>
      <c r="AE112" s="16"/>
      <c r="AF112" s="108">
        <f>SUM(AF110:AF111)</f>
        <v>0</v>
      </c>
      <c r="AG112" s="16"/>
      <c r="AH112" s="108">
        <f>SUM(AH110:AH111)</f>
        <v>0</v>
      </c>
      <c r="AI112" s="16"/>
      <c r="AJ112" s="108">
        <f>SUM(AJ110:AJ111)</f>
        <v>0</v>
      </c>
      <c r="AK112" s="16"/>
      <c r="AL112" s="108">
        <f>SUM(AL110:AL111)</f>
        <v>0</v>
      </c>
      <c r="AM112" s="108"/>
      <c r="AN112" s="108">
        <f>SUM(AN110:AN111)</f>
        <v>0</v>
      </c>
      <c r="AO112" s="16"/>
      <c r="AP112" s="108">
        <f>SUM(AP110:AP111)</f>
        <v>0</v>
      </c>
      <c r="AQ112" s="16"/>
      <c r="AR112" s="108">
        <f>SUM(AR110:AR111)</f>
        <v>0</v>
      </c>
      <c r="AS112" s="16"/>
      <c r="AT112" s="108">
        <f>SUM(AT110:AT111)</f>
        <v>0</v>
      </c>
      <c r="AU112" s="16"/>
      <c r="AV112" s="108">
        <f>SUM(AV110:AV111)</f>
        <v>0</v>
      </c>
      <c r="AW112" s="103"/>
      <c r="AX112" s="108">
        <f>SUM(AX110:AX111)</f>
        <v>0</v>
      </c>
      <c r="AY112" s="103"/>
      <c r="AZ112" s="108">
        <f>SUM(AZ110:AZ111)</f>
        <v>0</v>
      </c>
      <c r="BA112" s="103"/>
      <c r="BB112" s="108">
        <f>SUM(BB110:BB111)</f>
        <v>0</v>
      </c>
      <c r="BC112" s="103"/>
      <c r="BD112" s="108">
        <f>SUM(BD110:BD111)</f>
        <v>0</v>
      </c>
      <c r="BE112" s="103"/>
      <c r="BF112" s="108">
        <f>SUM(BF110:BF111)</f>
        <v>0</v>
      </c>
      <c r="BG112" s="103"/>
      <c r="BH112" s="108">
        <f>SUM(BH110:BH111)</f>
        <v>0</v>
      </c>
      <c r="BI112" s="103"/>
      <c r="BJ112" s="108">
        <f>SUM(BJ110:BJ111)</f>
        <v>0</v>
      </c>
      <c r="BK112" s="103"/>
      <c r="BL112" s="108">
        <f>SUM(BL110:BL111)</f>
        <v>0</v>
      </c>
      <c r="BM112" s="16"/>
      <c r="BN112" s="108">
        <f>SUM(BN110:BN111)</f>
        <v>0</v>
      </c>
      <c r="BO112" s="16"/>
      <c r="BP112" s="108">
        <f>SUM(BP110:BP111)</f>
        <v>0</v>
      </c>
      <c r="BQ112" s="16"/>
      <c r="BR112" s="108">
        <f>SUM(BR110:BR111)</f>
        <v>0</v>
      </c>
      <c r="BS112" s="16"/>
      <c r="BT112" s="108">
        <f>SUM(BT110:BT111)</f>
        <v>0</v>
      </c>
      <c r="BU112" s="16"/>
      <c r="BV112" s="108">
        <f>SUM(BV110:BV111)</f>
        <v>0</v>
      </c>
      <c r="BW112" s="16"/>
    </row>
    <row r="113" spans="1:75" s="15" customFormat="1">
      <c r="A113" s="57"/>
      <c r="B113" s="17"/>
      <c r="C113"/>
      <c r="D113"/>
      <c r="E113"/>
      <c r="F113"/>
      <c r="G113"/>
      <c r="H113"/>
      <c r="I113"/>
      <c r="J113" s="49"/>
      <c r="K113"/>
      <c r="L113" s="134"/>
      <c r="M113" s="22"/>
      <c r="N113" s="22"/>
      <c r="O113" s="22"/>
      <c r="P113" s="22"/>
      <c r="Q113" s="22"/>
      <c r="R113" s="22"/>
      <c r="S113" s="22"/>
      <c r="T113" s="22"/>
      <c r="U113" s="22"/>
      <c r="V113" s="22"/>
      <c r="W113" s="22"/>
      <c r="X113" s="22"/>
      <c r="Y113" s="22"/>
      <c r="Z113" s="22"/>
      <c r="AA113" s="22"/>
      <c r="AB113" s="22"/>
      <c r="AC113" s="22"/>
      <c r="AD113" s="22"/>
      <c r="AE113" s="22"/>
      <c r="AF113" s="22"/>
      <c r="AG113" s="22"/>
      <c r="AH113" s="22"/>
      <c r="AI113" s="22"/>
      <c r="AJ113" s="22"/>
      <c r="AK113" s="22"/>
      <c r="AL113" s="22"/>
      <c r="AM113" s="22"/>
      <c r="AN113" s="22"/>
      <c r="AO113" s="22"/>
      <c r="AP113" s="22"/>
      <c r="AQ113" s="22"/>
      <c r="AR113" s="22"/>
      <c r="AS113" s="22"/>
      <c r="AT113" s="22"/>
      <c r="AU113" s="22"/>
      <c r="AV113" s="22"/>
      <c r="AW113" s="22"/>
      <c r="AX113" s="22"/>
      <c r="AY113" s="22"/>
      <c r="AZ113" s="22"/>
      <c r="BA113" s="22"/>
      <c r="BB113" s="22"/>
      <c r="BC113" s="22"/>
      <c r="BD113" s="22"/>
      <c r="BE113" s="22"/>
      <c r="BF113" s="22"/>
      <c r="BG113" s="22"/>
      <c r="BH113" s="22"/>
      <c r="BI113" s="22"/>
      <c r="BJ113" s="22"/>
      <c r="BK113" s="22"/>
      <c r="BL113" s="22"/>
      <c r="BM113" s="22"/>
      <c r="BN113" s="22"/>
      <c r="BO113" s="22"/>
      <c r="BP113" s="22"/>
      <c r="BQ113" s="22"/>
      <c r="BR113" s="22"/>
      <c r="BS113" s="22"/>
      <c r="BT113" s="22"/>
      <c r="BU113" s="22"/>
      <c r="BV113" s="22"/>
      <c r="BW113" s="22"/>
    </row>
    <row r="114" spans="1:75" s="105" customFormat="1">
      <c r="A114" s="162" t="s">
        <v>246</v>
      </c>
      <c r="B114" s="63"/>
      <c r="J114" s="158"/>
      <c r="L114" s="144"/>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row>
    <row r="115" spans="1:75" s="15" customFormat="1" hidden="1">
      <c r="A115" s="62" t="s">
        <v>22</v>
      </c>
      <c r="B115" s="17"/>
      <c r="C115"/>
      <c r="D115"/>
      <c r="E115"/>
      <c r="F115"/>
      <c r="G115"/>
      <c r="H115"/>
      <c r="I115"/>
      <c r="J115" s="49"/>
      <c r="K115"/>
      <c r="L115" s="134"/>
      <c r="M115" s="22"/>
      <c r="N115" s="22"/>
      <c r="O115" s="22"/>
      <c r="P115" s="22"/>
      <c r="Q115" s="22"/>
      <c r="R115" s="22"/>
      <c r="S115" s="22"/>
      <c r="T115" s="22"/>
      <c r="U115" s="22"/>
      <c r="V115" s="22"/>
      <c r="W115" s="22"/>
      <c r="X115" s="22"/>
      <c r="Y115" s="22"/>
      <c r="Z115" s="22"/>
      <c r="AA115" s="22"/>
      <c r="AB115" s="22"/>
      <c r="AC115" s="22"/>
      <c r="AD115" s="22"/>
      <c r="AE115" s="22"/>
      <c r="AF115" s="22"/>
      <c r="AG115" s="22"/>
      <c r="AH115" s="22"/>
      <c r="AI115" s="22"/>
      <c r="AJ115" s="22"/>
      <c r="AK115" s="22"/>
      <c r="AL115" s="22"/>
      <c r="AM115" s="22"/>
      <c r="AN115" s="22"/>
      <c r="AO115" s="22"/>
      <c r="AP115" s="22"/>
      <c r="AQ115" s="22"/>
      <c r="AR115" s="22"/>
      <c r="AS115" s="22"/>
      <c r="AT115" s="22"/>
      <c r="AU115" s="22"/>
      <c r="AV115" s="22"/>
      <c r="AW115" s="22"/>
      <c r="AX115" s="22"/>
      <c r="AY115" s="22"/>
      <c r="AZ115" s="22"/>
      <c r="BA115" s="22"/>
      <c r="BB115" s="22"/>
      <c r="BC115" s="22"/>
      <c r="BD115" s="22"/>
      <c r="BE115" s="22"/>
      <c r="BF115" s="22"/>
      <c r="BG115" s="22"/>
      <c r="BH115" s="22"/>
      <c r="BI115" s="22"/>
      <c r="BJ115" s="22"/>
      <c r="BK115" s="22"/>
      <c r="BL115" s="22"/>
      <c r="BM115" s="22"/>
      <c r="BN115" s="22"/>
      <c r="BO115" s="22"/>
      <c r="BP115" s="22"/>
      <c r="BQ115" s="22"/>
      <c r="BR115" s="22"/>
      <c r="BS115" s="22"/>
      <c r="BT115" s="22"/>
      <c r="BU115" s="22"/>
      <c r="BV115" s="22"/>
      <c r="BW115" s="22"/>
    </row>
    <row r="116" spans="1:75" s="15" customFormat="1" hidden="1">
      <c r="A116" s="62"/>
      <c r="B116" s="17" t="s">
        <v>163</v>
      </c>
      <c r="C116"/>
      <c r="D116"/>
      <c r="E116"/>
      <c r="F116"/>
      <c r="G116"/>
      <c r="H116"/>
      <c r="I116"/>
      <c r="J116" s="49"/>
      <c r="K116"/>
      <c r="L116" s="134" t="s">
        <v>202</v>
      </c>
      <c r="M116" s="22"/>
      <c r="N116" s="22">
        <v>0</v>
      </c>
      <c r="O116" s="22"/>
      <c r="P116" s="22">
        <v>0</v>
      </c>
      <c r="Q116" s="22"/>
      <c r="R116" s="6">
        <f t="shared" ref="R116:R125" si="32">+N116+P116</f>
        <v>0</v>
      </c>
      <c r="S116" s="22"/>
      <c r="T116" s="22">
        <v>0</v>
      </c>
      <c r="U116" s="22"/>
      <c r="V116" s="22">
        <v>0</v>
      </c>
      <c r="W116" s="22"/>
      <c r="X116" s="22">
        <v>0</v>
      </c>
      <c r="Y116" s="22"/>
      <c r="Z116" s="22">
        <v>0</v>
      </c>
      <c r="AA116" s="22"/>
      <c r="AB116" s="22">
        <v>0</v>
      </c>
      <c r="AC116" s="22"/>
      <c r="AD116" s="22">
        <v>0</v>
      </c>
      <c r="AE116" s="22"/>
      <c r="AF116" s="22">
        <v>0</v>
      </c>
      <c r="AG116" s="22"/>
      <c r="AH116" s="22">
        <v>0</v>
      </c>
      <c r="AI116" s="22"/>
      <c r="AJ116" s="22">
        <v>0</v>
      </c>
      <c r="AK116" s="22"/>
      <c r="AL116" s="22"/>
      <c r="AM116" s="22"/>
      <c r="AN116" s="22">
        <v>0</v>
      </c>
      <c r="AO116" s="22"/>
      <c r="AP116" s="22">
        <v>0</v>
      </c>
      <c r="AQ116" s="22"/>
      <c r="AR116" s="22">
        <v>0</v>
      </c>
      <c r="AS116" s="22"/>
      <c r="AT116" s="22">
        <v>0</v>
      </c>
      <c r="AU116" s="22"/>
      <c r="AV116" s="22">
        <v>0</v>
      </c>
      <c r="AW116" s="22"/>
      <c r="AX116" s="22">
        <v>0</v>
      </c>
      <c r="AY116" s="22"/>
      <c r="AZ116" s="22">
        <v>0</v>
      </c>
      <c r="BA116" s="22"/>
      <c r="BB116" s="22">
        <v>0</v>
      </c>
      <c r="BC116" s="22"/>
      <c r="BD116" s="22">
        <v>0</v>
      </c>
      <c r="BE116" s="22"/>
      <c r="BF116" s="22">
        <v>0</v>
      </c>
      <c r="BG116" s="22"/>
      <c r="BH116" s="22">
        <v>0</v>
      </c>
      <c r="BI116" s="22"/>
      <c r="BJ116" s="22">
        <v>0</v>
      </c>
      <c r="BK116" s="22"/>
      <c r="BL116" s="22">
        <v>0</v>
      </c>
      <c r="BM116" s="22"/>
      <c r="BN116" s="22">
        <f t="shared" ref="BN116:BN125" si="33">SUM(T116:BM116)</f>
        <v>0</v>
      </c>
      <c r="BO116" s="22"/>
      <c r="BP116" s="22">
        <v>0</v>
      </c>
      <c r="BQ116" s="22"/>
      <c r="BR116" s="22">
        <f t="shared" ref="BR116:BR125" si="34">+R116-BN116+BP116</f>
        <v>0</v>
      </c>
      <c r="BS116" s="22"/>
      <c r="BT116" s="6">
        <f t="shared" ref="BT116:BT125" si="35">+BN116+BR116</f>
        <v>0</v>
      </c>
      <c r="BU116" s="22"/>
      <c r="BV116" s="6">
        <f t="shared" ref="BV116:BV125" si="36">+R116-BT116</f>
        <v>0</v>
      </c>
      <c r="BW116" s="22"/>
    </row>
    <row r="117" spans="1:75" s="15" customFormat="1" hidden="1">
      <c r="A117" s="62"/>
      <c r="B117" s="17" t="s">
        <v>164</v>
      </c>
      <c r="C117"/>
      <c r="D117"/>
      <c r="E117"/>
      <c r="F117"/>
      <c r="G117"/>
      <c r="H117"/>
      <c r="I117"/>
      <c r="J117" s="49"/>
      <c r="K117"/>
      <c r="L117" s="134" t="s">
        <v>202</v>
      </c>
      <c r="M117" s="22"/>
      <c r="N117" s="22">
        <v>0</v>
      </c>
      <c r="O117" s="22"/>
      <c r="P117" s="22">
        <v>0</v>
      </c>
      <c r="Q117" s="22"/>
      <c r="R117" s="6">
        <f t="shared" si="32"/>
        <v>0</v>
      </c>
      <c r="S117" s="22"/>
      <c r="T117" s="22">
        <v>0</v>
      </c>
      <c r="U117" s="22"/>
      <c r="V117" s="22">
        <v>0</v>
      </c>
      <c r="W117" s="22"/>
      <c r="X117" s="22">
        <v>0</v>
      </c>
      <c r="Y117" s="22"/>
      <c r="Z117" s="22">
        <v>0</v>
      </c>
      <c r="AA117" s="22"/>
      <c r="AB117" s="22">
        <v>0</v>
      </c>
      <c r="AC117" s="22"/>
      <c r="AD117" s="22">
        <v>0</v>
      </c>
      <c r="AE117" s="22"/>
      <c r="AF117" s="22">
        <v>0</v>
      </c>
      <c r="AG117" s="22"/>
      <c r="AH117" s="22">
        <v>0</v>
      </c>
      <c r="AI117" s="22"/>
      <c r="AJ117" s="22">
        <v>0</v>
      </c>
      <c r="AK117" s="22"/>
      <c r="AL117" s="22"/>
      <c r="AM117" s="22"/>
      <c r="AN117" s="22">
        <v>0</v>
      </c>
      <c r="AO117" s="22"/>
      <c r="AP117" s="22">
        <v>0</v>
      </c>
      <c r="AQ117" s="22"/>
      <c r="AR117" s="22">
        <v>0</v>
      </c>
      <c r="AS117" s="22"/>
      <c r="AT117" s="22">
        <v>0</v>
      </c>
      <c r="AU117" s="22"/>
      <c r="AV117" s="22">
        <v>0</v>
      </c>
      <c r="AW117" s="22"/>
      <c r="AX117" s="22">
        <v>0</v>
      </c>
      <c r="AY117" s="22"/>
      <c r="AZ117" s="22">
        <v>0</v>
      </c>
      <c r="BA117" s="22"/>
      <c r="BB117" s="22">
        <v>0</v>
      </c>
      <c r="BC117" s="22"/>
      <c r="BD117" s="22">
        <v>0</v>
      </c>
      <c r="BE117" s="22"/>
      <c r="BF117" s="22">
        <v>0</v>
      </c>
      <c r="BG117" s="22"/>
      <c r="BH117" s="22">
        <v>0</v>
      </c>
      <c r="BI117" s="22"/>
      <c r="BJ117" s="22">
        <v>0</v>
      </c>
      <c r="BK117" s="22"/>
      <c r="BL117" s="22">
        <v>0</v>
      </c>
      <c r="BM117" s="22"/>
      <c r="BN117" s="22">
        <f t="shared" si="33"/>
        <v>0</v>
      </c>
      <c r="BO117" s="22"/>
      <c r="BP117" s="22">
        <v>0</v>
      </c>
      <c r="BQ117" s="22"/>
      <c r="BR117" s="22">
        <f t="shared" si="34"/>
        <v>0</v>
      </c>
      <c r="BS117" s="22"/>
      <c r="BT117" s="6">
        <f t="shared" si="35"/>
        <v>0</v>
      </c>
      <c r="BU117" s="22"/>
      <c r="BV117" s="6">
        <f t="shared" si="36"/>
        <v>0</v>
      </c>
      <c r="BW117" s="22"/>
    </row>
    <row r="118" spans="1:75" s="15" customFormat="1" hidden="1">
      <c r="A118" s="62"/>
      <c r="B118" s="17" t="s">
        <v>165</v>
      </c>
      <c r="C118"/>
      <c r="D118"/>
      <c r="E118"/>
      <c r="F118"/>
      <c r="G118"/>
      <c r="H118"/>
      <c r="I118"/>
      <c r="J118" s="49"/>
      <c r="K118"/>
      <c r="L118" s="134" t="s">
        <v>202</v>
      </c>
      <c r="M118" s="22"/>
      <c r="N118" s="22">
        <v>0</v>
      </c>
      <c r="O118" s="22"/>
      <c r="P118" s="22">
        <v>0</v>
      </c>
      <c r="Q118" s="22"/>
      <c r="R118" s="6">
        <f t="shared" si="32"/>
        <v>0</v>
      </c>
      <c r="S118" s="22"/>
      <c r="T118" s="22">
        <v>0</v>
      </c>
      <c r="U118" s="22"/>
      <c r="V118" s="22">
        <v>0</v>
      </c>
      <c r="W118" s="22"/>
      <c r="X118" s="22">
        <v>0</v>
      </c>
      <c r="Y118" s="22"/>
      <c r="Z118" s="22">
        <v>0</v>
      </c>
      <c r="AA118" s="22"/>
      <c r="AB118" s="22">
        <v>0</v>
      </c>
      <c r="AC118" s="22"/>
      <c r="AD118" s="22">
        <v>0</v>
      </c>
      <c r="AE118" s="22"/>
      <c r="AF118" s="22">
        <v>0</v>
      </c>
      <c r="AG118" s="22"/>
      <c r="AH118" s="22">
        <v>0</v>
      </c>
      <c r="AI118" s="22"/>
      <c r="AJ118" s="22">
        <v>0</v>
      </c>
      <c r="AK118" s="22"/>
      <c r="AL118" s="22"/>
      <c r="AM118" s="22"/>
      <c r="AN118" s="22">
        <v>0</v>
      </c>
      <c r="AO118" s="22"/>
      <c r="AP118" s="22">
        <v>0</v>
      </c>
      <c r="AQ118" s="22"/>
      <c r="AR118" s="22">
        <v>0</v>
      </c>
      <c r="AS118" s="22"/>
      <c r="AT118" s="22">
        <v>0</v>
      </c>
      <c r="AU118" s="22"/>
      <c r="AV118" s="22">
        <v>0</v>
      </c>
      <c r="AW118" s="22"/>
      <c r="AX118" s="22">
        <v>0</v>
      </c>
      <c r="AY118" s="22"/>
      <c r="AZ118" s="22">
        <v>0</v>
      </c>
      <c r="BA118" s="22"/>
      <c r="BB118" s="22">
        <v>0</v>
      </c>
      <c r="BC118" s="22"/>
      <c r="BD118" s="22">
        <v>0</v>
      </c>
      <c r="BE118" s="22"/>
      <c r="BF118" s="22">
        <v>0</v>
      </c>
      <c r="BG118" s="22"/>
      <c r="BH118" s="22">
        <v>0</v>
      </c>
      <c r="BI118" s="22"/>
      <c r="BJ118" s="22">
        <v>0</v>
      </c>
      <c r="BK118" s="22"/>
      <c r="BL118" s="22">
        <v>0</v>
      </c>
      <c r="BM118" s="22"/>
      <c r="BN118" s="22">
        <f t="shared" si="33"/>
        <v>0</v>
      </c>
      <c r="BO118" s="22"/>
      <c r="BP118" s="22">
        <v>0</v>
      </c>
      <c r="BQ118" s="22"/>
      <c r="BR118" s="22">
        <f t="shared" si="34"/>
        <v>0</v>
      </c>
      <c r="BS118" s="22"/>
      <c r="BT118" s="6">
        <f t="shared" si="35"/>
        <v>0</v>
      </c>
      <c r="BU118" s="22"/>
      <c r="BV118" s="6">
        <f t="shared" si="36"/>
        <v>0</v>
      </c>
      <c r="BW118" s="22"/>
    </row>
    <row r="119" spans="1:75" s="15" customFormat="1" hidden="1">
      <c r="A119" s="62"/>
      <c r="B119" s="17" t="s">
        <v>166</v>
      </c>
      <c r="C119"/>
      <c r="D119"/>
      <c r="E119"/>
      <c r="F119"/>
      <c r="G119"/>
      <c r="H119"/>
      <c r="I119"/>
      <c r="J119" s="49"/>
      <c r="K119"/>
      <c r="L119" s="134" t="s">
        <v>202</v>
      </c>
      <c r="M119" s="22"/>
      <c r="N119" s="22">
        <v>0</v>
      </c>
      <c r="O119" s="22"/>
      <c r="P119" s="22">
        <v>0</v>
      </c>
      <c r="Q119" s="22"/>
      <c r="R119" s="6">
        <f t="shared" si="32"/>
        <v>0</v>
      </c>
      <c r="S119" s="22"/>
      <c r="T119" s="22">
        <v>0</v>
      </c>
      <c r="U119" s="22"/>
      <c r="V119" s="22">
        <v>0</v>
      </c>
      <c r="W119" s="22"/>
      <c r="X119" s="22">
        <v>0</v>
      </c>
      <c r="Y119" s="22"/>
      <c r="Z119" s="22">
        <v>0</v>
      </c>
      <c r="AA119" s="22"/>
      <c r="AB119" s="22">
        <v>0</v>
      </c>
      <c r="AC119" s="22"/>
      <c r="AD119" s="22">
        <v>0</v>
      </c>
      <c r="AE119" s="22"/>
      <c r="AF119" s="22">
        <v>0</v>
      </c>
      <c r="AG119" s="22"/>
      <c r="AH119" s="22">
        <v>0</v>
      </c>
      <c r="AI119" s="22"/>
      <c r="AJ119" s="22">
        <v>0</v>
      </c>
      <c r="AK119" s="22"/>
      <c r="AL119" s="22"/>
      <c r="AM119" s="22"/>
      <c r="AN119" s="22">
        <v>0</v>
      </c>
      <c r="AO119" s="22"/>
      <c r="AP119" s="22">
        <v>0</v>
      </c>
      <c r="AQ119" s="22"/>
      <c r="AR119" s="22">
        <v>0</v>
      </c>
      <c r="AS119" s="22"/>
      <c r="AT119" s="22">
        <v>0</v>
      </c>
      <c r="AU119" s="22"/>
      <c r="AV119" s="22">
        <v>0</v>
      </c>
      <c r="AW119" s="22"/>
      <c r="AX119" s="22">
        <v>0</v>
      </c>
      <c r="AY119" s="22"/>
      <c r="AZ119" s="22">
        <v>0</v>
      </c>
      <c r="BA119" s="22"/>
      <c r="BB119" s="22">
        <v>0</v>
      </c>
      <c r="BC119" s="22"/>
      <c r="BD119" s="22">
        <v>0</v>
      </c>
      <c r="BE119" s="22"/>
      <c r="BF119" s="22">
        <v>0</v>
      </c>
      <c r="BG119" s="22"/>
      <c r="BH119" s="22">
        <v>0</v>
      </c>
      <c r="BI119" s="22"/>
      <c r="BJ119" s="22">
        <v>0</v>
      </c>
      <c r="BK119" s="22"/>
      <c r="BL119" s="22">
        <v>0</v>
      </c>
      <c r="BM119" s="22"/>
      <c r="BN119" s="22">
        <f t="shared" si="33"/>
        <v>0</v>
      </c>
      <c r="BO119" s="22"/>
      <c r="BP119" s="22">
        <v>0</v>
      </c>
      <c r="BQ119" s="22"/>
      <c r="BR119" s="22">
        <f t="shared" si="34"/>
        <v>0</v>
      </c>
      <c r="BS119" s="22"/>
      <c r="BT119" s="6">
        <f t="shared" si="35"/>
        <v>0</v>
      </c>
      <c r="BU119" s="22"/>
      <c r="BV119" s="6">
        <f t="shared" si="36"/>
        <v>0</v>
      </c>
      <c r="BW119" s="22"/>
    </row>
    <row r="120" spans="1:75" s="15" customFormat="1" hidden="1">
      <c r="A120" s="62"/>
      <c r="B120" s="17" t="s">
        <v>68</v>
      </c>
      <c r="C120"/>
      <c r="D120"/>
      <c r="E120"/>
      <c r="F120"/>
      <c r="G120"/>
      <c r="H120"/>
      <c r="I120"/>
      <c r="J120" s="49"/>
      <c r="K120"/>
      <c r="L120" s="134" t="s">
        <v>202</v>
      </c>
      <c r="M120" s="22"/>
      <c r="N120" s="22">
        <v>0</v>
      </c>
      <c r="O120" s="22"/>
      <c r="P120" s="22">
        <v>0</v>
      </c>
      <c r="Q120" s="22"/>
      <c r="R120" s="6">
        <f t="shared" si="32"/>
        <v>0</v>
      </c>
      <c r="S120" s="22"/>
      <c r="T120" s="22">
        <v>0</v>
      </c>
      <c r="U120" s="22"/>
      <c r="V120" s="22">
        <v>0</v>
      </c>
      <c r="W120" s="22"/>
      <c r="X120" s="22">
        <v>0</v>
      </c>
      <c r="Y120" s="22"/>
      <c r="Z120" s="22">
        <v>0</v>
      </c>
      <c r="AA120" s="22"/>
      <c r="AB120" s="22">
        <v>0</v>
      </c>
      <c r="AC120" s="22"/>
      <c r="AD120" s="22">
        <v>0</v>
      </c>
      <c r="AE120" s="22"/>
      <c r="AF120" s="22">
        <v>0</v>
      </c>
      <c r="AG120" s="22"/>
      <c r="AH120" s="22">
        <v>0</v>
      </c>
      <c r="AI120" s="22"/>
      <c r="AJ120" s="22">
        <v>0</v>
      </c>
      <c r="AK120" s="22"/>
      <c r="AL120" s="22"/>
      <c r="AM120" s="22"/>
      <c r="AN120" s="22">
        <v>0</v>
      </c>
      <c r="AO120" s="22"/>
      <c r="AP120" s="22">
        <v>0</v>
      </c>
      <c r="AQ120" s="22"/>
      <c r="AR120" s="22">
        <v>0</v>
      </c>
      <c r="AS120" s="22"/>
      <c r="AT120" s="22">
        <v>0</v>
      </c>
      <c r="AU120" s="22"/>
      <c r="AV120" s="22">
        <v>0</v>
      </c>
      <c r="AW120" s="22"/>
      <c r="AX120" s="22">
        <v>0</v>
      </c>
      <c r="AY120" s="22"/>
      <c r="AZ120" s="22">
        <v>0</v>
      </c>
      <c r="BA120" s="22"/>
      <c r="BB120" s="22">
        <v>0</v>
      </c>
      <c r="BC120" s="22"/>
      <c r="BD120" s="22">
        <v>0</v>
      </c>
      <c r="BE120" s="22"/>
      <c r="BF120" s="22">
        <v>0</v>
      </c>
      <c r="BG120" s="22"/>
      <c r="BH120" s="22">
        <v>0</v>
      </c>
      <c r="BI120" s="22"/>
      <c r="BJ120" s="22">
        <v>0</v>
      </c>
      <c r="BK120" s="22"/>
      <c r="BL120" s="22">
        <v>0</v>
      </c>
      <c r="BM120" s="22"/>
      <c r="BN120" s="22">
        <f t="shared" si="33"/>
        <v>0</v>
      </c>
      <c r="BO120" s="22"/>
      <c r="BP120" s="22">
        <v>0</v>
      </c>
      <c r="BQ120" s="22"/>
      <c r="BR120" s="22">
        <f t="shared" si="34"/>
        <v>0</v>
      </c>
      <c r="BS120" s="22"/>
      <c r="BT120" s="6">
        <f t="shared" si="35"/>
        <v>0</v>
      </c>
      <c r="BU120" s="22"/>
      <c r="BV120" s="6">
        <f t="shared" si="36"/>
        <v>0</v>
      </c>
      <c r="BW120" s="22"/>
    </row>
    <row r="121" spans="1:75" s="15" customFormat="1" hidden="1">
      <c r="A121" s="62"/>
      <c r="B121" s="17" t="s">
        <v>69</v>
      </c>
      <c r="C121"/>
      <c r="D121"/>
      <c r="E121"/>
      <c r="F121"/>
      <c r="G121"/>
      <c r="H121"/>
      <c r="I121"/>
      <c r="J121" s="49"/>
      <c r="K121"/>
      <c r="L121" s="134" t="s">
        <v>202</v>
      </c>
      <c r="M121" s="22"/>
      <c r="N121" s="22">
        <v>0</v>
      </c>
      <c r="O121" s="22"/>
      <c r="P121" s="22">
        <v>0</v>
      </c>
      <c r="Q121" s="22"/>
      <c r="R121" s="6">
        <f t="shared" si="32"/>
        <v>0</v>
      </c>
      <c r="S121" s="22"/>
      <c r="T121" s="22">
        <v>0</v>
      </c>
      <c r="U121" s="22"/>
      <c r="V121" s="22">
        <v>0</v>
      </c>
      <c r="W121" s="22"/>
      <c r="X121" s="22">
        <v>0</v>
      </c>
      <c r="Y121" s="22"/>
      <c r="Z121" s="22">
        <v>0</v>
      </c>
      <c r="AA121" s="22"/>
      <c r="AB121" s="22">
        <v>0</v>
      </c>
      <c r="AC121" s="22"/>
      <c r="AD121" s="22">
        <v>0</v>
      </c>
      <c r="AE121" s="22"/>
      <c r="AF121" s="22">
        <v>0</v>
      </c>
      <c r="AG121" s="22"/>
      <c r="AH121" s="22">
        <v>0</v>
      </c>
      <c r="AI121" s="22"/>
      <c r="AJ121" s="22">
        <v>0</v>
      </c>
      <c r="AK121" s="22"/>
      <c r="AL121" s="22"/>
      <c r="AM121" s="22"/>
      <c r="AN121" s="22">
        <v>0</v>
      </c>
      <c r="AO121" s="22"/>
      <c r="AP121" s="22">
        <v>0</v>
      </c>
      <c r="AQ121" s="22"/>
      <c r="AR121" s="22">
        <v>0</v>
      </c>
      <c r="AS121" s="22"/>
      <c r="AT121" s="22">
        <v>0</v>
      </c>
      <c r="AU121" s="22"/>
      <c r="AV121" s="22">
        <v>0</v>
      </c>
      <c r="AW121" s="22"/>
      <c r="AX121" s="22">
        <v>0</v>
      </c>
      <c r="AY121" s="22"/>
      <c r="AZ121" s="22">
        <v>0</v>
      </c>
      <c r="BA121" s="22"/>
      <c r="BB121" s="22">
        <v>0</v>
      </c>
      <c r="BC121" s="22"/>
      <c r="BD121" s="22">
        <v>0</v>
      </c>
      <c r="BE121" s="22"/>
      <c r="BF121" s="22">
        <v>0</v>
      </c>
      <c r="BG121" s="22"/>
      <c r="BH121" s="22">
        <v>0</v>
      </c>
      <c r="BI121" s="22"/>
      <c r="BJ121" s="22">
        <v>0</v>
      </c>
      <c r="BK121" s="22"/>
      <c r="BL121" s="22">
        <v>0</v>
      </c>
      <c r="BM121" s="22"/>
      <c r="BN121" s="22">
        <f t="shared" si="33"/>
        <v>0</v>
      </c>
      <c r="BO121" s="22"/>
      <c r="BP121" s="22">
        <v>0</v>
      </c>
      <c r="BQ121" s="22"/>
      <c r="BR121" s="22">
        <f t="shared" si="34"/>
        <v>0</v>
      </c>
      <c r="BS121" s="22"/>
      <c r="BT121" s="6">
        <f t="shared" si="35"/>
        <v>0</v>
      </c>
      <c r="BU121" s="22"/>
      <c r="BV121" s="6">
        <f t="shared" si="36"/>
        <v>0</v>
      </c>
      <c r="BW121" s="22"/>
    </row>
    <row r="122" spans="1:75" s="15" customFormat="1" hidden="1">
      <c r="A122" s="62"/>
      <c r="B122" s="17" t="s">
        <v>167</v>
      </c>
      <c r="C122"/>
      <c r="D122"/>
      <c r="E122"/>
      <c r="F122"/>
      <c r="G122"/>
      <c r="H122"/>
      <c r="I122"/>
      <c r="J122" s="49"/>
      <c r="K122"/>
      <c r="L122" s="134" t="s">
        <v>202</v>
      </c>
      <c r="M122" s="22"/>
      <c r="N122" s="22">
        <v>0</v>
      </c>
      <c r="O122" s="22"/>
      <c r="P122" s="22">
        <v>0</v>
      </c>
      <c r="Q122" s="22"/>
      <c r="R122" s="6">
        <f t="shared" si="32"/>
        <v>0</v>
      </c>
      <c r="S122" s="22"/>
      <c r="T122" s="22">
        <v>0</v>
      </c>
      <c r="U122" s="22"/>
      <c r="V122" s="22">
        <v>0</v>
      </c>
      <c r="W122" s="22"/>
      <c r="X122" s="22">
        <v>0</v>
      </c>
      <c r="Y122" s="22"/>
      <c r="Z122" s="22">
        <v>0</v>
      </c>
      <c r="AA122" s="22"/>
      <c r="AB122" s="22">
        <v>0</v>
      </c>
      <c r="AC122" s="22"/>
      <c r="AD122" s="22">
        <v>0</v>
      </c>
      <c r="AE122" s="22"/>
      <c r="AF122" s="22">
        <v>0</v>
      </c>
      <c r="AG122" s="22"/>
      <c r="AH122" s="22">
        <v>0</v>
      </c>
      <c r="AI122" s="22"/>
      <c r="AJ122" s="22">
        <v>0</v>
      </c>
      <c r="AK122" s="22"/>
      <c r="AL122" s="22"/>
      <c r="AM122" s="22"/>
      <c r="AN122" s="22">
        <v>0</v>
      </c>
      <c r="AO122" s="22"/>
      <c r="AP122" s="22">
        <v>0</v>
      </c>
      <c r="AQ122" s="22"/>
      <c r="AR122" s="22">
        <v>0</v>
      </c>
      <c r="AS122" s="22"/>
      <c r="AT122" s="22">
        <v>0</v>
      </c>
      <c r="AU122" s="22"/>
      <c r="AV122" s="22">
        <v>0</v>
      </c>
      <c r="AW122" s="22"/>
      <c r="AX122" s="22">
        <v>0</v>
      </c>
      <c r="AY122" s="22"/>
      <c r="AZ122" s="22">
        <v>0</v>
      </c>
      <c r="BA122" s="22"/>
      <c r="BB122" s="22">
        <v>0</v>
      </c>
      <c r="BC122" s="22"/>
      <c r="BD122" s="22">
        <v>0</v>
      </c>
      <c r="BE122" s="22"/>
      <c r="BF122" s="22">
        <v>0</v>
      </c>
      <c r="BG122" s="22"/>
      <c r="BH122" s="22">
        <v>0</v>
      </c>
      <c r="BI122" s="22"/>
      <c r="BJ122" s="22">
        <v>0</v>
      </c>
      <c r="BK122" s="22"/>
      <c r="BL122" s="22">
        <v>0</v>
      </c>
      <c r="BM122" s="22"/>
      <c r="BN122" s="22">
        <f t="shared" si="33"/>
        <v>0</v>
      </c>
      <c r="BO122" s="22"/>
      <c r="BP122" s="22">
        <v>0</v>
      </c>
      <c r="BQ122" s="22"/>
      <c r="BR122" s="22">
        <f t="shared" si="34"/>
        <v>0</v>
      </c>
      <c r="BS122" s="22"/>
      <c r="BT122" s="6">
        <f t="shared" si="35"/>
        <v>0</v>
      </c>
      <c r="BU122" s="22"/>
      <c r="BV122" s="6">
        <f t="shared" si="36"/>
        <v>0</v>
      </c>
      <c r="BW122" s="22"/>
    </row>
    <row r="123" spans="1:75" s="15" customFormat="1" hidden="1">
      <c r="A123" s="62"/>
      <c r="B123" s="17" t="s">
        <v>168</v>
      </c>
      <c r="C123"/>
      <c r="D123"/>
      <c r="E123"/>
      <c r="F123"/>
      <c r="G123"/>
      <c r="H123"/>
      <c r="I123"/>
      <c r="J123" s="49"/>
      <c r="K123"/>
      <c r="L123" s="134" t="s">
        <v>202</v>
      </c>
      <c r="M123" s="22"/>
      <c r="N123" s="22">
        <v>0</v>
      </c>
      <c r="O123" s="22"/>
      <c r="P123" s="22">
        <v>0</v>
      </c>
      <c r="Q123" s="22"/>
      <c r="R123" s="6">
        <f t="shared" si="32"/>
        <v>0</v>
      </c>
      <c r="S123" s="22"/>
      <c r="T123" s="22">
        <v>0</v>
      </c>
      <c r="U123" s="22"/>
      <c r="V123" s="22">
        <v>0</v>
      </c>
      <c r="W123" s="22"/>
      <c r="X123" s="22">
        <v>0</v>
      </c>
      <c r="Y123" s="22"/>
      <c r="Z123" s="22">
        <v>0</v>
      </c>
      <c r="AA123" s="22"/>
      <c r="AB123" s="22">
        <v>0</v>
      </c>
      <c r="AC123" s="22"/>
      <c r="AD123" s="22">
        <v>0</v>
      </c>
      <c r="AE123" s="22"/>
      <c r="AF123" s="22">
        <v>0</v>
      </c>
      <c r="AG123" s="22"/>
      <c r="AH123" s="22">
        <v>0</v>
      </c>
      <c r="AI123" s="22"/>
      <c r="AJ123" s="22">
        <v>0</v>
      </c>
      <c r="AK123" s="22"/>
      <c r="AL123" s="22"/>
      <c r="AM123" s="22"/>
      <c r="AN123" s="22">
        <v>0</v>
      </c>
      <c r="AO123" s="22"/>
      <c r="AP123" s="22">
        <v>0</v>
      </c>
      <c r="AQ123" s="22"/>
      <c r="AR123" s="22">
        <v>0</v>
      </c>
      <c r="AS123" s="22"/>
      <c r="AT123" s="22">
        <v>0</v>
      </c>
      <c r="AU123" s="22"/>
      <c r="AV123" s="22">
        <v>0</v>
      </c>
      <c r="AW123" s="22"/>
      <c r="AX123" s="22">
        <v>0</v>
      </c>
      <c r="AY123" s="22"/>
      <c r="AZ123" s="22">
        <v>0</v>
      </c>
      <c r="BA123" s="22"/>
      <c r="BB123" s="22">
        <v>0</v>
      </c>
      <c r="BC123" s="22"/>
      <c r="BD123" s="22">
        <v>0</v>
      </c>
      <c r="BE123" s="22"/>
      <c r="BF123" s="22">
        <v>0</v>
      </c>
      <c r="BG123" s="22"/>
      <c r="BH123" s="22">
        <v>0</v>
      </c>
      <c r="BI123" s="22"/>
      <c r="BJ123" s="22">
        <v>0</v>
      </c>
      <c r="BK123" s="22"/>
      <c r="BL123" s="22">
        <v>0</v>
      </c>
      <c r="BM123" s="22"/>
      <c r="BN123" s="22">
        <f t="shared" si="33"/>
        <v>0</v>
      </c>
      <c r="BO123" s="22"/>
      <c r="BP123" s="22">
        <v>0</v>
      </c>
      <c r="BQ123" s="22"/>
      <c r="BR123" s="22">
        <f t="shared" si="34"/>
        <v>0</v>
      </c>
      <c r="BS123" s="22"/>
      <c r="BT123" s="6">
        <f t="shared" si="35"/>
        <v>0</v>
      </c>
      <c r="BU123" s="22"/>
      <c r="BV123" s="6">
        <f t="shared" si="36"/>
        <v>0</v>
      </c>
      <c r="BW123" s="22"/>
    </row>
    <row r="124" spans="1:75" s="109" customFormat="1" hidden="1">
      <c r="A124" s="77"/>
      <c r="B124" s="17" t="s">
        <v>23</v>
      </c>
      <c r="C124" s="30"/>
      <c r="D124" s="30"/>
      <c r="E124" s="30"/>
      <c r="F124" s="30"/>
      <c r="G124" s="30"/>
      <c r="H124" s="30"/>
      <c r="I124" s="30"/>
      <c r="J124" s="156"/>
      <c r="K124" s="30"/>
      <c r="L124" s="134" t="s">
        <v>202</v>
      </c>
      <c r="M124" s="80"/>
      <c r="N124" s="80">
        <v>0</v>
      </c>
      <c r="O124" s="80"/>
      <c r="P124" s="80">
        <v>0</v>
      </c>
      <c r="Q124" s="80"/>
      <c r="R124" s="6">
        <f t="shared" si="32"/>
        <v>0</v>
      </c>
      <c r="S124" s="80"/>
      <c r="T124" s="80">
        <v>0</v>
      </c>
      <c r="U124" s="80"/>
      <c r="V124" s="80">
        <v>0</v>
      </c>
      <c r="W124" s="80"/>
      <c r="X124" s="80">
        <v>0</v>
      </c>
      <c r="Y124" s="80"/>
      <c r="Z124" s="80">
        <v>0</v>
      </c>
      <c r="AA124" s="80"/>
      <c r="AB124" s="80">
        <v>0</v>
      </c>
      <c r="AC124" s="80"/>
      <c r="AD124" s="80">
        <v>0</v>
      </c>
      <c r="AE124" s="80"/>
      <c r="AF124" s="80">
        <v>0</v>
      </c>
      <c r="AG124" s="80"/>
      <c r="AH124" s="80">
        <v>0</v>
      </c>
      <c r="AI124" s="80"/>
      <c r="AJ124" s="80">
        <v>0</v>
      </c>
      <c r="AK124" s="80"/>
      <c r="AL124" s="80"/>
      <c r="AM124" s="80"/>
      <c r="AN124" s="80">
        <v>0</v>
      </c>
      <c r="AO124" s="80"/>
      <c r="AP124" s="80">
        <v>0</v>
      </c>
      <c r="AQ124" s="80"/>
      <c r="AR124" s="80">
        <v>0</v>
      </c>
      <c r="AS124" s="80"/>
      <c r="AT124" s="80">
        <v>0</v>
      </c>
      <c r="AU124" s="80"/>
      <c r="AV124" s="80">
        <v>0</v>
      </c>
      <c r="AW124" s="80"/>
      <c r="AX124" s="80">
        <v>0</v>
      </c>
      <c r="AY124" s="80"/>
      <c r="AZ124" s="80">
        <v>0</v>
      </c>
      <c r="BA124" s="80"/>
      <c r="BB124" s="80">
        <v>0</v>
      </c>
      <c r="BC124" s="80"/>
      <c r="BD124" s="80">
        <v>0</v>
      </c>
      <c r="BE124" s="80"/>
      <c r="BF124" s="80">
        <v>0</v>
      </c>
      <c r="BG124" s="80"/>
      <c r="BH124" s="80">
        <v>0</v>
      </c>
      <c r="BI124" s="80"/>
      <c r="BJ124" s="80">
        <v>0</v>
      </c>
      <c r="BK124" s="80"/>
      <c r="BL124" s="80">
        <v>0</v>
      </c>
      <c r="BM124" s="80"/>
      <c r="BN124" s="80">
        <f t="shared" si="33"/>
        <v>0</v>
      </c>
      <c r="BO124" s="80"/>
      <c r="BP124" s="80">
        <v>0</v>
      </c>
      <c r="BQ124" s="80"/>
      <c r="BR124" s="80">
        <f t="shared" si="34"/>
        <v>0</v>
      </c>
      <c r="BS124" s="80"/>
      <c r="BT124" s="6">
        <f t="shared" si="35"/>
        <v>0</v>
      </c>
      <c r="BU124" s="80"/>
      <c r="BV124" s="6">
        <f t="shared" si="36"/>
        <v>0</v>
      </c>
      <c r="BW124" s="80"/>
    </row>
    <row r="125" spans="1:75" s="109" customFormat="1" hidden="1">
      <c r="A125" s="77"/>
      <c r="B125" s="17" t="s">
        <v>121</v>
      </c>
      <c r="C125" s="30"/>
      <c r="D125" s="30"/>
      <c r="E125" s="30"/>
      <c r="F125" s="30"/>
      <c r="G125" s="30"/>
      <c r="H125" s="30"/>
      <c r="I125" s="30"/>
      <c r="J125" s="156"/>
      <c r="K125" s="30"/>
      <c r="L125" s="134" t="s">
        <v>202</v>
      </c>
      <c r="M125" s="80"/>
      <c r="N125" s="80">
        <v>0</v>
      </c>
      <c r="O125" s="80"/>
      <c r="P125" s="80">
        <v>0</v>
      </c>
      <c r="Q125" s="80"/>
      <c r="R125" s="6">
        <f t="shared" si="32"/>
        <v>0</v>
      </c>
      <c r="S125" s="80"/>
      <c r="T125" s="80">
        <v>0</v>
      </c>
      <c r="U125" s="80"/>
      <c r="V125" s="80">
        <v>0</v>
      </c>
      <c r="W125" s="80"/>
      <c r="X125" s="80">
        <v>0</v>
      </c>
      <c r="Y125" s="80"/>
      <c r="Z125" s="80">
        <v>0</v>
      </c>
      <c r="AA125" s="80"/>
      <c r="AB125" s="80">
        <v>0</v>
      </c>
      <c r="AC125" s="80"/>
      <c r="AD125" s="80">
        <v>0</v>
      </c>
      <c r="AE125" s="80"/>
      <c r="AF125" s="80">
        <v>0</v>
      </c>
      <c r="AG125" s="80"/>
      <c r="AH125" s="80">
        <v>0</v>
      </c>
      <c r="AI125" s="80"/>
      <c r="AJ125" s="80">
        <v>0</v>
      </c>
      <c r="AK125" s="80"/>
      <c r="AL125" s="80"/>
      <c r="AM125" s="80"/>
      <c r="AN125" s="80">
        <v>0</v>
      </c>
      <c r="AO125" s="80"/>
      <c r="AP125" s="80">
        <v>0</v>
      </c>
      <c r="AQ125" s="80"/>
      <c r="AR125" s="80">
        <v>0</v>
      </c>
      <c r="AS125" s="80"/>
      <c r="AT125" s="80">
        <v>0</v>
      </c>
      <c r="AU125" s="80"/>
      <c r="AV125" s="80">
        <v>0</v>
      </c>
      <c r="AW125" s="80"/>
      <c r="AX125" s="80">
        <v>0</v>
      </c>
      <c r="AY125" s="80"/>
      <c r="AZ125" s="80">
        <v>0</v>
      </c>
      <c r="BA125" s="80"/>
      <c r="BB125" s="80">
        <v>0</v>
      </c>
      <c r="BC125" s="80"/>
      <c r="BD125" s="80">
        <v>0</v>
      </c>
      <c r="BE125" s="80"/>
      <c r="BF125" s="80">
        <v>0</v>
      </c>
      <c r="BG125" s="80"/>
      <c r="BH125" s="80">
        <v>0</v>
      </c>
      <c r="BI125" s="80"/>
      <c r="BJ125" s="80">
        <v>0</v>
      </c>
      <c r="BK125" s="80"/>
      <c r="BL125" s="80">
        <v>0</v>
      </c>
      <c r="BM125" s="80"/>
      <c r="BN125" s="80">
        <f t="shared" si="33"/>
        <v>0</v>
      </c>
      <c r="BO125" s="80"/>
      <c r="BP125" s="80">
        <v>0</v>
      </c>
      <c r="BQ125" s="80"/>
      <c r="BR125" s="80">
        <f t="shared" si="34"/>
        <v>0</v>
      </c>
      <c r="BS125" s="80"/>
      <c r="BT125" s="6">
        <f t="shared" si="35"/>
        <v>0</v>
      </c>
      <c r="BU125" s="80"/>
      <c r="BV125" s="6">
        <f t="shared" si="36"/>
        <v>0</v>
      </c>
      <c r="BW125" s="80"/>
    </row>
    <row r="126" spans="1:75" s="109" customFormat="1" hidden="1">
      <c r="A126" s="77"/>
      <c r="B126" s="17"/>
      <c r="C126" s="30"/>
      <c r="D126" s="30"/>
      <c r="E126" s="30"/>
      <c r="F126" s="30"/>
      <c r="G126" s="30"/>
      <c r="H126" s="30"/>
      <c r="I126" s="30"/>
      <c r="J126" s="156"/>
      <c r="K126" s="30"/>
      <c r="L126" s="141"/>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row>
    <row r="127" spans="1:75" s="104" customFormat="1" hidden="1">
      <c r="A127" s="111"/>
      <c r="B127" s="77" t="s">
        <v>24</v>
      </c>
      <c r="C127" s="21"/>
      <c r="D127" s="21"/>
      <c r="E127" s="21"/>
      <c r="F127" s="21"/>
      <c r="G127" s="21"/>
      <c r="H127" s="21"/>
      <c r="I127" s="21"/>
      <c r="J127" s="8"/>
      <c r="K127" s="21"/>
      <c r="L127" s="143"/>
      <c r="M127" s="16"/>
      <c r="N127" s="108">
        <f>SUM(N116:N126)</f>
        <v>0</v>
      </c>
      <c r="O127" s="16"/>
      <c r="P127" s="108">
        <f>SUM(P116:P126)</f>
        <v>0</v>
      </c>
      <c r="Q127" s="16"/>
      <c r="R127" s="108">
        <f>SUM(R116:R126)</f>
        <v>0</v>
      </c>
      <c r="S127" s="16"/>
      <c r="T127" s="108">
        <f>SUM(T116:T126)</f>
        <v>0</v>
      </c>
      <c r="U127" s="16"/>
      <c r="V127" s="108">
        <f>SUM(V116:V126)</f>
        <v>0</v>
      </c>
      <c r="W127" s="16"/>
      <c r="X127" s="108">
        <f>SUM(X116:X126)</f>
        <v>0</v>
      </c>
      <c r="Y127" s="16"/>
      <c r="Z127" s="108">
        <f>SUM(Z116:Z126)</f>
        <v>0</v>
      </c>
      <c r="AA127" s="16"/>
      <c r="AB127" s="108">
        <f>SUM(AB116:AB126)</f>
        <v>0</v>
      </c>
      <c r="AC127" s="16"/>
      <c r="AD127" s="108">
        <f>SUM(AD116:AD126)</f>
        <v>0</v>
      </c>
      <c r="AE127" s="16"/>
      <c r="AF127" s="108">
        <f>SUM(AF116:AF126)</f>
        <v>0</v>
      </c>
      <c r="AG127" s="16"/>
      <c r="AH127" s="108">
        <f>SUM(AH116:AH126)</f>
        <v>0</v>
      </c>
      <c r="AI127" s="16"/>
      <c r="AJ127" s="108">
        <f>SUM(AJ116:AJ126)</f>
        <v>0</v>
      </c>
      <c r="AK127" s="16"/>
      <c r="AL127" s="108"/>
      <c r="AM127" s="16"/>
      <c r="AN127" s="108">
        <f>SUM(AN116:AN126)</f>
        <v>0</v>
      </c>
      <c r="AO127" s="16"/>
      <c r="AP127" s="108">
        <f>SUM(AP116:AP126)</f>
        <v>0</v>
      </c>
      <c r="AQ127" s="16"/>
      <c r="AR127" s="108">
        <f>SUM(AR116:AR126)</f>
        <v>0</v>
      </c>
      <c r="AS127" s="16"/>
      <c r="AT127" s="108">
        <f>SUM(AT116:AT126)</f>
        <v>0</v>
      </c>
      <c r="AU127" s="16"/>
      <c r="AV127" s="108">
        <f>SUM(AV116:AV126)</f>
        <v>0</v>
      </c>
      <c r="AW127" s="103"/>
      <c r="AX127" s="108">
        <f>SUM(AX116:AX126)</f>
        <v>0</v>
      </c>
      <c r="AY127" s="103"/>
      <c r="AZ127" s="108">
        <f>SUM(AZ116:AZ126)</f>
        <v>0</v>
      </c>
      <c r="BA127" s="103"/>
      <c r="BB127" s="108">
        <f>SUM(BB116:BB126)</f>
        <v>0</v>
      </c>
      <c r="BC127" s="103"/>
      <c r="BD127" s="108">
        <f>SUM(BD116:BD126)</f>
        <v>0</v>
      </c>
      <c r="BE127" s="103"/>
      <c r="BF127" s="108">
        <f>SUM(BF116:BF126)</f>
        <v>0</v>
      </c>
      <c r="BG127" s="103"/>
      <c r="BH127" s="108">
        <f>SUM(BH116:BH126)</f>
        <v>0</v>
      </c>
      <c r="BI127" s="103"/>
      <c r="BJ127" s="108">
        <f>SUM(BJ116:BJ126)</f>
        <v>0</v>
      </c>
      <c r="BK127" s="103"/>
      <c r="BL127" s="108">
        <f>SUM(BL116:BL126)</f>
        <v>0</v>
      </c>
      <c r="BM127" s="16"/>
      <c r="BN127" s="108">
        <f>SUM(BN116:BN126)</f>
        <v>0</v>
      </c>
      <c r="BO127" s="16"/>
      <c r="BP127" s="108">
        <f>SUM(BP116:BP126)</f>
        <v>0</v>
      </c>
      <c r="BQ127" s="16"/>
      <c r="BR127" s="108">
        <f>SUM(BR116:BR126)</f>
        <v>0</v>
      </c>
      <c r="BS127" s="16"/>
      <c r="BT127" s="108">
        <f>SUM(BT116:BT126)</f>
        <v>0</v>
      </c>
      <c r="BU127" s="16"/>
      <c r="BV127" s="108">
        <f>SUM(BV116:BV126)</f>
        <v>0</v>
      </c>
      <c r="BW127" s="103"/>
    </row>
    <row r="128" spans="1:75" s="15" customFormat="1" hidden="1">
      <c r="A128" s="14"/>
      <c r="B128" s="60"/>
      <c r="C128"/>
      <c r="D128"/>
      <c r="E128"/>
      <c r="F128"/>
      <c r="G128"/>
      <c r="H128"/>
      <c r="I128"/>
      <c r="J128" s="49"/>
      <c r="K128"/>
      <c r="L128" s="134"/>
      <c r="M128" s="22"/>
      <c r="N128" s="22"/>
      <c r="O128" s="22"/>
      <c r="P128" s="22"/>
      <c r="Q128" s="22"/>
      <c r="R128" s="22"/>
      <c r="S128" s="22"/>
      <c r="T128" s="22"/>
      <c r="U128" s="22"/>
      <c r="V128" s="22"/>
      <c r="W128" s="22"/>
      <c r="X128" s="22"/>
      <c r="Y128" s="22"/>
      <c r="Z128" s="22"/>
      <c r="AA128" s="22"/>
      <c r="AB128" s="22"/>
      <c r="AC128" s="22"/>
      <c r="AD128" s="22"/>
      <c r="AE128" s="22"/>
      <c r="AF128" s="22"/>
      <c r="AG128" s="22"/>
      <c r="AH128" s="22"/>
      <c r="AI128" s="22"/>
      <c r="AJ128" s="22"/>
      <c r="AK128" s="22"/>
      <c r="AL128" s="22"/>
      <c r="AM128" s="22"/>
      <c r="AN128" s="22"/>
      <c r="AO128" s="22"/>
      <c r="AP128" s="22"/>
      <c r="AQ128" s="22"/>
      <c r="AR128" s="22"/>
      <c r="AS128" s="22"/>
      <c r="AT128" s="22"/>
      <c r="AU128" s="22"/>
      <c r="AV128" s="22"/>
      <c r="AW128" s="22"/>
      <c r="AX128" s="22"/>
      <c r="AY128" s="22"/>
      <c r="AZ128" s="22"/>
      <c r="BA128" s="22"/>
      <c r="BB128" s="22"/>
      <c r="BC128" s="22"/>
      <c r="BD128" s="22"/>
      <c r="BE128" s="22"/>
      <c r="BF128" s="22"/>
      <c r="BG128" s="22"/>
      <c r="BH128" s="22"/>
      <c r="BI128" s="22"/>
      <c r="BJ128" s="22"/>
      <c r="BK128" s="22"/>
      <c r="BL128" s="22"/>
      <c r="BM128" s="22"/>
      <c r="BN128" s="22"/>
      <c r="BO128" s="22"/>
      <c r="BP128" s="22"/>
      <c r="BQ128" s="22"/>
      <c r="BR128" s="22"/>
      <c r="BS128" s="22"/>
      <c r="BT128" s="22"/>
      <c r="BU128" s="22"/>
      <c r="BV128" s="22"/>
      <c r="BW128" s="22"/>
    </row>
    <row r="129" spans="1:75" s="15" customFormat="1">
      <c r="A129" s="14"/>
      <c r="B129" s="60"/>
      <c r="C129"/>
      <c r="D129"/>
      <c r="E129"/>
      <c r="F129"/>
      <c r="G129"/>
      <c r="H129"/>
      <c r="I129"/>
      <c r="J129" s="49"/>
      <c r="K129"/>
      <c r="L129" s="134"/>
      <c r="M129" s="22"/>
      <c r="N129" s="22"/>
      <c r="O129" s="22"/>
      <c r="P129" s="22"/>
      <c r="Q129" s="22"/>
      <c r="R129" s="22"/>
      <c r="S129" s="22"/>
      <c r="T129" s="22"/>
      <c r="U129" s="22"/>
      <c r="V129" s="22"/>
      <c r="W129" s="22"/>
      <c r="X129" s="22"/>
      <c r="Y129" s="22"/>
      <c r="Z129" s="22"/>
      <c r="AA129" s="22"/>
      <c r="AB129" s="22"/>
      <c r="AC129" s="22"/>
      <c r="AD129" s="22"/>
      <c r="AE129" s="22"/>
      <c r="AF129" s="22"/>
      <c r="AG129" s="22"/>
      <c r="AH129" s="22"/>
      <c r="AI129" s="22"/>
      <c r="AJ129" s="22"/>
      <c r="AK129" s="22"/>
      <c r="AL129" s="22"/>
      <c r="AM129" s="22"/>
      <c r="AN129" s="22"/>
      <c r="AO129" s="22"/>
      <c r="AP129" s="22"/>
      <c r="AQ129" s="22"/>
      <c r="AR129" s="22"/>
      <c r="AS129" s="22"/>
      <c r="AT129" s="22"/>
      <c r="AU129" s="22"/>
      <c r="AV129" s="22"/>
      <c r="AW129" s="22"/>
      <c r="AX129" s="22"/>
      <c r="AY129" s="22"/>
      <c r="AZ129" s="22"/>
      <c r="BA129" s="22"/>
      <c r="BB129" s="22"/>
      <c r="BC129" s="22"/>
      <c r="BD129" s="22"/>
      <c r="BE129" s="22"/>
      <c r="BF129" s="22"/>
      <c r="BG129" s="22"/>
      <c r="BH129" s="22"/>
      <c r="BI129" s="22"/>
      <c r="BJ129" s="22"/>
      <c r="BK129" s="22"/>
      <c r="BL129" s="22"/>
      <c r="BM129" s="22"/>
      <c r="BN129" s="22"/>
      <c r="BO129" s="22"/>
      <c r="BP129" s="22"/>
      <c r="BQ129" s="22"/>
      <c r="BR129" s="22"/>
      <c r="BS129" s="22"/>
      <c r="BT129" s="22"/>
      <c r="BU129" s="22"/>
      <c r="BV129" s="22"/>
      <c r="BW129" s="22"/>
    </row>
    <row r="130" spans="1:75">
      <c r="A130" s="56" t="s">
        <v>25</v>
      </c>
      <c r="B130" s="58"/>
      <c r="C130"/>
      <c r="D130"/>
      <c r="E130"/>
      <c r="F130"/>
      <c r="G130"/>
      <c r="H130"/>
      <c r="I130"/>
      <c r="J130" s="49"/>
      <c r="K130"/>
      <c r="L130" s="134"/>
      <c r="M130" s="22"/>
      <c r="O130" s="22"/>
      <c r="Q130" s="22"/>
      <c r="S130" s="22"/>
      <c r="T130" s="6"/>
      <c r="U130" s="6"/>
      <c r="V130" s="6"/>
      <c r="X130" s="6"/>
      <c r="Z130" s="6"/>
      <c r="AB130" s="6"/>
      <c r="AD130" s="6"/>
      <c r="BL130" s="6"/>
      <c r="BM130" s="6"/>
      <c r="BO130" s="6"/>
      <c r="BP130" s="6"/>
      <c r="BQ130" s="6"/>
      <c r="BS130" s="22"/>
      <c r="BU130" s="22"/>
      <c r="BW130" s="6"/>
    </row>
    <row r="131" spans="1:75">
      <c r="A131" s="61"/>
      <c r="B131" s="17" t="s">
        <v>529</v>
      </c>
      <c r="E131" s="4"/>
      <c r="G131" s="4"/>
      <c r="I131" s="4"/>
      <c r="J131" s="5" t="s">
        <v>0</v>
      </c>
      <c r="L131" s="134" t="s">
        <v>202</v>
      </c>
      <c r="M131" s="22"/>
      <c r="N131" s="6">
        <v>0</v>
      </c>
      <c r="O131" s="22"/>
      <c r="P131" s="6">
        <v>0</v>
      </c>
      <c r="Q131" s="22"/>
      <c r="R131" s="6">
        <v>185000</v>
      </c>
      <c r="S131" s="22"/>
      <c r="T131" s="6">
        <v>0</v>
      </c>
      <c r="U131" s="6"/>
      <c r="V131" s="6">
        <v>0</v>
      </c>
      <c r="X131" s="6">
        <v>0</v>
      </c>
      <c r="Z131" s="6">
        <v>0</v>
      </c>
      <c r="AB131" s="6">
        <v>0</v>
      </c>
      <c r="AD131" s="6">
        <v>0</v>
      </c>
      <c r="AF131" s="6">
        <v>0</v>
      </c>
      <c r="AH131" s="6">
        <v>0</v>
      </c>
      <c r="AJ131" s="6">
        <v>0</v>
      </c>
      <c r="AN131" s="6">
        <v>0</v>
      </c>
      <c r="AP131" s="6">
        <v>0</v>
      </c>
      <c r="AR131" s="6">
        <v>0</v>
      </c>
      <c r="AT131" s="6">
        <v>0</v>
      </c>
      <c r="AV131" s="6">
        <v>0</v>
      </c>
      <c r="AX131" s="6">
        <v>37000</v>
      </c>
      <c r="AZ131" s="6">
        <v>37000</v>
      </c>
      <c r="BB131" s="6">
        <v>37000</v>
      </c>
      <c r="BD131" s="6">
        <v>0</v>
      </c>
      <c r="BF131" s="6">
        <v>0</v>
      </c>
      <c r="BH131" s="6">
        <v>0</v>
      </c>
      <c r="BJ131" s="6">
        <v>0</v>
      </c>
      <c r="BL131" s="6">
        <v>0</v>
      </c>
      <c r="BM131" s="6"/>
      <c r="BN131" s="6">
        <f>SUM(T131:BM131)</f>
        <v>111000</v>
      </c>
      <c r="BO131" s="6"/>
      <c r="BP131" s="6">
        <v>0</v>
      </c>
      <c r="BQ131" s="6"/>
      <c r="BR131" s="6">
        <f>IF(+R131-BN131+BP131&gt;0,R131-BN131+BP131,0)</f>
        <v>74000</v>
      </c>
      <c r="BS131" s="22"/>
      <c r="BT131" s="6">
        <f>+BN131+BR131</f>
        <v>185000</v>
      </c>
      <c r="BU131" s="22"/>
      <c r="BV131" s="6">
        <f>+R131-BT131</f>
        <v>0</v>
      </c>
      <c r="BW131" s="6"/>
    </row>
    <row r="132" spans="1:75">
      <c r="A132" s="61"/>
      <c r="B132" s="17" t="s">
        <v>531</v>
      </c>
      <c r="E132" s="4"/>
      <c r="G132" s="4"/>
      <c r="I132" s="4"/>
      <c r="L132" s="134" t="s">
        <v>202</v>
      </c>
      <c r="M132" s="22"/>
      <c r="N132" s="6">
        <v>0</v>
      </c>
      <c r="O132" s="22"/>
      <c r="P132" s="6">
        <v>0</v>
      </c>
      <c r="Q132" s="22"/>
      <c r="R132" s="6">
        <v>723786</v>
      </c>
      <c r="S132" s="22"/>
      <c r="T132" s="6">
        <v>0</v>
      </c>
      <c r="U132" s="6"/>
      <c r="V132" s="6">
        <v>0</v>
      </c>
      <c r="X132" s="6">
        <v>0</v>
      </c>
      <c r="Z132" s="6">
        <v>0</v>
      </c>
      <c r="AB132" s="6">
        <v>0</v>
      </c>
      <c r="AD132" s="6">
        <v>0</v>
      </c>
      <c r="AF132" s="6">
        <v>0</v>
      </c>
      <c r="AH132" s="6">
        <v>0</v>
      </c>
      <c r="AJ132" s="6">
        <v>0</v>
      </c>
      <c r="AN132" s="6">
        <v>0</v>
      </c>
      <c r="AP132" s="6">
        <v>0</v>
      </c>
      <c r="AR132" s="6">
        <v>0</v>
      </c>
      <c r="AT132" s="6">
        <v>0</v>
      </c>
      <c r="AV132" s="6">
        <v>0</v>
      </c>
      <c r="AX132" s="6">
        <v>0</v>
      </c>
      <c r="AZ132" s="6">
        <f>55868.55+55613</f>
        <v>111481.55</v>
      </c>
      <c r="BB132" s="6">
        <v>138056.89000000001</v>
      </c>
      <c r="BD132" s="6">
        <v>0</v>
      </c>
      <c r="BF132" s="6">
        <v>0</v>
      </c>
      <c r="BH132" s="6">
        <v>0</v>
      </c>
      <c r="BJ132" s="6">
        <v>0</v>
      </c>
      <c r="BL132" s="6">
        <v>0</v>
      </c>
      <c r="BM132" s="6"/>
      <c r="BN132" s="6">
        <f>SUM(T132:BM132)</f>
        <v>249538.44</v>
      </c>
      <c r="BO132" s="6"/>
      <c r="BP132" s="6">
        <v>0</v>
      </c>
      <c r="BQ132" s="6"/>
      <c r="BR132" s="6">
        <f>+R132-BN132+BP132</f>
        <v>474247.56</v>
      </c>
      <c r="BS132" s="22"/>
      <c r="BT132" s="6">
        <f>+BN132+BR132</f>
        <v>723786</v>
      </c>
      <c r="BU132" s="22"/>
      <c r="BV132" s="6">
        <f>+R132-BT132</f>
        <v>0</v>
      </c>
      <c r="BW132" s="6"/>
    </row>
    <row r="133" spans="1:75" hidden="1">
      <c r="A133" s="61"/>
      <c r="B133" s="17" t="s">
        <v>121</v>
      </c>
      <c r="E133" s="4"/>
      <c r="G133" s="4"/>
      <c r="I133" s="4"/>
      <c r="L133" s="134" t="s">
        <v>202</v>
      </c>
      <c r="M133" s="22"/>
      <c r="N133" s="6">
        <v>0</v>
      </c>
      <c r="O133" s="22"/>
      <c r="P133" s="6">
        <v>0</v>
      </c>
      <c r="Q133" s="22"/>
      <c r="R133" s="6">
        <v>0</v>
      </c>
      <c r="S133" s="22"/>
      <c r="T133" s="6">
        <v>0</v>
      </c>
      <c r="U133" s="6"/>
      <c r="V133" s="6">
        <v>0</v>
      </c>
      <c r="X133" s="6">
        <v>0</v>
      </c>
      <c r="Z133" s="6">
        <v>0</v>
      </c>
      <c r="AB133" s="6">
        <v>0</v>
      </c>
      <c r="AD133" s="6">
        <v>0</v>
      </c>
      <c r="AF133" s="6">
        <v>0</v>
      </c>
      <c r="AH133" s="6">
        <v>0</v>
      </c>
      <c r="AJ133" s="6">
        <v>0</v>
      </c>
      <c r="AN133" s="6">
        <v>0</v>
      </c>
      <c r="AP133" s="6">
        <v>0</v>
      </c>
      <c r="AR133" s="6">
        <v>0</v>
      </c>
      <c r="AT133" s="6">
        <v>0</v>
      </c>
      <c r="AV133" s="6">
        <v>0</v>
      </c>
      <c r="AX133" s="6">
        <v>0</v>
      </c>
      <c r="AZ133" s="6">
        <v>0</v>
      </c>
      <c r="BB133" s="6">
        <v>0</v>
      </c>
      <c r="BD133" s="6">
        <v>0</v>
      </c>
      <c r="BF133" s="6">
        <v>0</v>
      </c>
      <c r="BH133" s="6">
        <v>0</v>
      </c>
      <c r="BJ133" s="6">
        <v>0</v>
      </c>
      <c r="BL133" s="6">
        <v>0</v>
      </c>
      <c r="BM133" s="6"/>
      <c r="BN133" s="6">
        <f>SUM(T133:BM133)</f>
        <v>0</v>
      </c>
      <c r="BO133" s="6"/>
      <c r="BP133" s="6">
        <v>0</v>
      </c>
      <c r="BQ133" s="6"/>
      <c r="BR133" s="6">
        <f>+R133-BN133+BP133</f>
        <v>0</v>
      </c>
      <c r="BS133" s="22"/>
      <c r="BT133" s="6">
        <f>+BN133+BR133</f>
        <v>0</v>
      </c>
      <c r="BU133" s="22"/>
      <c r="BV133" s="6">
        <f>+R133-BT133</f>
        <v>0</v>
      </c>
      <c r="BW133" s="6"/>
    </row>
    <row r="134" spans="1:75" s="21" customFormat="1">
      <c r="A134" s="56"/>
      <c r="B134" s="58" t="s">
        <v>247</v>
      </c>
      <c r="J134" s="8"/>
      <c r="L134" s="143"/>
      <c r="M134" s="16"/>
      <c r="N134" s="102">
        <f>SUM(N131:N133)</f>
        <v>0</v>
      </c>
      <c r="O134" s="16"/>
      <c r="P134" s="102">
        <f>SUM(P131:P133)</f>
        <v>0</v>
      </c>
      <c r="Q134" s="16"/>
      <c r="R134" s="102">
        <f>SUM(R131:R133)</f>
        <v>908786</v>
      </c>
      <c r="S134" s="16"/>
      <c r="T134" s="102">
        <f>SUM(T131:T133)</f>
        <v>0</v>
      </c>
      <c r="U134" s="9"/>
      <c r="V134" s="102">
        <f>SUM(V131:V133)</f>
        <v>0</v>
      </c>
      <c r="W134" s="9"/>
      <c r="X134" s="102">
        <f>SUM(X131:X133)</f>
        <v>0</v>
      </c>
      <c r="Y134" s="9"/>
      <c r="Z134" s="102">
        <f>SUM(Z131:Z133)</f>
        <v>0</v>
      </c>
      <c r="AA134" s="9"/>
      <c r="AB134" s="102">
        <f>SUM(AB131:AB133)</f>
        <v>0</v>
      </c>
      <c r="AC134" s="9"/>
      <c r="AD134" s="102">
        <f>SUM(AD131:AD133)</f>
        <v>0</v>
      </c>
      <c r="AE134" s="9"/>
      <c r="AF134" s="102">
        <f>SUM(AF131:AF133)</f>
        <v>0</v>
      </c>
      <c r="AG134" s="9"/>
      <c r="AH134" s="102">
        <f>SUM(AH131:AH133)</f>
        <v>0</v>
      </c>
      <c r="AI134" s="9"/>
      <c r="AJ134" s="102">
        <f>SUM(AJ131:AJ133)</f>
        <v>0</v>
      </c>
      <c r="AK134" s="9"/>
      <c r="AL134" s="102">
        <f>SUM(AL131:AL133)</f>
        <v>0</v>
      </c>
      <c r="AM134" s="102"/>
      <c r="AN134" s="102">
        <f>SUM(AN131:AN133)</f>
        <v>0</v>
      </c>
      <c r="AO134" s="9"/>
      <c r="AP134" s="102">
        <f>SUM(AP131:AP133)</f>
        <v>0</v>
      </c>
      <c r="AQ134" s="9"/>
      <c r="AR134" s="102">
        <f>SUM(AR131:AR133)</f>
        <v>0</v>
      </c>
      <c r="AS134" s="9"/>
      <c r="AT134" s="102">
        <f>SUM(AT131:AT133)</f>
        <v>0</v>
      </c>
      <c r="AU134" s="9"/>
      <c r="AV134" s="102">
        <f>SUM(AV131:AV133)</f>
        <v>0</v>
      </c>
      <c r="AW134" s="10"/>
      <c r="AX134" s="102">
        <f>SUM(AX131:AX133)</f>
        <v>37000</v>
      </c>
      <c r="AY134" s="10"/>
      <c r="AZ134" s="102">
        <f>SUM(AZ131:AZ133)</f>
        <v>148481.54999999999</v>
      </c>
      <c r="BA134" s="10"/>
      <c r="BB134" s="102">
        <f>SUM(BB131:BB133)</f>
        <v>175056.89</v>
      </c>
      <c r="BC134" s="10"/>
      <c r="BD134" s="102">
        <f>SUM(BD131:BD133)</f>
        <v>0</v>
      </c>
      <c r="BE134" s="10"/>
      <c r="BF134" s="102">
        <f>SUM(BF131:BF133)</f>
        <v>0</v>
      </c>
      <c r="BG134" s="10"/>
      <c r="BH134" s="102">
        <f>SUM(BH131:BH133)</f>
        <v>0</v>
      </c>
      <c r="BI134" s="10"/>
      <c r="BJ134" s="102">
        <f>SUM(BJ131:BJ133)</f>
        <v>0</v>
      </c>
      <c r="BK134" s="10"/>
      <c r="BL134" s="102">
        <f>SUM(BL131:BL133)</f>
        <v>0</v>
      </c>
      <c r="BM134" s="9"/>
      <c r="BN134" s="102">
        <f>SUM(BN131:BN133)</f>
        <v>360538.44</v>
      </c>
      <c r="BO134" s="9"/>
      <c r="BP134" s="102">
        <f>SUM(BP131:BP133)</f>
        <v>0</v>
      </c>
      <c r="BQ134" s="9"/>
      <c r="BR134" s="102">
        <f>SUM(BR131:BR133)</f>
        <v>548247.56000000006</v>
      </c>
      <c r="BS134" s="16"/>
      <c r="BT134" s="102">
        <f>SUM(BT131:BT133)</f>
        <v>908786</v>
      </c>
      <c r="BU134" s="16"/>
      <c r="BV134" s="102">
        <f>SUM(BV131:BV133)</f>
        <v>0</v>
      </c>
      <c r="BW134" s="9"/>
    </row>
    <row r="135" spans="1:75" s="21" customFormat="1">
      <c r="A135" s="56"/>
      <c r="B135" s="58"/>
      <c r="J135" s="8"/>
      <c r="L135" s="143"/>
      <c r="M135" s="16"/>
      <c r="N135" s="10"/>
      <c r="O135" s="16"/>
      <c r="P135" s="10"/>
      <c r="Q135" s="16"/>
      <c r="R135" s="10"/>
      <c r="S135" s="16"/>
      <c r="T135" s="10"/>
      <c r="U135" s="9"/>
      <c r="V135" s="10"/>
      <c r="W135" s="9"/>
      <c r="X135" s="10"/>
      <c r="Y135" s="9"/>
      <c r="Z135" s="10"/>
      <c r="AA135" s="9"/>
      <c r="AB135" s="10"/>
      <c r="AC135" s="9"/>
      <c r="AD135" s="10"/>
      <c r="AE135" s="9"/>
      <c r="AF135" s="10"/>
      <c r="AG135" s="9"/>
      <c r="AH135" s="10"/>
      <c r="AI135" s="9"/>
      <c r="AJ135" s="10"/>
      <c r="AK135" s="9"/>
      <c r="AL135" s="10"/>
      <c r="AM135" s="9"/>
      <c r="AN135" s="10"/>
      <c r="AO135" s="9"/>
      <c r="AP135" s="10"/>
      <c r="AQ135" s="9"/>
      <c r="AR135" s="10"/>
      <c r="AS135" s="9"/>
      <c r="AT135" s="10"/>
      <c r="AU135" s="9"/>
      <c r="AV135" s="10"/>
      <c r="AW135" s="10"/>
      <c r="AX135" s="10"/>
      <c r="AY135" s="10"/>
      <c r="AZ135" s="10"/>
      <c r="BA135" s="10"/>
      <c r="BB135" s="10"/>
      <c r="BC135" s="10"/>
      <c r="BD135" s="10"/>
      <c r="BE135" s="10"/>
      <c r="BF135" s="10"/>
      <c r="BG135" s="10"/>
      <c r="BH135" s="10"/>
      <c r="BI135" s="10"/>
      <c r="BJ135" s="10"/>
      <c r="BK135" s="10"/>
      <c r="BL135" s="10"/>
      <c r="BM135" s="9"/>
      <c r="BN135" s="10"/>
      <c r="BO135" s="9"/>
      <c r="BP135" s="10"/>
      <c r="BQ135" s="9"/>
      <c r="BR135" s="10"/>
      <c r="BS135" s="16"/>
      <c r="BT135" s="10"/>
      <c r="BU135" s="16"/>
      <c r="BV135" s="10"/>
      <c r="BW135" s="9"/>
    </row>
    <row r="136" spans="1:75" s="21" customFormat="1">
      <c r="A136" s="62" t="s">
        <v>120</v>
      </c>
      <c r="B136" s="58"/>
      <c r="J136" s="8" t="s">
        <v>0</v>
      </c>
      <c r="L136" s="143" t="s">
        <v>202</v>
      </c>
      <c r="M136" s="9"/>
      <c r="N136" s="9">
        <v>0</v>
      </c>
      <c r="O136" s="9"/>
      <c r="P136" s="9">
        <v>0</v>
      </c>
      <c r="Q136" s="9"/>
      <c r="R136" s="9">
        <v>0</v>
      </c>
      <c r="S136" s="9"/>
      <c r="T136" s="9">
        <v>0</v>
      </c>
      <c r="U136" s="9"/>
      <c r="V136" s="9">
        <v>0</v>
      </c>
      <c r="W136" s="9"/>
      <c r="X136" s="9">
        <v>0</v>
      </c>
      <c r="Y136" s="9"/>
      <c r="Z136" s="9">
        <v>0</v>
      </c>
      <c r="AA136" s="9"/>
      <c r="AB136" s="9">
        <v>0</v>
      </c>
      <c r="AC136" s="9"/>
      <c r="AD136" s="9">
        <v>0</v>
      </c>
      <c r="AE136" s="9"/>
      <c r="AF136" s="9">
        <v>0</v>
      </c>
      <c r="AG136" s="9"/>
      <c r="AH136" s="9">
        <v>0</v>
      </c>
      <c r="AI136" s="9"/>
      <c r="AJ136" s="9">
        <v>0</v>
      </c>
      <c r="AK136" s="9"/>
      <c r="AL136" s="9"/>
      <c r="AM136" s="9"/>
      <c r="AN136" s="9">
        <v>0</v>
      </c>
      <c r="AO136" s="9"/>
      <c r="AP136" s="9">
        <v>0</v>
      </c>
      <c r="AQ136" s="9"/>
      <c r="AR136" s="9">
        <v>0</v>
      </c>
      <c r="AS136" s="9"/>
      <c r="AT136" s="9">
        <v>0</v>
      </c>
      <c r="AU136" s="9"/>
      <c r="AV136" s="9">
        <v>0</v>
      </c>
      <c r="AW136" s="9"/>
      <c r="AX136" s="9">
        <v>0</v>
      </c>
      <c r="AY136" s="9"/>
      <c r="AZ136" s="9">
        <v>0</v>
      </c>
      <c r="BA136" s="9"/>
      <c r="BB136" s="9">
        <v>0</v>
      </c>
      <c r="BC136" s="9"/>
      <c r="BD136" s="9">
        <v>0</v>
      </c>
      <c r="BE136" s="9"/>
      <c r="BF136" s="9">
        <v>0</v>
      </c>
      <c r="BG136" s="9"/>
      <c r="BH136" s="9">
        <v>0</v>
      </c>
      <c r="BI136" s="9"/>
      <c r="BJ136" s="9">
        <v>0</v>
      </c>
      <c r="BK136" s="9"/>
      <c r="BL136" s="9">
        <v>0</v>
      </c>
      <c r="BM136" s="9"/>
      <c r="BN136" s="9">
        <f>SUM(T136:BM136)</f>
        <v>0</v>
      </c>
      <c r="BO136" s="9"/>
      <c r="BP136" s="9">
        <v>0</v>
      </c>
      <c r="BQ136" s="9"/>
      <c r="BR136" s="6">
        <f>IF(+R136-BN136+BP136&gt;0,R136-BN136+BP136,0)</f>
        <v>0</v>
      </c>
      <c r="BS136" s="9"/>
      <c r="BT136" s="9">
        <f>+BN136+BR136</f>
        <v>0</v>
      </c>
      <c r="BU136" s="9"/>
      <c r="BV136" s="9">
        <f>+R136-BT136</f>
        <v>0</v>
      </c>
      <c r="BW136" s="9"/>
    </row>
    <row r="137" spans="1:75" s="21" customFormat="1">
      <c r="A137" s="62"/>
      <c r="B137" s="58"/>
      <c r="J137" s="8"/>
      <c r="L137" s="143"/>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row>
    <row r="138" spans="1:75" s="21" customFormat="1" hidden="1">
      <c r="A138" s="56" t="s">
        <v>216</v>
      </c>
      <c r="B138" s="31"/>
      <c r="J138" s="8" t="s">
        <v>0</v>
      </c>
      <c r="L138" s="134" t="s">
        <v>202</v>
      </c>
      <c r="M138" s="9"/>
      <c r="N138" s="9">
        <v>400000</v>
      </c>
      <c r="O138" s="9"/>
      <c r="P138" s="9">
        <v>100000</v>
      </c>
      <c r="Q138" s="9"/>
      <c r="R138" s="9">
        <v>0</v>
      </c>
      <c r="S138" s="9"/>
      <c r="T138" s="9">
        <v>0</v>
      </c>
      <c r="U138" s="9"/>
      <c r="V138" s="9">
        <v>0</v>
      </c>
      <c r="W138" s="9"/>
      <c r="X138" s="9">
        <v>0</v>
      </c>
      <c r="Y138" s="9"/>
      <c r="Z138" s="9">
        <v>0</v>
      </c>
      <c r="AA138" s="9"/>
      <c r="AB138" s="9">
        <v>0</v>
      </c>
      <c r="AC138" s="9"/>
      <c r="AD138" s="9">
        <v>0</v>
      </c>
      <c r="AE138" s="9"/>
      <c r="AF138" s="9">
        <v>0</v>
      </c>
      <c r="AG138" s="9"/>
      <c r="AH138" s="9">
        <v>0</v>
      </c>
      <c r="AI138" s="9"/>
      <c r="AJ138" s="9">
        <v>0</v>
      </c>
      <c r="AK138" s="9"/>
      <c r="AL138" s="9"/>
      <c r="AM138" s="9"/>
      <c r="AN138" s="9">
        <v>0</v>
      </c>
      <c r="AO138" s="9"/>
      <c r="AP138" s="9">
        <v>0</v>
      </c>
      <c r="AQ138" s="9"/>
      <c r="AR138" s="9">
        <v>0</v>
      </c>
      <c r="AS138" s="9"/>
      <c r="AT138" s="9">
        <v>0</v>
      </c>
      <c r="AU138" s="9"/>
      <c r="AV138" s="9">
        <v>0</v>
      </c>
      <c r="AW138" s="9"/>
      <c r="AX138" s="9">
        <v>0</v>
      </c>
      <c r="AY138" s="9"/>
      <c r="AZ138" s="9">
        <v>0</v>
      </c>
      <c r="BA138" s="9"/>
      <c r="BB138" s="9">
        <v>0</v>
      </c>
      <c r="BC138" s="9"/>
      <c r="BD138" s="9">
        <v>0</v>
      </c>
      <c r="BE138" s="9"/>
      <c r="BF138" s="9">
        <v>0</v>
      </c>
      <c r="BG138" s="9"/>
      <c r="BH138" s="9">
        <v>0</v>
      </c>
      <c r="BI138" s="9"/>
      <c r="BJ138" s="9">
        <v>0</v>
      </c>
      <c r="BK138" s="9"/>
      <c r="BL138" s="9">
        <v>0</v>
      </c>
      <c r="BM138" s="9"/>
      <c r="BN138" s="9">
        <f>SUM(T138:BM138)</f>
        <v>0</v>
      </c>
      <c r="BO138" s="9"/>
      <c r="BP138" s="9">
        <v>0</v>
      </c>
      <c r="BQ138" s="9"/>
      <c r="BR138" s="6">
        <f>IF(+R138-BN138+BP138&gt;0,R138-BN138+BP138,0)</f>
        <v>0</v>
      </c>
      <c r="BS138" s="9"/>
      <c r="BT138" s="9">
        <f>+BN138+BR138</f>
        <v>0</v>
      </c>
      <c r="BU138" s="9"/>
      <c r="BV138" s="9">
        <f>+R138-BT138</f>
        <v>0</v>
      </c>
      <c r="BW138" s="9"/>
    </row>
    <row r="139" spans="1:75" s="21" customFormat="1" hidden="1">
      <c r="A139" s="56"/>
      <c r="B139" s="31"/>
      <c r="J139" s="8"/>
      <c r="L139" s="134"/>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row>
    <row r="140" spans="1:75" s="31" customFormat="1">
      <c r="A140" s="58" t="s">
        <v>296</v>
      </c>
      <c r="J140" s="159" t="s">
        <v>0</v>
      </c>
      <c r="L140" s="145" t="s">
        <v>202</v>
      </c>
      <c r="M140" s="10"/>
      <c r="N140" s="10">
        <v>0</v>
      </c>
      <c r="O140" s="10"/>
      <c r="P140" s="10">
        <v>0</v>
      </c>
      <c r="Q140" s="10"/>
      <c r="R140" s="9">
        <v>675000</v>
      </c>
      <c r="S140" s="10"/>
      <c r="T140" s="10">
        <v>0</v>
      </c>
      <c r="U140" s="10"/>
      <c r="V140" s="10">
        <v>0</v>
      </c>
      <c r="W140" s="10"/>
      <c r="X140" s="10">
        <v>0</v>
      </c>
      <c r="Y140" s="10"/>
      <c r="Z140" s="10">
        <v>0</v>
      </c>
      <c r="AA140" s="10"/>
      <c r="AB140" s="10">
        <v>0</v>
      </c>
      <c r="AC140" s="10"/>
      <c r="AD140" s="10">
        <v>0</v>
      </c>
      <c r="AE140" s="10"/>
      <c r="AF140" s="10">
        <v>0</v>
      </c>
      <c r="AG140" s="10"/>
      <c r="AH140" s="10">
        <v>0</v>
      </c>
      <c r="AI140" s="10"/>
      <c r="AJ140" s="10">
        <v>0</v>
      </c>
      <c r="AK140" s="10"/>
      <c r="AL140" s="10"/>
      <c r="AM140" s="10"/>
      <c r="AN140" s="10">
        <v>0</v>
      </c>
      <c r="AO140" s="10"/>
      <c r="AP140" s="10">
        <v>0</v>
      </c>
      <c r="AQ140" s="10"/>
      <c r="AR140" s="10">
        <v>0</v>
      </c>
      <c r="AS140" s="10"/>
      <c r="AT140" s="10">
        <v>0</v>
      </c>
      <c r="AU140" s="10"/>
      <c r="AV140" s="10">
        <v>0</v>
      </c>
      <c r="AW140" s="10"/>
      <c r="AX140" s="10">
        <v>0</v>
      </c>
      <c r="AY140" s="10"/>
      <c r="AZ140" s="10">
        <v>0</v>
      </c>
      <c r="BA140" s="10"/>
      <c r="BB140" s="10">
        <v>0</v>
      </c>
      <c r="BC140" s="10"/>
      <c r="BD140" s="10">
        <v>0</v>
      </c>
      <c r="BE140" s="10"/>
      <c r="BF140" s="10">
        <v>0</v>
      </c>
      <c r="BG140" s="10"/>
      <c r="BH140" s="10">
        <v>0</v>
      </c>
      <c r="BI140" s="10"/>
      <c r="BJ140" s="10">
        <v>0</v>
      </c>
      <c r="BK140" s="10"/>
      <c r="BL140" s="10">
        <v>0</v>
      </c>
      <c r="BM140" s="10"/>
      <c r="BN140" s="10">
        <f>SUM(T140:BM140)</f>
        <v>0</v>
      </c>
      <c r="BO140" s="10"/>
      <c r="BP140" s="10">
        <v>0</v>
      </c>
      <c r="BQ140" s="10"/>
      <c r="BR140" s="6">
        <f>IF(+R140-BN140+BP140&gt;0,R140-BN140+BP140,0)</f>
        <v>675000</v>
      </c>
      <c r="BS140" s="10"/>
      <c r="BT140" s="9">
        <f>+BN140+BR140</f>
        <v>675000</v>
      </c>
      <c r="BU140" s="10"/>
      <c r="BV140" s="9">
        <f>+R140-BT140</f>
        <v>0</v>
      </c>
      <c r="BW140" s="10"/>
    </row>
    <row r="141" spans="1:75" s="21" customFormat="1">
      <c r="A141" s="56"/>
      <c r="B141" s="31"/>
      <c r="J141" s="8"/>
      <c r="L141" s="134"/>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row>
    <row r="142" spans="1:75" s="21" customFormat="1">
      <c r="A142" s="56" t="s">
        <v>26</v>
      </c>
      <c r="B142" s="58"/>
      <c r="J142" s="8" t="s">
        <v>0</v>
      </c>
      <c r="L142" s="134" t="s">
        <v>202</v>
      </c>
      <c r="M142" s="16"/>
      <c r="N142" s="9">
        <v>0</v>
      </c>
      <c r="O142" s="16"/>
      <c r="P142" s="9">
        <v>0</v>
      </c>
      <c r="Q142" s="16"/>
      <c r="R142" s="9">
        <v>1247007</v>
      </c>
      <c r="S142" s="16"/>
      <c r="T142" s="9">
        <v>0</v>
      </c>
      <c r="U142" s="9"/>
      <c r="V142" s="9">
        <v>0</v>
      </c>
      <c r="W142" s="9"/>
      <c r="X142" s="9">
        <v>0</v>
      </c>
      <c r="Y142" s="9"/>
      <c r="Z142" s="9">
        <v>0</v>
      </c>
      <c r="AA142" s="9"/>
      <c r="AB142" s="9">
        <v>0</v>
      </c>
      <c r="AC142" s="9"/>
      <c r="AD142" s="9">
        <v>0</v>
      </c>
      <c r="AE142" s="9"/>
      <c r="AF142" s="9">
        <v>0</v>
      </c>
      <c r="AG142" s="9"/>
      <c r="AH142" s="9">
        <v>0</v>
      </c>
      <c r="AI142" s="9"/>
      <c r="AJ142" s="9">
        <v>0</v>
      </c>
      <c r="AK142" s="9"/>
      <c r="AL142" s="9"/>
      <c r="AM142" s="9"/>
      <c r="AN142" s="9">
        <v>0</v>
      </c>
      <c r="AO142" s="9"/>
      <c r="AP142" s="9">
        <v>0</v>
      </c>
      <c r="AQ142" s="9"/>
      <c r="AR142" s="9">
        <v>0</v>
      </c>
      <c r="AS142" s="9"/>
      <c r="AT142" s="9">
        <v>0</v>
      </c>
      <c r="AU142" s="9"/>
      <c r="AV142" s="9">
        <v>0</v>
      </c>
      <c r="AW142" s="9"/>
      <c r="AX142" s="9">
        <v>0</v>
      </c>
      <c r="AY142" s="9"/>
      <c r="AZ142" s="9">
        <v>0</v>
      </c>
      <c r="BA142" s="9"/>
      <c r="BB142" s="9">
        <v>0</v>
      </c>
      <c r="BC142" s="9"/>
      <c r="BD142" s="9">
        <v>0</v>
      </c>
      <c r="BE142" s="9"/>
      <c r="BF142" s="9">
        <v>0</v>
      </c>
      <c r="BG142" s="9"/>
      <c r="BH142" s="9">
        <v>0</v>
      </c>
      <c r="BI142" s="9"/>
      <c r="BJ142" s="9">
        <v>0</v>
      </c>
      <c r="BK142" s="9"/>
      <c r="BL142" s="9">
        <v>0</v>
      </c>
      <c r="BM142" s="9"/>
      <c r="BN142" s="9">
        <f>SUM(T142:BM142)</f>
        <v>0</v>
      </c>
      <c r="BO142" s="9"/>
      <c r="BP142" s="9">
        <v>0</v>
      </c>
      <c r="BQ142" s="9"/>
      <c r="BR142" s="6">
        <f>IF(+R142-BN142+BP142&gt;0,R142-BN142+BP142,0)</f>
        <v>1247007</v>
      </c>
      <c r="BS142" s="16"/>
      <c r="BT142" s="9">
        <f>+BN142+BR142</f>
        <v>1247007</v>
      </c>
      <c r="BU142" s="16"/>
      <c r="BV142" s="9">
        <f>+R142-BT142</f>
        <v>0</v>
      </c>
      <c r="BW142" s="9"/>
    </row>
    <row r="143" spans="1:75" s="21" customFormat="1">
      <c r="A143" s="56"/>
      <c r="B143" s="31"/>
      <c r="J143" s="8"/>
      <c r="L143" s="134"/>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row>
    <row r="144" spans="1:75">
      <c r="A144" s="56" t="s">
        <v>27</v>
      </c>
      <c r="B144" s="11"/>
      <c r="C144"/>
      <c r="D144"/>
      <c r="E144"/>
      <c r="F144"/>
      <c r="G144"/>
      <c r="H144"/>
      <c r="I144"/>
      <c r="J144" s="49"/>
      <c r="K144"/>
      <c r="L144" s="134"/>
      <c r="M144" s="6"/>
      <c r="O144" s="6"/>
      <c r="Q144" s="6"/>
      <c r="S144" s="6"/>
      <c r="T144" s="6"/>
      <c r="U144" s="6"/>
      <c r="V144" s="6"/>
      <c r="X144" s="6"/>
      <c r="Z144" s="6"/>
      <c r="AB144" s="6"/>
      <c r="AD144" s="6"/>
      <c r="BL144" s="6"/>
      <c r="BM144" s="6"/>
      <c r="BO144" s="6"/>
      <c r="BP144" s="6"/>
      <c r="BQ144" s="6"/>
      <c r="BW144" s="6"/>
    </row>
    <row r="145" spans="1:75">
      <c r="A145" s="61"/>
      <c r="B145" s="11" t="s">
        <v>207</v>
      </c>
      <c r="E145" s="4"/>
      <c r="G145" s="4"/>
      <c r="I145" s="4"/>
      <c r="J145" s="5" t="s">
        <v>0</v>
      </c>
      <c r="L145" s="134" t="s">
        <v>202</v>
      </c>
      <c r="M145" s="6"/>
      <c r="N145" s="6">
        <v>0</v>
      </c>
      <c r="O145" s="6"/>
      <c r="P145" s="6">
        <v>0</v>
      </c>
      <c r="Q145" s="6"/>
      <c r="R145" s="6">
        <v>0</v>
      </c>
      <c r="S145" s="6"/>
      <c r="T145" s="6">
        <v>0</v>
      </c>
      <c r="U145" s="6"/>
      <c r="V145" s="6">
        <v>0</v>
      </c>
      <c r="X145" s="6">
        <v>0</v>
      </c>
      <c r="Z145" s="6">
        <v>0</v>
      </c>
      <c r="AB145" s="6">
        <v>0</v>
      </c>
      <c r="AD145" s="6">
        <v>0</v>
      </c>
      <c r="AF145" s="6">
        <v>0</v>
      </c>
      <c r="AH145" s="6">
        <v>0</v>
      </c>
      <c r="AJ145" s="6">
        <v>0</v>
      </c>
      <c r="AN145" s="6">
        <v>0</v>
      </c>
      <c r="AP145" s="6">
        <v>0</v>
      </c>
      <c r="AR145" s="6">
        <v>0</v>
      </c>
      <c r="AV145" s="6">
        <v>0</v>
      </c>
      <c r="AX145" s="6">
        <v>25010</v>
      </c>
      <c r="AZ145" s="6">
        <v>0</v>
      </c>
      <c r="BB145" s="6">
        <v>0</v>
      </c>
      <c r="BD145" s="6">
        <v>0</v>
      </c>
      <c r="BF145" s="6">
        <v>0</v>
      </c>
      <c r="BH145" s="6">
        <v>0</v>
      </c>
      <c r="BJ145" s="6">
        <v>0</v>
      </c>
      <c r="BL145" s="6">
        <v>0</v>
      </c>
      <c r="BM145" s="6"/>
      <c r="BN145" s="6">
        <f>SUM(T145:BM145)</f>
        <v>25010</v>
      </c>
      <c r="BO145" s="6"/>
      <c r="BP145" s="6">
        <v>0</v>
      </c>
      <c r="BQ145" s="6"/>
      <c r="BR145" s="6">
        <f>IF(+R145-BN145+BP145&gt;0,R145-BN145+BP145,0)</f>
        <v>0</v>
      </c>
      <c r="BT145" s="6">
        <f>+BN145+BR145</f>
        <v>25010</v>
      </c>
      <c r="BV145" s="6">
        <f>+R145-BT145</f>
        <v>-25010</v>
      </c>
      <c r="BW145" s="6"/>
    </row>
    <row r="146" spans="1:75">
      <c r="A146" s="61"/>
      <c r="B146" s="11" t="s">
        <v>208</v>
      </c>
      <c r="E146" s="4"/>
      <c r="G146" s="4"/>
      <c r="I146" s="4"/>
      <c r="J146" s="5" t="s">
        <v>0</v>
      </c>
      <c r="L146" s="134" t="s">
        <v>202</v>
      </c>
      <c r="M146" s="6"/>
      <c r="O146" s="6"/>
      <c r="Q146" s="6"/>
      <c r="R146" s="6">
        <v>0</v>
      </c>
      <c r="S146" s="6"/>
      <c r="T146" s="6">
        <v>0</v>
      </c>
      <c r="U146" s="6"/>
      <c r="V146" s="6">
        <v>0</v>
      </c>
      <c r="X146" s="6">
        <v>0</v>
      </c>
      <c r="Z146" s="6">
        <v>0</v>
      </c>
      <c r="AB146" s="6">
        <v>0</v>
      </c>
      <c r="AD146" s="6">
        <v>0</v>
      </c>
      <c r="AF146" s="6">
        <v>0</v>
      </c>
      <c r="AH146" s="6">
        <v>0</v>
      </c>
      <c r="AJ146" s="6">
        <v>0</v>
      </c>
      <c r="AN146" s="6">
        <v>0</v>
      </c>
      <c r="AP146" s="6">
        <v>0</v>
      </c>
      <c r="AR146" s="6">
        <v>0</v>
      </c>
      <c r="AT146" s="6">
        <v>0</v>
      </c>
      <c r="AV146" s="6">
        <v>0</v>
      </c>
      <c r="AX146" s="6">
        <v>0</v>
      </c>
      <c r="AZ146" s="6">
        <v>0</v>
      </c>
      <c r="BB146" s="6">
        <v>0</v>
      </c>
      <c r="BD146" s="6">
        <v>0</v>
      </c>
      <c r="BF146" s="6">
        <v>0</v>
      </c>
      <c r="BH146" s="6">
        <v>0</v>
      </c>
      <c r="BJ146" s="6">
        <v>0</v>
      </c>
      <c r="BL146" s="6">
        <v>0</v>
      </c>
      <c r="BM146" s="6"/>
      <c r="BN146" s="6">
        <f>SUM(T146:BM146)</f>
        <v>0</v>
      </c>
      <c r="BO146" s="6"/>
      <c r="BP146" s="6">
        <v>0</v>
      </c>
      <c r="BQ146" s="6"/>
      <c r="BR146" s="6">
        <f>IF(+R146-BN146+BP146&gt;0,R146-BN146+BP146,0)</f>
        <v>0</v>
      </c>
      <c r="BT146" s="6">
        <f>+BN146+BR146</f>
        <v>0</v>
      </c>
      <c r="BV146" s="6">
        <f>+R146-BT146</f>
        <v>0</v>
      </c>
      <c r="BW146" s="6"/>
    </row>
    <row r="147" spans="1:75">
      <c r="A147" s="61"/>
      <c r="B147" s="11" t="s">
        <v>209</v>
      </c>
      <c r="E147" s="4"/>
      <c r="G147" s="4"/>
      <c r="I147" s="4"/>
      <c r="J147" s="5" t="s">
        <v>0</v>
      </c>
      <c r="L147" s="134" t="s">
        <v>202</v>
      </c>
      <c r="M147" s="6"/>
      <c r="O147" s="6"/>
      <c r="Q147" s="6"/>
      <c r="R147" s="6">
        <v>369041</v>
      </c>
      <c r="S147" s="6"/>
      <c r="T147" s="6">
        <v>0</v>
      </c>
      <c r="U147" s="6"/>
      <c r="V147" s="6">
        <v>0</v>
      </c>
      <c r="X147" s="6">
        <v>0</v>
      </c>
      <c r="Z147" s="6">
        <v>0</v>
      </c>
      <c r="AB147" s="6">
        <v>0</v>
      </c>
      <c r="AD147" s="6">
        <v>0</v>
      </c>
      <c r="AF147" s="6">
        <v>0</v>
      </c>
      <c r="AH147" s="6">
        <v>0</v>
      </c>
      <c r="AJ147" s="6">
        <v>0</v>
      </c>
      <c r="AL147" s="6">
        <v>369041</v>
      </c>
      <c r="AN147" s="6">
        <v>0</v>
      </c>
      <c r="AP147" s="6">
        <v>0</v>
      </c>
      <c r="AR147" s="6">
        <v>0</v>
      </c>
      <c r="AT147" s="6">
        <v>0</v>
      </c>
      <c r="AV147" s="6">
        <v>14500</v>
      </c>
      <c r="AX147" s="6">
        <v>0</v>
      </c>
      <c r="AZ147" s="6">
        <v>0</v>
      </c>
      <c r="BB147" s="6">
        <v>0</v>
      </c>
      <c r="BD147" s="6">
        <v>0</v>
      </c>
      <c r="BF147" s="6">
        <v>0</v>
      </c>
      <c r="BH147" s="6">
        <v>0</v>
      </c>
      <c r="BJ147" s="6">
        <v>0</v>
      </c>
      <c r="BL147" s="6">
        <v>0</v>
      </c>
      <c r="BM147" s="6"/>
      <c r="BN147" s="6">
        <f>SUM(T147:BM147)</f>
        <v>383541</v>
      </c>
      <c r="BO147" s="6"/>
      <c r="BP147" s="6">
        <v>0</v>
      </c>
      <c r="BQ147" s="6"/>
      <c r="BR147" s="6">
        <f>IF(+R147-BN147+BP147&gt;0,R147-BN147+BP147,0)</f>
        <v>0</v>
      </c>
      <c r="BT147" s="6">
        <f>+BN147+BR147</f>
        <v>383541</v>
      </c>
      <c r="BV147" s="6">
        <f>+R147-BT147</f>
        <v>-14500</v>
      </c>
      <c r="BW147" s="6"/>
    </row>
    <row r="148" spans="1:75">
      <c r="A148" s="61"/>
      <c r="B148" s="11" t="s">
        <v>210</v>
      </c>
      <c r="E148" s="4"/>
      <c r="G148" s="4"/>
      <c r="I148" s="4"/>
      <c r="J148" s="5" t="s">
        <v>0</v>
      </c>
      <c r="L148" s="134" t="s">
        <v>202</v>
      </c>
      <c r="M148" s="6"/>
      <c r="O148" s="6"/>
      <c r="Q148" s="6"/>
      <c r="R148" s="6">
        <v>0</v>
      </c>
      <c r="S148" s="6"/>
      <c r="T148" s="6"/>
      <c r="U148" s="6"/>
      <c r="V148" s="6"/>
      <c r="X148" s="6"/>
      <c r="Z148" s="6"/>
      <c r="AB148" s="6"/>
      <c r="AD148" s="6"/>
      <c r="BL148" s="6"/>
      <c r="BM148" s="6"/>
      <c r="BO148" s="6"/>
      <c r="BP148" s="6"/>
      <c r="BQ148" s="6"/>
      <c r="BR148" s="6">
        <f>IF(+R148-BN148+BP148&gt;0,R148-BN148+BP148,0)</f>
        <v>0</v>
      </c>
      <c r="BT148" s="6">
        <f>+BN148+BR148</f>
        <v>0</v>
      </c>
      <c r="BV148" s="6">
        <f>+R148-BT148</f>
        <v>0</v>
      </c>
      <c r="BW148" s="6"/>
    </row>
    <row r="149" spans="1:75" s="21" customFormat="1">
      <c r="A149" s="56"/>
      <c r="B149" s="31" t="s">
        <v>182</v>
      </c>
      <c r="J149" s="8"/>
      <c r="L149" s="143"/>
      <c r="M149" s="9"/>
      <c r="N149" s="102">
        <f>SUM(N145:N148)</f>
        <v>0</v>
      </c>
      <c r="O149" s="9"/>
      <c r="P149" s="102">
        <f>SUM(P145:P148)</f>
        <v>0</v>
      </c>
      <c r="Q149" s="9"/>
      <c r="R149" s="102">
        <f>SUM(R145:R148)</f>
        <v>369041</v>
      </c>
      <c r="S149" s="9"/>
      <c r="T149" s="102">
        <f>SUM(T145:T148)</f>
        <v>0</v>
      </c>
      <c r="U149" s="9"/>
      <c r="V149" s="102">
        <f>SUM(V145:V148)</f>
        <v>0</v>
      </c>
      <c r="W149" s="9"/>
      <c r="X149" s="102">
        <f>SUM(X145:X148)</f>
        <v>0</v>
      </c>
      <c r="Y149" s="9"/>
      <c r="Z149" s="102">
        <f>SUM(Z145:Z148)</f>
        <v>0</v>
      </c>
      <c r="AA149" s="9"/>
      <c r="AB149" s="102">
        <f>SUM(AB145:AB148)</f>
        <v>0</v>
      </c>
      <c r="AC149" s="9"/>
      <c r="AD149" s="102">
        <f>SUM(AD145:AD148)</f>
        <v>0</v>
      </c>
      <c r="AE149" s="9"/>
      <c r="AF149" s="102">
        <f>SUM(AF145:AF148)</f>
        <v>0</v>
      </c>
      <c r="AG149" s="9"/>
      <c r="AH149" s="102">
        <f>SUM(AH145:AH148)</f>
        <v>0</v>
      </c>
      <c r="AI149" s="9"/>
      <c r="AJ149" s="102">
        <f>SUM(AJ145:AJ148)</f>
        <v>0</v>
      </c>
      <c r="AK149" s="9"/>
      <c r="AL149" s="102">
        <f>SUM(AL145:AL148)</f>
        <v>369041</v>
      </c>
      <c r="AM149" s="102"/>
      <c r="AN149" s="102">
        <f>SUM(AN145:AN148)</f>
        <v>0</v>
      </c>
      <c r="AO149" s="9"/>
      <c r="AP149" s="102">
        <f>SUM(AP145:AP148)</f>
        <v>0</v>
      </c>
      <c r="AQ149" s="9"/>
      <c r="AR149" s="102">
        <f>SUM(AR145:AR148)</f>
        <v>0</v>
      </c>
      <c r="AS149" s="9"/>
      <c r="AT149" s="102">
        <f>SUM(AT145:AT148)</f>
        <v>0</v>
      </c>
      <c r="AU149" s="9"/>
      <c r="AV149" s="102">
        <f>SUM(AV145:AV148)</f>
        <v>14500</v>
      </c>
      <c r="AW149" s="10"/>
      <c r="AX149" s="102">
        <f>SUM(AX145:AX148)</f>
        <v>25010</v>
      </c>
      <c r="AY149" s="10"/>
      <c r="AZ149" s="102">
        <f>SUM(AZ145:AZ148)</f>
        <v>0</v>
      </c>
      <c r="BA149" s="10"/>
      <c r="BB149" s="102">
        <f>SUM(BB145:BB148)</f>
        <v>0</v>
      </c>
      <c r="BC149" s="10"/>
      <c r="BD149" s="102">
        <f>SUM(BD145:BD148)</f>
        <v>0</v>
      </c>
      <c r="BE149" s="10"/>
      <c r="BF149" s="102">
        <f>SUM(BF145:BF148)</f>
        <v>0</v>
      </c>
      <c r="BG149" s="10"/>
      <c r="BH149" s="102">
        <f>SUM(BH145:BH148)</f>
        <v>0</v>
      </c>
      <c r="BI149" s="10"/>
      <c r="BJ149" s="102">
        <f>SUM(BJ145:BJ148)</f>
        <v>0</v>
      </c>
      <c r="BK149" s="10"/>
      <c r="BL149" s="102">
        <f>SUM(BL145:BL148)</f>
        <v>0</v>
      </c>
      <c r="BM149" s="9"/>
      <c r="BN149" s="102">
        <f>SUM(BN145:BN148)</f>
        <v>408551</v>
      </c>
      <c r="BO149" s="9"/>
      <c r="BP149" s="102">
        <f>SUM(BP145:BP148)</f>
        <v>0</v>
      </c>
      <c r="BQ149" s="9"/>
      <c r="BR149" s="102">
        <f>SUM(BR145:BR148)</f>
        <v>0</v>
      </c>
      <c r="BS149" s="9"/>
      <c r="BT149" s="102">
        <f>SUM(BT145:BT148)</f>
        <v>408551</v>
      </c>
      <c r="BU149" s="9"/>
      <c r="BV149" s="102">
        <f>SUM(BV145:BV148)</f>
        <v>-39510</v>
      </c>
      <c r="BW149" s="9"/>
    </row>
    <row r="150" spans="1:75" s="21" customFormat="1">
      <c r="A150" s="56"/>
      <c r="B150" s="31"/>
      <c r="J150" s="8"/>
      <c r="L150" s="134"/>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row>
    <row r="151" spans="1:75">
      <c r="A151" s="56" t="s">
        <v>28</v>
      </c>
      <c r="B151" s="11"/>
      <c r="C151"/>
      <c r="D151"/>
      <c r="E151"/>
      <c r="F151"/>
      <c r="G151"/>
      <c r="H151"/>
      <c r="I151"/>
      <c r="J151" s="49"/>
      <c r="K151"/>
      <c r="L151" s="134"/>
      <c r="M151" s="6"/>
      <c r="O151" s="6"/>
      <c r="Q151" s="6"/>
      <c r="S151" s="6"/>
      <c r="T151" s="6"/>
      <c r="U151" s="6"/>
      <c r="V151" s="6"/>
      <c r="X151" s="6"/>
      <c r="Z151" s="6"/>
      <c r="AB151" s="6"/>
      <c r="AD151" s="6"/>
      <c r="BL151" s="6"/>
      <c r="BM151" s="6"/>
      <c r="BO151" s="6"/>
      <c r="BP151" s="6"/>
      <c r="BQ151" s="6"/>
      <c r="BW151" s="6"/>
    </row>
    <row r="152" spans="1:75">
      <c r="A152" s="56"/>
      <c r="B152" s="11" t="s">
        <v>211</v>
      </c>
      <c r="C152"/>
      <c r="D152"/>
      <c r="E152"/>
      <c r="F152"/>
      <c r="G152"/>
      <c r="H152"/>
      <c r="I152"/>
      <c r="J152" s="49"/>
      <c r="K152"/>
      <c r="L152" s="134" t="s">
        <v>203</v>
      </c>
      <c r="M152" s="6"/>
      <c r="N152" s="6">
        <v>0</v>
      </c>
      <c r="O152" s="6"/>
      <c r="P152" s="6">
        <v>0</v>
      </c>
      <c r="Q152" s="6"/>
      <c r="R152" s="6">
        <v>69419</v>
      </c>
      <c r="S152" s="6"/>
      <c r="T152" s="6"/>
      <c r="U152" s="6"/>
      <c r="V152" s="6"/>
      <c r="X152" s="6"/>
      <c r="Z152" s="6"/>
      <c r="AB152" s="6"/>
      <c r="AD152" s="6"/>
      <c r="AL152" s="6">
        <v>69419</v>
      </c>
      <c r="AN152" s="6">
        <v>0</v>
      </c>
      <c r="AP152" s="6">
        <v>0</v>
      </c>
      <c r="AR152" s="6">
        <v>0</v>
      </c>
      <c r="AT152" s="6">
        <v>0</v>
      </c>
      <c r="AV152" s="6">
        <v>0</v>
      </c>
      <c r="AX152" s="6">
        <v>0</v>
      </c>
      <c r="AZ152" s="6">
        <v>0</v>
      </c>
      <c r="BB152" s="6">
        <v>0</v>
      </c>
      <c r="BD152" s="6">
        <v>0</v>
      </c>
      <c r="BF152" s="6">
        <v>0</v>
      </c>
      <c r="BH152" s="6">
        <v>0</v>
      </c>
      <c r="BJ152" s="6">
        <v>0</v>
      </c>
      <c r="BL152" s="6">
        <v>0</v>
      </c>
      <c r="BM152" s="6"/>
      <c r="BN152" s="6">
        <f t="shared" ref="BN152:BN157" si="37">SUM(T152:BM152)</f>
        <v>69419</v>
      </c>
      <c r="BO152" s="6"/>
      <c r="BP152" s="227">
        <v>0</v>
      </c>
      <c r="BQ152" s="6"/>
      <c r="BR152" s="6">
        <f t="shared" ref="BR152:BR158" si="38">IF(+R152-BN152+BP152&gt;0,R152-BN152+BP152,0)</f>
        <v>0</v>
      </c>
      <c r="BT152" s="6">
        <f t="shared" ref="BT152:BT157" si="39">+BN152+BR152</f>
        <v>69419</v>
      </c>
      <c r="BV152" s="6">
        <f>+R152-BN152-BR152</f>
        <v>0</v>
      </c>
      <c r="BW152" s="6"/>
    </row>
    <row r="153" spans="1:75">
      <c r="A153" s="57"/>
      <c r="B153" s="17" t="s">
        <v>212</v>
      </c>
      <c r="C153"/>
      <c r="D153"/>
      <c r="E153"/>
      <c r="F153"/>
      <c r="G153"/>
      <c r="H153"/>
      <c r="I153"/>
      <c r="J153" s="49"/>
      <c r="K153"/>
      <c r="L153" s="134" t="s">
        <v>203</v>
      </c>
      <c r="M153" s="6"/>
      <c r="N153" s="6">
        <v>0</v>
      </c>
      <c r="O153" s="6"/>
      <c r="P153" s="6">
        <v>0</v>
      </c>
      <c r="Q153" s="6"/>
      <c r="R153" s="6">
        <v>0</v>
      </c>
      <c r="S153" s="6"/>
      <c r="T153" s="6"/>
      <c r="U153" s="6"/>
      <c r="V153" s="6"/>
      <c r="X153" s="6"/>
      <c r="Z153" s="6"/>
      <c r="AB153" s="6"/>
      <c r="AD153" s="6"/>
      <c r="AN153" s="6">
        <v>0</v>
      </c>
      <c r="AP153" s="6">
        <v>0</v>
      </c>
      <c r="AR153" s="6">
        <v>0</v>
      </c>
      <c r="AT153" s="6">
        <v>0</v>
      </c>
      <c r="AV153" s="6">
        <v>0</v>
      </c>
      <c r="AX153" s="6">
        <v>0</v>
      </c>
      <c r="AZ153" s="6">
        <v>0</v>
      </c>
      <c r="BB153" s="6">
        <v>0</v>
      </c>
      <c r="BD153" s="6">
        <v>0</v>
      </c>
      <c r="BF153" s="6">
        <v>0</v>
      </c>
      <c r="BH153" s="6">
        <v>0</v>
      </c>
      <c r="BJ153" s="6">
        <v>0</v>
      </c>
      <c r="BL153" s="6">
        <v>0</v>
      </c>
      <c r="BM153" s="6"/>
      <c r="BN153" s="6">
        <f t="shared" si="37"/>
        <v>0</v>
      </c>
      <c r="BO153" s="6"/>
      <c r="BP153" s="227">
        <v>0</v>
      </c>
      <c r="BQ153" s="6"/>
      <c r="BR153" s="6">
        <f t="shared" si="38"/>
        <v>0</v>
      </c>
      <c r="BT153" s="6">
        <f t="shared" si="39"/>
        <v>0</v>
      </c>
      <c r="BV153" s="6">
        <f>+R153-BT153</f>
        <v>0</v>
      </c>
      <c r="BW153" s="6"/>
    </row>
    <row r="154" spans="1:75">
      <c r="A154" s="57"/>
      <c r="B154" s="17" t="s">
        <v>213</v>
      </c>
      <c r="C154"/>
      <c r="D154"/>
      <c r="E154"/>
      <c r="F154"/>
      <c r="G154"/>
      <c r="H154"/>
      <c r="I154"/>
      <c r="J154" s="49"/>
      <c r="K154"/>
      <c r="L154" s="134" t="s">
        <v>203</v>
      </c>
      <c r="M154" s="6"/>
      <c r="O154" s="6"/>
      <c r="P154" s="6">
        <v>0</v>
      </c>
      <c r="Q154" s="6"/>
      <c r="R154" s="6">
        <v>0</v>
      </c>
      <c r="S154" s="6"/>
      <c r="T154" s="6"/>
      <c r="U154" s="6"/>
      <c r="V154" s="6"/>
      <c r="X154" s="6"/>
      <c r="Z154" s="6"/>
      <c r="AB154" s="6"/>
      <c r="AD154" s="6"/>
      <c r="AN154" s="6">
        <v>0</v>
      </c>
      <c r="AP154" s="6">
        <v>0</v>
      </c>
      <c r="AR154" s="6">
        <v>0</v>
      </c>
      <c r="AT154" s="6">
        <v>0</v>
      </c>
      <c r="AV154" s="6">
        <v>0</v>
      </c>
      <c r="AX154" s="6">
        <v>0</v>
      </c>
      <c r="AZ154" s="6">
        <v>0</v>
      </c>
      <c r="BB154" s="6">
        <v>0</v>
      </c>
      <c r="BD154" s="6">
        <v>0</v>
      </c>
      <c r="BF154" s="6">
        <v>0</v>
      </c>
      <c r="BH154" s="6">
        <v>0</v>
      </c>
      <c r="BJ154" s="6">
        <v>0</v>
      </c>
      <c r="BL154" s="6">
        <v>0</v>
      </c>
      <c r="BM154" s="6"/>
      <c r="BN154" s="6">
        <f t="shared" si="37"/>
        <v>0</v>
      </c>
      <c r="BO154" s="6"/>
      <c r="BP154" s="227">
        <v>0</v>
      </c>
      <c r="BQ154" s="6"/>
      <c r="BR154" s="6">
        <f t="shared" si="38"/>
        <v>0</v>
      </c>
      <c r="BT154" s="6">
        <f t="shared" si="39"/>
        <v>0</v>
      </c>
      <c r="BV154" s="6">
        <f>+R154-BT154</f>
        <v>0</v>
      </c>
      <c r="BW154" s="6"/>
    </row>
    <row r="155" spans="1:75">
      <c r="A155" s="57"/>
      <c r="B155" s="17" t="s">
        <v>214</v>
      </c>
      <c r="C155"/>
      <c r="D155"/>
      <c r="E155"/>
      <c r="F155"/>
      <c r="G155"/>
      <c r="H155"/>
      <c r="I155"/>
      <c r="J155" s="49"/>
      <c r="K155"/>
      <c r="L155" s="134" t="s">
        <v>203</v>
      </c>
      <c r="M155" s="6"/>
      <c r="O155" s="6"/>
      <c r="P155" s="6">
        <v>0</v>
      </c>
      <c r="Q155" s="6"/>
      <c r="R155" s="6">
        <v>0</v>
      </c>
      <c r="S155" s="6"/>
      <c r="T155" s="6"/>
      <c r="U155" s="6"/>
      <c r="V155" s="6"/>
      <c r="X155" s="6"/>
      <c r="Z155" s="6"/>
      <c r="AB155" s="6"/>
      <c r="AD155" s="6"/>
      <c r="AN155" s="6">
        <v>0</v>
      </c>
      <c r="AP155" s="6">
        <v>0</v>
      </c>
      <c r="AR155" s="6">
        <v>0</v>
      </c>
      <c r="AT155" s="6">
        <v>0</v>
      </c>
      <c r="AX155" s="6">
        <v>0</v>
      </c>
      <c r="AZ155" s="6">
        <v>0</v>
      </c>
      <c r="BB155" s="6">
        <v>0</v>
      </c>
      <c r="BD155" s="6">
        <v>0</v>
      </c>
      <c r="BF155" s="6">
        <v>0</v>
      </c>
      <c r="BH155" s="6">
        <v>0</v>
      </c>
      <c r="BJ155" s="6">
        <v>0</v>
      </c>
      <c r="BL155" s="6">
        <v>0</v>
      </c>
      <c r="BM155" s="6"/>
      <c r="BN155" s="6">
        <f t="shared" si="37"/>
        <v>0</v>
      </c>
      <c r="BO155" s="6"/>
      <c r="BP155" s="227">
        <v>0</v>
      </c>
      <c r="BQ155" s="6"/>
      <c r="BR155" s="6">
        <f t="shared" si="38"/>
        <v>0</v>
      </c>
      <c r="BT155" s="6">
        <f t="shared" si="39"/>
        <v>0</v>
      </c>
      <c r="BV155" s="6">
        <f>+R155-BT155</f>
        <v>0</v>
      </c>
      <c r="BW155" s="6"/>
    </row>
    <row r="156" spans="1:75">
      <c r="A156" s="57"/>
      <c r="B156" s="17" t="s">
        <v>215</v>
      </c>
      <c r="C156"/>
      <c r="D156"/>
      <c r="E156"/>
      <c r="F156"/>
      <c r="G156"/>
      <c r="H156"/>
      <c r="I156"/>
      <c r="J156" s="49"/>
      <c r="K156"/>
      <c r="L156" s="134" t="s">
        <v>203</v>
      </c>
      <c r="M156" s="6"/>
      <c r="O156" s="6"/>
      <c r="P156" s="6">
        <v>0</v>
      </c>
      <c r="Q156" s="6"/>
      <c r="R156" s="6">
        <v>0</v>
      </c>
      <c r="S156" s="6"/>
      <c r="T156" s="6"/>
      <c r="U156" s="6"/>
      <c r="V156" s="6"/>
      <c r="X156" s="6"/>
      <c r="Z156" s="6"/>
      <c r="AB156" s="6"/>
      <c r="AD156" s="6"/>
      <c r="AN156" s="6">
        <v>0</v>
      </c>
      <c r="AP156" s="6">
        <v>0</v>
      </c>
      <c r="AR156" s="6">
        <v>0</v>
      </c>
      <c r="AT156" s="6">
        <v>0</v>
      </c>
      <c r="AV156" s="6">
        <v>0</v>
      </c>
      <c r="AX156" s="6">
        <v>0</v>
      </c>
      <c r="AZ156" s="6">
        <v>0</v>
      </c>
      <c r="BB156" s="6">
        <v>0</v>
      </c>
      <c r="BD156" s="6">
        <v>0</v>
      </c>
      <c r="BF156" s="6">
        <v>0</v>
      </c>
      <c r="BH156" s="6">
        <v>0</v>
      </c>
      <c r="BJ156" s="6">
        <v>0</v>
      </c>
      <c r="BL156" s="6">
        <v>0</v>
      </c>
      <c r="BM156" s="6"/>
      <c r="BN156" s="6">
        <f t="shared" si="37"/>
        <v>0</v>
      </c>
      <c r="BO156" s="6"/>
      <c r="BP156" s="227">
        <v>0</v>
      </c>
      <c r="BQ156" s="6"/>
      <c r="BR156" s="6">
        <f t="shared" si="38"/>
        <v>0</v>
      </c>
      <c r="BT156" s="6">
        <f t="shared" si="39"/>
        <v>0</v>
      </c>
      <c r="BV156" s="6">
        <f>+R156-BT156</f>
        <v>0</v>
      </c>
      <c r="BW156" s="6"/>
    </row>
    <row r="157" spans="1:75">
      <c r="A157" s="57"/>
      <c r="B157" s="17" t="s">
        <v>121</v>
      </c>
      <c r="C157"/>
      <c r="D157"/>
      <c r="E157"/>
      <c r="F157"/>
      <c r="G157"/>
      <c r="H157"/>
      <c r="I157"/>
      <c r="J157" s="49"/>
      <c r="K157"/>
      <c r="L157" s="134"/>
      <c r="M157" s="6"/>
      <c r="O157" s="6"/>
      <c r="Q157" s="6"/>
      <c r="R157" s="6">
        <v>470581</v>
      </c>
      <c r="S157" s="6"/>
      <c r="T157" s="6"/>
      <c r="U157" s="6"/>
      <c r="V157" s="6"/>
      <c r="X157" s="6"/>
      <c r="Z157" s="6"/>
      <c r="AB157" s="6"/>
      <c r="AD157" s="6"/>
      <c r="AN157" s="6">
        <f>183926.3+6645.1</f>
        <v>190571.4</v>
      </c>
      <c r="AR157" s="6">
        <v>264856.32000000001</v>
      </c>
      <c r="AV157" s="6">
        <v>38191.68</v>
      </c>
      <c r="AX157" s="6">
        <v>20091.86</v>
      </c>
      <c r="AZ157" s="6">
        <f>15594.76+131064</f>
        <v>146658.76</v>
      </c>
      <c r="BB157" s="6">
        <v>2040.3</v>
      </c>
      <c r="BL157" s="6"/>
      <c r="BM157" s="6"/>
      <c r="BN157" s="6">
        <f t="shared" si="37"/>
        <v>662410.32000000007</v>
      </c>
      <c r="BO157" s="6"/>
      <c r="BP157" s="227">
        <v>0</v>
      </c>
      <c r="BQ157" s="6"/>
      <c r="BR157" s="6">
        <f t="shared" si="38"/>
        <v>0</v>
      </c>
      <c r="BT157" s="6">
        <f t="shared" si="39"/>
        <v>662410.32000000007</v>
      </c>
      <c r="BV157" s="6">
        <f>+R157-BT157</f>
        <v>-191829.32000000007</v>
      </c>
      <c r="BW157" s="6"/>
    </row>
    <row r="158" spans="1:75">
      <c r="A158" s="57"/>
      <c r="B158" s="17"/>
      <c r="C158"/>
      <c r="D158"/>
      <c r="E158"/>
      <c r="F158"/>
      <c r="G158"/>
      <c r="H158"/>
      <c r="I158"/>
      <c r="J158" s="49"/>
      <c r="K158"/>
      <c r="L158" s="134"/>
      <c r="M158" s="6"/>
      <c r="O158" s="6"/>
      <c r="Q158" s="6"/>
      <c r="S158" s="6"/>
      <c r="T158" s="6"/>
      <c r="U158" s="6"/>
      <c r="V158" s="6"/>
      <c r="X158" s="6"/>
      <c r="Z158" s="6"/>
      <c r="AB158" s="6"/>
      <c r="AD158" s="6"/>
      <c r="BL158" s="6"/>
      <c r="BM158" s="6"/>
      <c r="BO158" s="6"/>
      <c r="BP158" s="227"/>
      <c r="BQ158" s="6"/>
      <c r="BR158" s="6">
        <f t="shared" si="38"/>
        <v>0</v>
      </c>
      <c r="BW158" s="6"/>
    </row>
    <row r="159" spans="1:75" s="21" customFormat="1">
      <c r="A159" s="118"/>
      <c r="B159" s="58" t="s">
        <v>183</v>
      </c>
      <c r="J159" s="8"/>
      <c r="L159" s="143"/>
      <c r="M159" s="9"/>
      <c r="N159" s="102">
        <f>SUM(N152:N158)</f>
        <v>0</v>
      </c>
      <c r="O159" s="9"/>
      <c r="P159" s="102">
        <f>SUM(P152:P158)</f>
        <v>0</v>
      </c>
      <c r="Q159" s="9"/>
      <c r="R159" s="102">
        <f>SUM(R152:R158)</f>
        <v>540000</v>
      </c>
      <c r="S159" s="9"/>
      <c r="T159" s="102">
        <f>SUM(T152:T158)</f>
        <v>0</v>
      </c>
      <c r="U159" s="9"/>
      <c r="V159" s="102">
        <f>SUM(V152:V158)</f>
        <v>0</v>
      </c>
      <c r="W159" s="9"/>
      <c r="X159" s="102">
        <f>SUM(X152:X158)</f>
        <v>0</v>
      </c>
      <c r="Y159" s="9"/>
      <c r="Z159" s="102">
        <f>SUM(Z152:Z158)</f>
        <v>0</v>
      </c>
      <c r="AA159" s="9"/>
      <c r="AB159" s="102">
        <f>SUM(AB152:AB158)</f>
        <v>0</v>
      </c>
      <c r="AC159" s="9"/>
      <c r="AD159" s="102">
        <f>SUM(AD152:AD158)</f>
        <v>0</v>
      </c>
      <c r="AE159" s="9"/>
      <c r="AF159" s="102">
        <f>SUM(AF152:AF158)</f>
        <v>0</v>
      </c>
      <c r="AG159" s="9"/>
      <c r="AH159" s="102">
        <f>SUM(AH152:AH158)</f>
        <v>0</v>
      </c>
      <c r="AI159" s="9"/>
      <c r="AJ159" s="102">
        <f>SUM(AJ152:AJ158)</f>
        <v>0</v>
      </c>
      <c r="AK159" s="9"/>
      <c r="AL159" s="102">
        <f>SUM(AL152:AL158)</f>
        <v>69419</v>
      </c>
      <c r="AM159" s="102"/>
      <c r="AN159" s="102">
        <f>SUM(AN152:AN158)</f>
        <v>190571.4</v>
      </c>
      <c r="AO159" s="9"/>
      <c r="AP159" s="102">
        <f>SUM(AP152:AP158)</f>
        <v>0</v>
      </c>
      <c r="AQ159" s="9"/>
      <c r="AR159" s="102">
        <f>SUM(AR152:AR158)</f>
        <v>264856.32000000001</v>
      </c>
      <c r="AS159" s="9"/>
      <c r="AT159" s="102">
        <f>SUM(AT152:AT158)</f>
        <v>0</v>
      </c>
      <c r="AU159" s="9"/>
      <c r="AV159" s="102">
        <f>SUM(AV152:AV158)</f>
        <v>38191.68</v>
      </c>
      <c r="AW159" s="10"/>
      <c r="AX159" s="102">
        <f>SUM(AX152:AX158)</f>
        <v>20091.86</v>
      </c>
      <c r="AY159" s="10"/>
      <c r="AZ159" s="102">
        <f>SUM(AZ152:AZ158)</f>
        <v>146658.76</v>
      </c>
      <c r="BA159" s="10"/>
      <c r="BB159" s="102">
        <f>SUM(BB152:BB158)</f>
        <v>2040.3</v>
      </c>
      <c r="BC159" s="10"/>
      <c r="BD159" s="102">
        <f>SUM(BD152:BD158)</f>
        <v>0</v>
      </c>
      <c r="BE159" s="10"/>
      <c r="BF159" s="102">
        <f>SUM(BF152:BF158)</f>
        <v>0</v>
      </c>
      <c r="BG159" s="10"/>
      <c r="BH159" s="102">
        <f>SUM(BH152:BH158)</f>
        <v>0</v>
      </c>
      <c r="BI159" s="10"/>
      <c r="BJ159" s="102">
        <f>SUM(BJ152:BJ158)</f>
        <v>0</v>
      </c>
      <c r="BK159" s="10"/>
      <c r="BL159" s="102">
        <f>SUM(BL152:BL158)</f>
        <v>0</v>
      </c>
      <c r="BM159" s="9"/>
      <c r="BN159" s="102">
        <f>SUM(BN152:BN158)</f>
        <v>731829.32000000007</v>
      </c>
      <c r="BO159" s="9"/>
      <c r="BP159" s="102">
        <f>SUM(BP152:BP158)</f>
        <v>0</v>
      </c>
      <c r="BQ159" s="9"/>
      <c r="BR159" s="102">
        <f>SUM(BR152:BR158)</f>
        <v>0</v>
      </c>
      <c r="BS159" s="9"/>
      <c r="BT159" s="102">
        <f>SUM(BT152:BT158)</f>
        <v>731829.32000000007</v>
      </c>
      <c r="BU159" s="9"/>
      <c r="BV159" s="102">
        <f>SUM(BV152:BV158)</f>
        <v>-191829.32000000007</v>
      </c>
      <c r="BW159" s="9"/>
    </row>
    <row r="160" spans="1:75" s="21" customFormat="1">
      <c r="A160" s="118"/>
      <c r="B160" s="58"/>
      <c r="J160" s="8"/>
      <c r="L160" s="143"/>
      <c r="M160" s="9"/>
      <c r="N160" s="10"/>
      <c r="O160" s="9"/>
      <c r="P160" s="10"/>
      <c r="Q160" s="9"/>
      <c r="R160" s="10"/>
      <c r="S160" s="9"/>
      <c r="T160" s="10"/>
      <c r="U160" s="9"/>
      <c r="V160" s="10"/>
      <c r="W160" s="9"/>
      <c r="X160" s="10"/>
      <c r="Y160" s="9"/>
      <c r="Z160" s="10"/>
      <c r="AA160" s="9"/>
      <c r="AB160" s="10"/>
      <c r="AC160" s="9"/>
      <c r="AD160" s="10"/>
      <c r="AE160" s="9"/>
      <c r="AF160" s="10"/>
      <c r="AG160" s="9"/>
      <c r="AH160" s="10"/>
      <c r="AI160" s="9"/>
      <c r="AJ160" s="10"/>
      <c r="AK160" s="9"/>
      <c r="AL160" s="10"/>
      <c r="AM160" s="9"/>
      <c r="AN160" s="10"/>
      <c r="AO160" s="9"/>
      <c r="AP160" s="10"/>
      <c r="AQ160" s="9"/>
      <c r="AR160" s="10"/>
      <c r="AS160" s="9"/>
      <c r="AT160" s="10"/>
      <c r="AU160" s="9"/>
      <c r="AV160" s="10"/>
      <c r="AW160" s="10"/>
      <c r="AX160" s="10"/>
      <c r="AY160" s="10"/>
      <c r="AZ160" s="10"/>
      <c r="BA160" s="10"/>
      <c r="BB160" s="10"/>
      <c r="BC160" s="10"/>
      <c r="BD160" s="10"/>
      <c r="BE160" s="10"/>
      <c r="BF160" s="10"/>
      <c r="BG160" s="10"/>
      <c r="BH160" s="10"/>
      <c r="BI160" s="10"/>
      <c r="BJ160" s="10"/>
      <c r="BK160" s="10"/>
      <c r="BL160" s="10"/>
      <c r="BM160" s="9"/>
      <c r="BN160" s="10"/>
      <c r="BO160" s="9"/>
      <c r="BP160" s="10"/>
      <c r="BQ160" s="9"/>
      <c r="BR160" s="10"/>
      <c r="BS160" s="9"/>
      <c r="BT160" s="10"/>
      <c r="BU160" s="9"/>
      <c r="BV160" s="10"/>
      <c r="BW160" s="9"/>
    </row>
    <row r="161" spans="1:74">
      <c r="A161" s="56" t="s">
        <v>288</v>
      </c>
      <c r="B161" s="11"/>
      <c r="C161"/>
      <c r="D161"/>
      <c r="E161"/>
      <c r="F161"/>
      <c r="G161"/>
      <c r="H161"/>
      <c r="I161"/>
      <c r="J161"/>
      <c r="K161" s="134"/>
      <c r="L161" s="6"/>
      <c r="M161" s="6"/>
      <c r="O161" s="6"/>
      <c r="Q161" s="6"/>
      <c r="S161" s="6"/>
      <c r="T161" s="6"/>
      <c r="U161" s="6"/>
      <c r="V161" s="6"/>
      <c r="X161" s="6"/>
      <c r="Z161" s="6"/>
      <c r="AB161" s="6"/>
      <c r="AD161" s="6"/>
      <c r="BL161" s="6"/>
      <c r="BM161" s="6"/>
      <c r="BO161" s="6"/>
      <c r="BP161" s="6"/>
      <c r="BQ161" s="6"/>
      <c r="BV161" s="4"/>
    </row>
    <row r="162" spans="1:74">
      <c r="A162" s="56"/>
      <c r="B162" s="11" t="s">
        <v>274</v>
      </c>
      <c r="C162"/>
      <c r="D162"/>
      <c r="E162"/>
      <c r="F162"/>
      <c r="G162"/>
      <c r="H162"/>
      <c r="I162"/>
      <c r="J162"/>
      <c r="K162" s="134" t="s">
        <v>202</v>
      </c>
      <c r="L162" s="6"/>
      <c r="M162" s="6">
        <v>0</v>
      </c>
      <c r="O162" s="6">
        <v>60000</v>
      </c>
      <c r="Q162" s="6">
        <f>+M162+O162</f>
        <v>60000</v>
      </c>
      <c r="R162" s="6">
        <v>60000</v>
      </c>
      <c r="S162" s="6"/>
      <c r="T162" s="6">
        <v>0</v>
      </c>
      <c r="U162" s="6"/>
      <c r="V162" s="4"/>
      <c r="X162" s="6">
        <v>0</v>
      </c>
      <c r="Z162" s="6">
        <v>0</v>
      </c>
      <c r="AB162" s="6">
        <v>0</v>
      </c>
      <c r="AD162" s="6">
        <v>0</v>
      </c>
      <c r="AF162" s="6">
        <v>0</v>
      </c>
      <c r="AH162" s="6">
        <v>0</v>
      </c>
      <c r="AJ162" s="6">
        <v>0</v>
      </c>
      <c r="AN162" s="6">
        <v>0</v>
      </c>
      <c r="AP162" s="6">
        <v>7500</v>
      </c>
      <c r="AR162" s="6">
        <v>0</v>
      </c>
      <c r="AT162" s="6">
        <v>7500</v>
      </c>
      <c r="AV162" s="6">
        <v>20486.25</v>
      </c>
      <c r="AX162" s="6">
        <v>0</v>
      </c>
      <c r="AZ162" s="6">
        <v>0</v>
      </c>
      <c r="BD162" s="6">
        <v>0</v>
      </c>
      <c r="BF162" s="6">
        <v>0</v>
      </c>
      <c r="BH162" s="6">
        <v>0</v>
      </c>
      <c r="BJ162" s="6">
        <v>0</v>
      </c>
      <c r="BL162" s="6">
        <v>0</v>
      </c>
      <c r="BM162" s="6"/>
      <c r="BN162" s="6">
        <f>SUM(T162:BM162)</f>
        <v>35486.25</v>
      </c>
      <c r="BO162" s="6"/>
      <c r="BP162" s="6">
        <v>0</v>
      </c>
      <c r="BQ162" s="6"/>
      <c r="BR162" s="6">
        <f>IF(+R162-BN162+BP162&gt;0,R162-BN162+BP162,0)</f>
        <v>24513.75</v>
      </c>
      <c r="BT162" s="6">
        <f>+BN162+BR162</f>
        <v>60000</v>
      </c>
      <c r="BV162" s="6">
        <f>+R162-BT162</f>
        <v>0</v>
      </c>
    </row>
    <row r="163" spans="1:74">
      <c r="A163" s="56"/>
      <c r="B163" s="11" t="s">
        <v>275</v>
      </c>
      <c r="C163"/>
      <c r="D163"/>
      <c r="E163"/>
      <c r="F163"/>
      <c r="G163"/>
      <c r="H163"/>
      <c r="I163"/>
      <c r="J163"/>
      <c r="K163" s="134" t="s">
        <v>202</v>
      </c>
      <c r="L163" s="6"/>
      <c r="M163" s="6">
        <v>7500</v>
      </c>
      <c r="O163" s="6">
        <f>35000-M163</f>
        <v>27500</v>
      </c>
      <c r="Q163" s="6">
        <f>+M163+O163</f>
        <v>35000</v>
      </c>
      <c r="R163" s="6">
        <v>35000</v>
      </c>
      <c r="S163" s="6"/>
      <c r="T163" s="6">
        <v>0</v>
      </c>
      <c r="U163" s="6"/>
      <c r="V163" s="6">
        <v>0</v>
      </c>
      <c r="X163" s="6">
        <v>0</v>
      </c>
      <c r="Z163" s="6">
        <v>0</v>
      </c>
      <c r="AB163" s="6">
        <v>0</v>
      </c>
      <c r="AD163" s="6">
        <v>0</v>
      </c>
      <c r="AF163" s="6">
        <v>0</v>
      </c>
      <c r="AH163" s="6">
        <v>0</v>
      </c>
      <c r="AJ163" s="6">
        <v>0</v>
      </c>
      <c r="AN163" s="6">
        <v>0</v>
      </c>
      <c r="AP163" s="6">
        <v>10517.87</v>
      </c>
      <c r="AR163" s="6">
        <v>0</v>
      </c>
      <c r="AT163" s="6">
        <v>0</v>
      </c>
      <c r="AV163" s="6">
        <v>0</v>
      </c>
      <c r="AX163" s="6">
        <v>0</v>
      </c>
      <c r="AZ163" s="6">
        <v>10602.45</v>
      </c>
      <c r="BB163" s="22">
        <v>37563.519999999997</v>
      </c>
      <c r="BD163" s="6">
        <v>0</v>
      </c>
      <c r="BF163" s="6">
        <v>0</v>
      </c>
      <c r="BH163" s="6">
        <v>0</v>
      </c>
      <c r="BJ163" s="6">
        <v>0</v>
      </c>
      <c r="BL163" s="6">
        <v>0</v>
      </c>
      <c r="BM163" s="6"/>
      <c r="BN163" s="6">
        <f>SUM(T163:BM163)</f>
        <v>58683.839999999997</v>
      </c>
      <c r="BO163" s="6"/>
      <c r="BP163" s="6">
        <v>0</v>
      </c>
      <c r="BQ163" s="6"/>
      <c r="BR163" s="6">
        <f>IF(+R163-BN163+BP163&gt;0,R163-BN163+BP163,0)</f>
        <v>0</v>
      </c>
      <c r="BT163" s="6">
        <f>+BN163+BR163</f>
        <v>58683.839999999997</v>
      </c>
      <c r="BV163" s="6">
        <f t="shared" ref="BV163:BV181" si="40">+R163-BT163</f>
        <v>-23683.839999999997</v>
      </c>
    </row>
    <row r="164" spans="1:74">
      <c r="A164" s="56"/>
      <c r="B164" s="11" t="s">
        <v>464</v>
      </c>
      <c r="C164"/>
      <c r="D164"/>
      <c r="E164"/>
      <c r="F164"/>
      <c r="G164"/>
      <c r="H164"/>
      <c r="I164"/>
      <c r="J164"/>
      <c r="K164" s="134" t="s">
        <v>202</v>
      </c>
      <c r="L164" s="423">
        <v>44468</v>
      </c>
      <c r="M164" s="6">
        <f>1992500</f>
        <v>1992500</v>
      </c>
      <c r="O164" s="6">
        <f>2200000-M164</f>
        <v>207500</v>
      </c>
      <c r="Q164" s="6">
        <f>+M164+O164</f>
        <v>2200000</v>
      </c>
      <c r="R164" s="6">
        <v>1604313</v>
      </c>
      <c r="S164" s="6"/>
      <c r="T164" s="6">
        <v>0</v>
      </c>
      <c r="U164" s="6"/>
      <c r="V164" s="6">
        <v>0</v>
      </c>
      <c r="X164" s="6">
        <v>0</v>
      </c>
      <c r="Z164" s="6">
        <v>0</v>
      </c>
      <c r="AB164" s="6">
        <v>0</v>
      </c>
      <c r="AD164" s="6">
        <v>0</v>
      </c>
      <c r="AF164" s="6">
        <v>0</v>
      </c>
      <c r="AH164" s="6">
        <v>0</v>
      </c>
      <c r="AJ164" s="6">
        <v>0</v>
      </c>
      <c r="AN164" s="6">
        <v>0</v>
      </c>
      <c r="AR164" s="6">
        <v>0</v>
      </c>
      <c r="AT164" s="6">
        <v>0</v>
      </c>
      <c r="AV164" s="6">
        <v>0</v>
      </c>
      <c r="AX164" s="6">
        <v>0</v>
      </c>
      <c r="AZ164" s="6">
        <v>0</v>
      </c>
      <c r="BB164" s="364">
        <f>4233+9786+3968+65917+481221+352403-1</f>
        <v>917527</v>
      </c>
      <c r="BD164" s="6">
        <v>0</v>
      </c>
      <c r="BF164" s="6">
        <v>0</v>
      </c>
      <c r="BH164" s="6">
        <v>0</v>
      </c>
      <c r="BJ164" s="6">
        <v>0</v>
      </c>
      <c r="BL164" s="6">
        <v>0</v>
      </c>
      <c r="BM164" s="6"/>
      <c r="BN164" s="6">
        <f>SUM(T164:BM164)</f>
        <v>917527</v>
      </c>
      <c r="BO164" s="6"/>
      <c r="BP164" s="6"/>
      <c r="BQ164" s="6"/>
      <c r="BR164" s="6">
        <f>IF(+R164-BN164+BP164&gt;0,R164-BN164+BP164,0)</f>
        <v>686786</v>
      </c>
      <c r="BT164" s="6">
        <f>+BN164+BR164</f>
        <v>1604313</v>
      </c>
      <c r="BV164" s="6">
        <f t="shared" si="40"/>
        <v>0</v>
      </c>
    </row>
    <row r="165" spans="1:74">
      <c r="A165" s="56"/>
      <c r="B165" s="11" t="s">
        <v>465</v>
      </c>
      <c r="C165"/>
      <c r="D165"/>
      <c r="E165"/>
      <c r="F165"/>
      <c r="G165"/>
      <c r="H165"/>
      <c r="I165"/>
      <c r="J165"/>
      <c r="K165" s="134"/>
      <c r="L165" s="423">
        <v>43853</v>
      </c>
      <c r="M165" s="6"/>
      <c r="O165" s="6"/>
      <c r="Q165" s="6"/>
      <c r="R165" s="6">
        <v>756363</v>
      </c>
      <c r="S165" s="6"/>
      <c r="T165" s="6"/>
      <c r="U165" s="6"/>
      <c r="V165" s="6"/>
      <c r="X165" s="6"/>
      <c r="Z165" s="6"/>
      <c r="AB165" s="6"/>
      <c r="AD165" s="6"/>
      <c r="BB165" s="6">
        <f>18675+43024+15924+156792+116797-1</f>
        <v>351211</v>
      </c>
      <c r="BL165" s="6"/>
      <c r="BM165" s="6"/>
      <c r="BN165" s="6">
        <f t="shared" ref="BN165:BN181" si="41">SUM(T165:BM165)</f>
        <v>351211</v>
      </c>
      <c r="BO165" s="6"/>
      <c r="BP165" s="6"/>
      <c r="BQ165" s="6"/>
      <c r="BR165" s="6">
        <f t="shared" ref="BR165:BR176" si="42">IF(+R165-BN165+BP165&gt;0,R165-BN165+BP165,0)</f>
        <v>405152</v>
      </c>
      <c r="BT165" s="6">
        <f t="shared" ref="BT165:BT181" si="43">+BN165+BR165</f>
        <v>756363</v>
      </c>
      <c r="BV165" s="6">
        <f t="shared" si="40"/>
        <v>0</v>
      </c>
    </row>
    <row r="166" spans="1:74">
      <c r="A166" s="56"/>
      <c r="B166" s="11" t="s">
        <v>466</v>
      </c>
      <c r="C166"/>
      <c r="D166"/>
      <c r="E166"/>
      <c r="F166"/>
      <c r="G166"/>
      <c r="H166"/>
      <c r="I166"/>
      <c r="J166"/>
      <c r="K166" s="134"/>
      <c r="L166" s="423">
        <v>60299</v>
      </c>
      <c r="M166" s="6"/>
      <c r="O166" s="6"/>
      <c r="Q166" s="6"/>
      <c r="R166" s="6">
        <v>21072</v>
      </c>
      <c r="S166" s="6"/>
      <c r="T166" s="6"/>
      <c r="U166" s="6"/>
      <c r="V166" s="6"/>
      <c r="X166" s="6"/>
      <c r="Z166" s="6"/>
      <c r="AB166" s="6"/>
      <c r="AD166" s="6"/>
      <c r="BL166" s="6"/>
      <c r="BM166" s="6"/>
      <c r="BN166" s="6">
        <f t="shared" si="41"/>
        <v>0</v>
      </c>
      <c r="BO166" s="6"/>
      <c r="BP166" s="6"/>
      <c r="BQ166" s="6"/>
      <c r="BR166" s="6">
        <f t="shared" si="42"/>
        <v>21072</v>
      </c>
      <c r="BT166" s="6">
        <f t="shared" si="43"/>
        <v>21072</v>
      </c>
      <c r="BV166" s="6">
        <f t="shared" si="40"/>
        <v>0</v>
      </c>
    </row>
    <row r="167" spans="1:74">
      <c r="A167" s="56"/>
      <c r="B167" s="11" t="s">
        <v>467</v>
      </c>
      <c r="C167"/>
      <c r="D167"/>
      <c r="E167"/>
      <c r="F167"/>
      <c r="G167"/>
      <c r="H167"/>
      <c r="I167"/>
      <c r="J167"/>
      <c r="K167" s="134"/>
      <c r="L167" s="423">
        <v>45630</v>
      </c>
      <c r="M167" s="6"/>
      <c r="O167" s="6"/>
      <c r="Q167" s="6"/>
      <c r="R167" s="6">
        <v>136716</v>
      </c>
      <c r="S167" s="6"/>
      <c r="T167" s="6"/>
      <c r="U167" s="6"/>
      <c r="V167" s="6"/>
      <c r="X167" s="6"/>
      <c r="Z167" s="6"/>
      <c r="AB167" s="6"/>
      <c r="AD167" s="6"/>
      <c r="BB167" s="6">
        <f>800+3344+41073+29332+7049</f>
        <v>81598</v>
      </c>
      <c r="BL167" s="6"/>
      <c r="BM167" s="6"/>
      <c r="BN167" s="6">
        <f t="shared" si="41"/>
        <v>81598</v>
      </c>
      <c r="BO167" s="6"/>
      <c r="BP167" s="6"/>
      <c r="BQ167" s="6"/>
      <c r="BR167" s="6">
        <f t="shared" si="42"/>
        <v>55118</v>
      </c>
      <c r="BT167" s="6">
        <f t="shared" si="43"/>
        <v>136716</v>
      </c>
      <c r="BV167" s="6">
        <f t="shared" si="40"/>
        <v>0</v>
      </c>
    </row>
    <row r="168" spans="1:74">
      <c r="A168" s="56"/>
      <c r="B168" s="11" t="s">
        <v>468</v>
      </c>
      <c r="C168"/>
      <c r="D168"/>
      <c r="E168"/>
      <c r="F168"/>
      <c r="G168"/>
      <c r="H168"/>
      <c r="I168"/>
      <c r="J168"/>
      <c r="K168" s="134"/>
      <c r="L168" s="423">
        <v>45631</v>
      </c>
      <c r="M168" s="6"/>
      <c r="O168" s="6"/>
      <c r="Q168" s="6"/>
      <c r="R168" s="6">
        <v>418906</v>
      </c>
      <c r="S168" s="6"/>
      <c r="T168" s="6"/>
      <c r="U168" s="6"/>
      <c r="V168" s="6"/>
      <c r="X168" s="6"/>
      <c r="Z168" s="6"/>
      <c r="AB168" s="6"/>
      <c r="AD168" s="6"/>
      <c r="BB168" s="6">
        <f>535+49417+54003+86107+62011-1</f>
        <v>252072</v>
      </c>
      <c r="BD168" s="6">
        <v>0</v>
      </c>
      <c r="BL168" s="6"/>
      <c r="BM168" s="6"/>
      <c r="BN168" s="6">
        <f t="shared" si="41"/>
        <v>252072</v>
      </c>
      <c r="BO168" s="6"/>
      <c r="BP168" s="6"/>
      <c r="BQ168" s="6"/>
      <c r="BR168" s="6">
        <f t="shared" si="42"/>
        <v>166834</v>
      </c>
      <c r="BT168" s="6">
        <f t="shared" si="43"/>
        <v>418906</v>
      </c>
      <c r="BV168" s="6">
        <f t="shared" si="40"/>
        <v>0</v>
      </c>
    </row>
    <row r="169" spans="1:74">
      <c r="A169" s="56"/>
      <c r="B169" s="11" t="s">
        <v>469</v>
      </c>
      <c r="C169"/>
      <c r="D169"/>
      <c r="E169"/>
      <c r="F169"/>
      <c r="G169"/>
      <c r="H169"/>
      <c r="I169"/>
      <c r="J169"/>
      <c r="K169" s="134"/>
      <c r="L169" s="423">
        <v>45632</v>
      </c>
      <c r="M169" s="6"/>
      <c r="O169" s="6"/>
      <c r="Q169" s="6"/>
      <c r="R169" s="6">
        <v>80018</v>
      </c>
      <c r="S169" s="6"/>
      <c r="T169" s="6"/>
      <c r="U169" s="6"/>
      <c r="V169" s="6"/>
      <c r="X169" s="6"/>
      <c r="Z169" s="6"/>
      <c r="AB169" s="6"/>
      <c r="AD169" s="6"/>
      <c r="BB169" s="6">
        <f>2216+5019+7461+1503+34872</f>
        <v>51071</v>
      </c>
      <c r="BL169" s="6"/>
      <c r="BM169" s="6"/>
      <c r="BN169" s="6">
        <f t="shared" si="41"/>
        <v>51071</v>
      </c>
      <c r="BO169" s="6"/>
      <c r="BP169" s="6"/>
      <c r="BQ169" s="6"/>
      <c r="BR169" s="6">
        <f t="shared" si="42"/>
        <v>28947</v>
      </c>
      <c r="BT169" s="6">
        <f t="shared" si="43"/>
        <v>80018</v>
      </c>
      <c r="BV169" s="6">
        <f t="shared" si="40"/>
        <v>0</v>
      </c>
    </row>
    <row r="170" spans="1:74">
      <c r="A170" s="56"/>
      <c r="B170" s="11" t="s">
        <v>470</v>
      </c>
      <c r="C170"/>
      <c r="D170"/>
      <c r="E170"/>
      <c r="F170"/>
      <c r="G170"/>
      <c r="H170"/>
      <c r="I170"/>
      <c r="J170"/>
      <c r="K170" s="134"/>
      <c r="L170" s="423">
        <v>45633</v>
      </c>
      <c r="M170" s="6"/>
      <c r="O170" s="6"/>
      <c r="Q170" s="6"/>
      <c r="R170" s="6">
        <v>50029</v>
      </c>
      <c r="S170" s="6"/>
      <c r="T170" s="6"/>
      <c r="U170" s="6"/>
      <c r="V170" s="6"/>
      <c r="X170" s="6"/>
      <c r="Z170" s="6"/>
      <c r="AB170" s="6"/>
      <c r="AD170" s="6"/>
      <c r="BB170" s="6">
        <f>1180+2747+5434+6643+21028</f>
        <v>37032</v>
      </c>
      <c r="BL170" s="6"/>
      <c r="BM170" s="6"/>
      <c r="BN170" s="6">
        <f t="shared" si="41"/>
        <v>37032</v>
      </c>
      <c r="BO170" s="6"/>
      <c r="BP170" s="6"/>
      <c r="BQ170" s="6"/>
      <c r="BR170" s="6">
        <f t="shared" si="42"/>
        <v>12997</v>
      </c>
      <c r="BT170" s="6">
        <f t="shared" si="43"/>
        <v>50029</v>
      </c>
      <c r="BV170" s="6">
        <f t="shared" si="40"/>
        <v>0</v>
      </c>
    </row>
    <row r="171" spans="1:74">
      <c r="A171" s="56"/>
      <c r="B171" s="11" t="s">
        <v>471</v>
      </c>
      <c r="C171"/>
      <c r="D171"/>
      <c r="E171"/>
      <c r="F171"/>
      <c r="G171"/>
      <c r="H171"/>
      <c r="I171"/>
      <c r="J171"/>
      <c r="K171" s="134"/>
      <c r="L171" s="423">
        <v>45634</v>
      </c>
      <c r="M171" s="6"/>
      <c r="O171" s="6"/>
      <c r="Q171" s="6"/>
      <c r="R171" s="6">
        <v>61757</v>
      </c>
      <c r="S171" s="6"/>
      <c r="T171" s="6"/>
      <c r="U171" s="6"/>
      <c r="V171" s="6"/>
      <c r="X171" s="6"/>
      <c r="Z171" s="6"/>
      <c r="AB171" s="6"/>
      <c r="AD171" s="6"/>
      <c r="BB171" s="6">
        <f>1072+8128+10987+8103+2831</f>
        <v>31121</v>
      </c>
      <c r="BL171" s="6"/>
      <c r="BM171" s="6"/>
      <c r="BN171" s="6">
        <f t="shared" si="41"/>
        <v>31121</v>
      </c>
      <c r="BO171" s="6"/>
      <c r="BP171" s="6"/>
      <c r="BQ171" s="6"/>
      <c r="BR171" s="6">
        <f t="shared" si="42"/>
        <v>30636</v>
      </c>
      <c r="BT171" s="6">
        <f t="shared" si="43"/>
        <v>61757</v>
      </c>
      <c r="BV171" s="6">
        <f t="shared" si="40"/>
        <v>0</v>
      </c>
    </row>
    <row r="172" spans="1:74">
      <c r="A172" s="56"/>
      <c r="B172" s="11" t="s">
        <v>472</v>
      </c>
      <c r="C172"/>
      <c r="D172"/>
      <c r="E172"/>
      <c r="F172"/>
      <c r="G172"/>
      <c r="H172"/>
      <c r="I172"/>
      <c r="J172"/>
      <c r="K172" s="134"/>
      <c r="L172" s="423">
        <v>45635</v>
      </c>
      <c r="M172" s="6"/>
      <c r="O172" s="6"/>
      <c r="Q172" s="6"/>
      <c r="R172" s="6">
        <v>21962</v>
      </c>
      <c r="S172" s="6"/>
      <c r="T172" s="6"/>
      <c r="U172" s="6"/>
      <c r="V172" s="6"/>
      <c r="X172" s="6"/>
      <c r="Z172" s="6"/>
      <c r="AB172" s="6"/>
      <c r="AD172" s="6"/>
      <c r="BB172" s="6">
        <f>1397+1090+360</f>
        <v>2847</v>
      </c>
      <c r="BL172" s="6"/>
      <c r="BM172" s="6"/>
      <c r="BN172" s="6">
        <f t="shared" si="41"/>
        <v>2847</v>
      </c>
      <c r="BO172" s="6"/>
      <c r="BP172" s="6"/>
      <c r="BQ172" s="6"/>
      <c r="BR172" s="6">
        <f t="shared" si="42"/>
        <v>19115</v>
      </c>
      <c r="BT172" s="6">
        <f t="shared" si="43"/>
        <v>21962</v>
      </c>
      <c r="BV172" s="6">
        <f t="shared" si="40"/>
        <v>0</v>
      </c>
    </row>
    <row r="173" spans="1:74">
      <c r="A173" s="56"/>
      <c r="B173" s="11" t="s">
        <v>473</v>
      </c>
      <c r="C173"/>
      <c r="D173"/>
      <c r="E173"/>
      <c r="F173"/>
      <c r="G173"/>
      <c r="H173"/>
      <c r="I173"/>
      <c r="J173"/>
      <c r="K173" s="134"/>
      <c r="L173" s="423">
        <v>45636</v>
      </c>
      <c r="M173" s="6"/>
      <c r="O173" s="6"/>
      <c r="Q173" s="6"/>
      <c r="R173" s="6">
        <v>125513</v>
      </c>
      <c r="S173" s="6"/>
      <c r="T173" s="6"/>
      <c r="U173" s="6"/>
      <c r="V173" s="6"/>
      <c r="X173" s="6"/>
      <c r="Z173" s="6"/>
      <c r="AB173" s="6"/>
      <c r="AD173" s="6"/>
      <c r="BB173" s="6">
        <f>21486+9708+3513+13253</f>
        <v>47960</v>
      </c>
      <c r="BL173" s="6"/>
      <c r="BM173" s="6"/>
      <c r="BN173" s="6">
        <f t="shared" si="41"/>
        <v>47960</v>
      </c>
      <c r="BO173" s="6"/>
      <c r="BP173" s="6"/>
      <c r="BQ173" s="6"/>
      <c r="BR173" s="6">
        <f t="shared" si="42"/>
        <v>77553</v>
      </c>
      <c r="BT173" s="6">
        <f t="shared" si="43"/>
        <v>125513</v>
      </c>
      <c r="BV173" s="6">
        <f t="shared" si="40"/>
        <v>0</v>
      </c>
    </row>
    <row r="174" spans="1:74">
      <c r="A174" s="56"/>
      <c r="B174" s="11" t="s">
        <v>474</v>
      </c>
      <c r="C174"/>
      <c r="D174"/>
      <c r="E174"/>
      <c r="F174"/>
      <c r="G174"/>
      <c r="H174"/>
      <c r="I174"/>
      <c r="J174"/>
      <c r="K174" s="134"/>
      <c r="L174" s="423">
        <v>45637</v>
      </c>
      <c r="M174" s="6"/>
      <c r="O174" s="6"/>
      <c r="Q174" s="6"/>
      <c r="R174" s="6">
        <v>259130</v>
      </c>
      <c r="S174" s="6"/>
      <c r="T174" s="6"/>
      <c r="U174" s="6"/>
      <c r="V174" s="6"/>
      <c r="X174" s="6"/>
      <c r="Z174" s="6"/>
      <c r="AB174" s="6"/>
      <c r="AD174" s="6"/>
      <c r="BB174" s="6">
        <f>152+47111+9834+24500+36357</f>
        <v>117954</v>
      </c>
      <c r="BL174" s="6"/>
      <c r="BM174" s="6"/>
      <c r="BN174" s="6">
        <f t="shared" si="41"/>
        <v>117954</v>
      </c>
      <c r="BO174" s="6"/>
      <c r="BP174" s="6"/>
      <c r="BQ174" s="6"/>
      <c r="BR174" s="6">
        <f t="shared" si="42"/>
        <v>141176</v>
      </c>
      <c r="BT174" s="6">
        <f t="shared" si="43"/>
        <v>259130</v>
      </c>
      <c r="BV174" s="6">
        <f t="shared" si="40"/>
        <v>0</v>
      </c>
    </row>
    <row r="175" spans="1:74">
      <c r="A175" s="56"/>
      <c r="B175" s="11" t="s">
        <v>475</v>
      </c>
      <c r="C175"/>
      <c r="D175"/>
      <c r="E175"/>
      <c r="F175"/>
      <c r="G175"/>
      <c r="H175"/>
      <c r="I175"/>
      <c r="J175"/>
      <c r="K175" s="134"/>
      <c r="L175" s="423">
        <v>45638</v>
      </c>
      <c r="M175" s="6"/>
      <c r="O175" s="6"/>
      <c r="Q175" s="6"/>
      <c r="R175" s="6">
        <v>30502</v>
      </c>
      <c r="S175" s="6"/>
      <c r="T175" s="6"/>
      <c r="U175" s="6"/>
      <c r="V175" s="6"/>
      <c r="X175" s="6"/>
      <c r="Z175" s="6"/>
      <c r="AB175" s="6"/>
      <c r="AD175" s="6"/>
      <c r="BB175" s="6">
        <f>1610+1653+233+2316</f>
        <v>5812</v>
      </c>
      <c r="BL175" s="6"/>
      <c r="BM175" s="6"/>
      <c r="BN175" s="6">
        <f t="shared" si="41"/>
        <v>5812</v>
      </c>
      <c r="BO175" s="6"/>
      <c r="BP175" s="6"/>
      <c r="BQ175" s="6"/>
      <c r="BR175" s="6">
        <f t="shared" si="42"/>
        <v>24690</v>
      </c>
      <c r="BT175" s="6">
        <f t="shared" si="43"/>
        <v>30502</v>
      </c>
      <c r="BV175" s="6">
        <f t="shared" si="40"/>
        <v>0</v>
      </c>
    </row>
    <row r="176" spans="1:74">
      <c r="A176" s="56"/>
      <c r="B176" s="11" t="s">
        <v>476</v>
      </c>
      <c r="C176"/>
      <c r="D176"/>
      <c r="E176"/>
      <c r="F176"/>
      <c r="G176"/>
      <c r="H176"/>
      <c r="I176"/>
      <c r="J176"/>
      <c r="K176" s="134"/>
      <c r="L176" s="423">
        <v>45639</v>
      </c>
      <c r="M176" s="6"/>
      <c r="O176" s="6"/>
      <c r="Q176" s="6"/>
      <c r="R176" s="6">
        <v>12923</v>
      </c>
      <c r="S176" s="6"/>
      <c r="T176" s="6"/>
      <c r="U176" s="6"/>
      <c r="V176" s="6"/>
      <c r="X176" s="6"/>
      <c r="Z176" s="6"/>
      <c r="AB176" s="6"/>
      <c r="AD176" s="6"/>
      <c r="BB176" s="6">
        <f>177+793+608+489</f>
        <v>2067</v>
      </c>
      <c r="BL176" s="6"/>
      <c r="BM176" s="6"/>
      <c r="BN176" s="6">
        <f t="shared" si="41"/>
        <v>2067</v>
      </c>
      <c r="BO176" s="6"/>
      <c r="BP176" s="6"/>
      <c r="BQ176" s="6"/>
      <c r="BR176" s="6">
        <f t="shared" si="42"/>
        <v>10856</v>
      </c>
      <c r="BT176" s="6">
        <f t="shared" si="43"/>
        <v>12923</v>
      </c>
      <c r="BV176" s="6">
        <f t="shared" si="40"/>
        <v>0</v>
      </c>
    </row>
    <row r="177" spans="1:75">
      <c r="A177" s="56"/>
      <c r="B177" s="11" t="s">
        <v>477</v>
      </c>
      <c r="C177"/>
      <c r="D177"/>
      <c r="E177"/>
      <c r="F177"/>
      <c r="G177"/>
      <c r="H177"/>
      <c r="I177"/>
      <c r="J177"/>
      <c r="K177" s="134"/>
      <c r="L177" s="423">
        <v>45642</v>
      </c>
      <c r="M177" s="6"/>
      <c r="O177" s="6"/>
      <c r="Q177" s="6"/>
      <c r="R177" s="6">
        <v>29543</v>
      </c>
      <c r="S177" s="6"/>
      <c r="T177" s="6"/>
      <c r="U177" s="6"/>
      <c r="V177" s="6"/>
      <c r="X177" s="6"/>
      <c r="Z177" s="6"/>
      <c r="AB177" s="6"/>
      <c r="AD177" s="6"/>
      <c r="BB177" s="6">
        <f>3035+4465+920+3264</f>
        <v>11684</v>
      </c>
      <c r="BL177" s="6"/>
      <c r="BM177" s="6"/>
      <c r="BN177" s="6">
        <f t="shared" si="41"/>
        <v>11684</v>
      </c>
      <c r="BO177" s="6"/>
      <c r="BP177" s="6"/>
      <c r="BQ177" s="6"/>
      <c r="BR177" s="6">
        <f>IF(+R177-BN177+BP177&gt;0,R177-BN177+BP177,0)</f>
        <v>17859</v>
      </c>
      <c r="BT177" s="6">
        <f t="shared" si="43"/>
        <v>29543</v>
      </c>
      <c r="BV177" s="6">
        <f t="shared" si="40"/>
        <v>0</v>
      </c>
    </row>
    <row r="178" spans="1:75">
      <c r="A178" s="56"/>
      <c r="B178" s="11" t="s">
        <v>478</v>
      </c>
      <c r="C178"/>
      <c r="D178"/>
      <c r="E178"/>
      <c r="F178"/>
      <c r="G178"/>
      <c r="H178"/>
      <c r="I178"/>
      <c r="J178"/>
      <c r="K178" s="134"/>
      <c r="L178" s="423">
        <v>45643</v>
      </c>
      <c r="M178" s="6"/>
      <c r="O178" s="6"/>
      <c r="Q178" s="6"/>
      <c r="R178" s="6">
        <v>31391</v>
      </c>
      <c r="S178" s="6"/>
      <c r="T178" s="6"/>
      <c r="U178" s="6"/>
      <c r="V178" s="6"/>
      <c r="X178" s="6"/>
      <c r="Z178" s="6"/>
      <c r="AB178" s="6"/>
      <c r="AD178" s="6"/>
      <c r="BB178" s="6">
        <f>4715+8109+152+8983</f>
        <v>21959</v>
      </c>
      <c r="BL178" s="6"/>
      <c r="BM178" s="6"/>
      <c r="BN178" s="6">
        <f t="shared" si="41"/>
        <v>21959</v>
      </c>
      <c r="BO178" s="6"/>
      <c r="BP178" s="6"/>
      <c r="BQ178" s="6"/>
      <c r="BR178" s="6">
        <f>IF(+R178-BN178+BP178&gt;0,R178-BN178+BP178,0)</f>
        <v>9432</v>
      </c>
      <c r="BT178" s="6">
        <f t="shared" si="43"/>
        <v>31391</v>
      </c>
      <c r="BV178" s="6">
        <f t="shared" si="40"/>
        <v>0</v>
      </c>
    </row>
    <row r="179" spans="1:75">
      <c r="A179" s="56"/>
      <c r="B179" s="11" t="s">
        <v>479</v>
      </c>
      <c r="C179"/>
      <c r="D179"/>
      <c r="E179"/>
      <c r="F179"/>
      <c r="G179"/>
      <c r="H179"/>
      <c r="I179"/>
      <c r="J179"/>
      <c r="K179" s="134"/>
      <c r="L179" s="423">
        <v>45644</v>
      </c>
      <c r="M179" s="6"/>
      <c r="O179" s="6"/>
      <c r="Q179" s="6"/>
      <c r="R179" s="6">
        <v>22237</v>
      </c>
      <c r="S179" s="6"/>
      <c r="T179" s="6"/>
      <c r="U179" s="6"/>
      <c r="V179" s="6"/>
      <c r="X179" s="6"/>
      <c r="Z179" s="6"/>
      <c r="AB179" s="6"/>
      <c r="AD179" s="6"/>
      <c r="BB179" s="6">
        <f>600+1287+1507+10660</f>
        <v>14054</v>
      </c>
      <c r="BL179" s="6"/>
      <c r="BM179" s="6"/>
      <c r="BN179" s="6">
        <f t="shared" si="41"/>
        <v>14054</v>
      </c>
      <c r="BO179" s="6"/>
      <c r="BP179" s="6"/>
      <c r="BQ179" s="6"/>
      <c r="BR179" s="6">
        <f>IF(+R179-BN179+BP179&gt;0,R179-BN179+BP179,0)</f>
        <v>8183</v>
      </c>
      <c r="BT179" s="6">
        <f t="shared" si="43"/>
        <v>22237</v>
      </c>
      <c r="BV179" s="6">
        <f t="shared" si="40"/>
        <v>0</v>
      </c>
    </row>
    <row r="180" spans="1:75">
      <c r="A180" s="56"/>
      <c r="B180" s="11" t="s">
        <v>79</v>
      </c>
      <c r="C180"/>
      <c r="D180"/>
      <c r="E180"/>
      <c r="F180"/>
      <c r="G180"/>
      <c r="H180"/>
      <c r="I180"/>
      <c r="J180"/>
      <c r="K180" s="134"/>
      <c r="L180" s="423"/>
      <c r="M180" s="6"/>
      <c r="O180" s="6"/>
      <c r="Q180" s="6"/>
      <c r="S180" s="6"/>
      <c r="T180" s="6"/>
      <c r="U180" s="6"/>
      <c r="V180" s="6"/>
      <c r="X180" s="6"/>
      <c r="Z180" s="6"/>
      <c r="AB180" s="6"/>
      <c r="AD180" s="6"/>
      <c r="BB180" s="6">
        <v>837000</v>
      </c>
      <c r="BL180" s="6"/>
      <c r="BM180" s="6"/>
      <c r="BN180" s="6">
        <f t="shared" si="41"/>
        <v>837000</v>
      </c>
      <c r="BO180" s="6"/>
      <c r="BP180" s="6"/>
      <c r="BQ180" s="6"/>
    </row>
    <row r="181" spans="1:75">
      <c r="A181" s="56"/>
      <c r="B181" s="11" t="s">
        <v>481</v>
      </c>
      <c r="C181"/>
      <c r="D181"/>
      <c r="E181"/>
      <c r="F181"/>
      <c r="G181"/>
      <c r="H181"/>
      <c r="I181"/>
      <c r="J181"/>
      <c r="K181" s="134"/>
      <c r="L181" s="423"/>
      <c r="M181" s="6"/>
      <c r="O181" s="6"/>
      <c r="Q181" s="6"/>
      <c r="R181" s="6">
        <f>-3890117+2200000+132742</f>
        <v>-1557375</v>
      </c>
      <c r="S181" s="6"/>
      <c r="T181" s="6"/>
      <c r="U181" s="6"/>
      <c r="V181" s="6"/>
      <c r="X181" s="6"/>
      <c r="Z181" s="6"/>
      <c r="AB181" s="6"/>
      <c r="AD181" s="6"/>
      <c r="BL181" s="6"/>
      <c r="BM181" s="6"/>
      <c r="BN181" s="6">
        <f t="shared" si="41"/>
        <v>0</v>
      </c>
      <c r="BO181" s="6"/>
      <c r="BP181" s="6">
        <v>1690117</v>
      </c>
      <c r="BQ181" s="6"/>
      <c r="BR181" s="6">
        <f>IF(+R181-BN181+BP181&gt;0,R181-BN181+BP181,0)</f>
        <v>132742</v>
      </c>
      <c r="BT181" s="6">
        <f t="shared" si="43"/>
        <v>132742</v>
      </c>
      <c r="BV181" s="6">
        <f t="shared" si="40"/>
        <v>-1690117</v>
      </c>
    </row>
    <row r="182" spans="1:75" s="21" customFormat="1">
      <c r="A182" s="56"/>
      <c r="B182" s="31" t="s">
        <v>277</v>
      </c>
      <c r="K182" s="143"/>
      <c r="L182" s="9"/>
      <c r="M182" s="102">
        <f>SUM(M162:M177)</f>
        <v>2000000</v>
      </c>
      <c r="N182" s="9"/>
      <c r="O182" s="102">
        <f>SUM(O162:O177)</f>
        <v>295000</v>
      </c>
      <c r="P182" s="9"/>
      <c r="Q182" s="102">
        <f>SUM(Q162:Q177)</f>
        <v>2295000</v>
      </c>
      <c r="R182" s="102">
        <f>SUM(R162:R181)</f>
        <v>2200000</v>
      </c>
      <c r="S182" s="9"/>
      <c r="T182" s="102">
        <f>SUM(T162:T177)</f>
        <v>0</v>
      </c>
      <c r="U182" s="9"/>
      <c r="V182" s="102">
        <f>SUM(V162:V177)</f>
        <v>0</v>
      </c>
      <c r="W182" s="9"/>
      <c r="X182" s="102">
        <f>SUM(X162:X177)</f>
        <v>0</v>
      </c>
      <c r="Y182" s="9"/>
      <c r="Z182" s="102">
        <f>SUM(Z162:Z177)</f>
        <v>0</v>
      </c>
      <c r="AA182" s="9"/>
      <c r="AB182" s="102">
        <f>SUM(AB162:AB177)</f>
        <v>0</v>
      </c>
      <c r="AC182" s="9"/>
      <c r="AD182" s="102">
        <f>SUM(AD162:AD177)</f>
        <v>0</v>
      </c>
      <c r="AE182" s="9"/>
      <c r="AF182" s="102">
        <f>SUM(AF162:AF177)</f>
        <v>0</v>
      </c>
      <c r="AG182" s="9"/>
      <c r="AH182" s="102">
        <f>SUM(AH162:AH177)</f>
        <v>0</v>
      </c>
      <c r="AI182" s="9"/>
      <c r="AJ182" s="102">
        <f>SUM(AJ162:AJ177)</f>
        <v>0</v>
      </c>
      <c r="AK182" s="9"/>
      <c r="AL182" s="102">
        <f>SUM(AL162:AL177)</f>
        <v>0</v>
      </c>
      <c r="AM182" s="102"/>
      <c r="AN182" s="102">
        <f>SUM(AN162:AN177)</f>
        <v>0</v>
      </c>
      <c r="AO182" s="9"/>
      <c r="AP182" s="102">
        <f>SUM(AP162:AP177)</f>
        <v>18017.870000000003</v>
      </c>
      <c r="AQ182" s="9"/>
      <c r="AR182" s="102">
        <f>SUM(AR162:AR177)</f>
        <v>0</v>
      </c>
      <c r="AS182" s="9"/>
      <c r="AT182" s="102">
        <f t="shared" ref="AT182:BW182" si="44">SUM(AT162:AT181)</f>
        <v>7500</v>
      </c>
      <c r="AU182" s="102">
        <f t="shared" si="44"/>
        <v>0</v>
      </c>
      <c r="AV182" s="102">
        <f t="shared" si="44"/>
        <v>20486.25</v>
      </c>
      <c r="AW182" s="102">
        <f t="shared" si="44"/>
        <v>0</v>
      </c>
      <c r="AX182" s="102">
        <f t="shared" si="44"/>
        <v>0</v>
      </c>
      <c r="AY182" s="102">
        <f t="shared" si="44"/>
        <v>0</v>
      </c>
      <c r="AZ182" s="102">
        <f t="shared" si="44"/>
        <v>10602.45</v>
      </c>
      <c r="BA182" s="102">
        <f t="shared" si="44"/>
        <v>0</v>
      </c>
      <c r="BB182" s="102">
        <f t="shared" si="44"/>
        <v>2820532.52</v>
      </c>
      <c r="BC182" s="102">
        <f t="shared" si="44"/>
        <v>0</v>
      </c>
      <c r="BD182" s="102">
        <f t="shared" si="44"/>
        <v>0</v>
      </c>
      <c r="BE182" s="102">
        <f t="shared" si="44"/>
        <v>0</v>
      </c>
      <c r="BF182" s="102">
        <f t="shared" si="44"/>
        <v>0</v>
      </c>
      <c r="BG182" s="102">
        <f t="shared" si="44"/>
        <v>0</v>
      </c>
      <c r="BH182" s="102">
        <f t="shared" si="44"/>
        <v>0</v>
      </c>
      <c r="BI182" s="102">
        <f t="shared" si="44"/>
        <v>0</v>
      </c>
      <c r="BJ182" s="102">
        <f t="shared" si="44"/>
        <v>0</v>
      </c>
      <c r="BK182" s="102">
        <f t="shared" si="44"/>
        <v>0</v>
      </c>
      <c r="BL182" s="102">
        <f t="shared" si="44"/>
        <v>0</v>
      </c>
      <c r="BM182" s="102">
        <f t="shared" si="44"/>
        <v>0</v>
      </c>
      <c r="BN182" s="102">
        <f t="shared" si="44"/>
        <v>2877139.09</v>
      </c>
      <c r="BO182" s="102">
        <f t="shared" si="44"/>
        <v>0</v>
      </c>
      <c r="BP182" s="102">
        <f t="shared" si="44"/>
        <v>1690117</v>
      </c>
      <c r="BQ182" s="102">
        <f t="shared" si="44"/>
        <v>0</v>
      </c>
      <c r="BR182" s="102">
        <f t="shared" si="44"/>
        <v>1873661.75</v>
      </c>
      <c r="BS182" s="102">
        <f t="shared" si="44"/>
        <v>0</v>
      </c>
      <c r="BT182" s="102">
        <f t="shared" si="44"/>
        <v>3913800.84</v>
      </c>
      <c r="BU182" s="102">
        <f t="shared" si="44"/>
        <v>0</v>
      </c>
      <c r="BV182" s="102">
        <f t="shared" si="44"/>
        <v>-1713800.84</v>
      </c>
      <c r="BW182" s="102">
        <f t="shared" si="44"/>
        <v>0</v>
      </c>
    </row>
    <row r="183" spans="1:75" s="21" customFormat="1">
      <c r="A183" s="56"/>
      <c r="B183" s="31"/>
      <c r="K183" s="143"/>
      <c r="L183" s="9"/>
      <c r="M183" s="10"/>
      <c r="N183" s="9"/>
      <c r="O183" s="10"/>
      <c r="P183" s="9"/>
      <c r="Q183" s="10"/>
      <c r="R183" s="10"/>
      <c r="S183" s="9"/>
      <c r="T183" s="10"/>
      <c r="U183" s="9"/>
      <c r="V183" s="10"/>
      <c r="W183" s="9"/>
      <c r="X183" s="10"/>
      <c r="Y183" s="9"/>
      <c r="Z183" s="10"/>
      <c r="AA183" s="9"/>
      <c r="AB183" s="10"/>
      <c r="AC183" s="9"/>
      <c r="AD183" s="10"/>
      <c r="AE183" s="9"/>
      <c r="AF183" s="10"/>
      <c r="AG183" s="9"/>
      <c r="AH183" s="10"/>
      <c r="AI183" s="9"/>
      <c r="AJ183" s="10"/>
      <c r="AK183" s="9"/>
      <c r="AL183" s="10"/>
      <c r="AM183" s="9"/>
      <c r="AN183" s="10"/>
      <c r="AO183" s="9"/>
      <c r="AP183" s="10"/>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c r="BM183" s="9"/>
      <c r="BN183" s="10"/>
      <c r="BO183" s="9"/>
      <c r="BP183" s="10"/>
      <c r="BQ183" s="9"/>
      <c r="BR183" s="10"/>
      <c r="BS183" s="9"/>
      <c r="BT183" s="10"/>
      <c r="BU183" s="9"/>
    </row>
    <row r="184" spans="1:75" s="21" customFormat="1">
      <c r="A184" s="56" t="s">
        <v>29</v>
      </c>
      <c r="B184" s="31"/>
      <c r="J184" s="8" t="s">
        <v>0</v>
      </c>
      <c r="L184" s="134" t="s">
        <v>202</v>
      </c>
      <c r="M184" s="9"/>
      <c r="N184" s="9">
        <v>0</v>
      </c>
      <c r="O184" s="9"/>
      <c r="P184" s="9">
        <v>0</v>
      </c>
      <c r="Q184" s="9"/>
      <c r="R184" s="9">
        <v>1100000</v>
      </c>
      <c r="S184" s="9"/>
      <c r="T184" s="9">
        <v>0</v>
      </c>
      <c r="U184" s="9"/>
      <c r="V184" s="9">
        <v>0</v>
      </c>
      <c r="W184" s="9"/>
      <c r="X184" s="9">
        <v>0</v>
      </c>
      <c r="Y184" s="9"/>
      <c r="Z184" s="9">
        <v>0</v>
      </c>
      <c r="AA184" s="9"/>
      <c r="AB184" s="9">
        <v>0</v>
      </c>
      <c r="AC184" s="9"/>
      <c r="AD184" s="9">
        <v>0</v>
      </c>
      <c r="AE184" s="9"/>
      <c r="AF184" s="9">
        <v>0</v>
      </c>
      <c r="AG184" s="9"/>
      <c r="AH184" s="9">
        <v>0</v>
      </c>
      <c r="AI184" s="9"/>
      <c r="AJ184" s="9">
        <v>0</v>
      </c>
      <c r="AK184" s="9"/>
      <c r="AL184" s="9"/>
      <c r="AM184" s="9"/>
      <c r="AN184" s="9">
        <v>0</v>
      </c>
      <c r="AO184" s="9"/>
      <c r="AP184" s="9">
        <v>0</v>
      </c>
      <c r="AQ184" s="9"/>
      <c r="AR184" s="9">
        <v>0</v>
      </c>
      <c r="AS184" s="9"/>
      <c r="AT184" s="9">
        <v>0</v>
      </c>
      <c r="AU184" s="9"/>
      <c r="AV184" s="9">
        <v>0</v>
      </c>
      <c r="AW184" s="9"/>
      <c r="AX184" s="9">
        <v>0</v>
      </c>
      <c r="AY184" s="9"/>
      <c r="AZ184" s="9">
        <v>0</v>
      </c>
      <c r="BA184" s="9"/>
      <c r="BB184" s="9">
        <v>0</v>
      </c>
      <c r="BC184" s="9"/>
      <c r="BD184" s="9">
        <v>0</v>
      </c>
      <c r="BE184" s="9"/>
      <c r="BF184" s="9">
        <v>0</v>
      </c>
      <c r="BG184" s="9"/>
      <c r="BH184" s="9">
        <v>0</v>
      </c>
      <c r="BI184" s="9"/>
      <c r="BJ184" s="9">
        <v>0</v>
      </c>
      <c r="BK184" s="9"/>
      <c r="BL184" s="9">
        <v>0</v>
      </c>
      <c r="BM184" s="9"/>
      <c r="BN184" s="9">
        <f>SUM(T184:BM184)</f>
        <v>0</v>
      </c>
      <c r="BO184" s="9"/>
      <c r="BP184" s="9">
        <v>0</v>
      </c>
      <c r="BQ184" s="9"/>
      <c r="BR184" s="6">
        <f>IF(+R184-BN184+BP184&gt;0,R184-BN184+BP184,0)</f>
        <v>1100000</v>
      </c>
      <c r="BS184" s="9"/>
      <c r="BT184" s="9">
        <f>+BN184+BR184</f>
        <v>1100000</v>
      </c>
      <c r="BU184" s="9"/>
      <c r="BV184" s="9">
        <f>+R184-BT184</f>
        <v>0</v>
      </c>
      <c r="BW184" s="9"/>
    </row>
    <row r="185" spans="1:75" s="21" customFormat="1">
      <c r="A185" s="118"/>
      <c r="B185" s="58"/>
      <c r="J185" s="8"/>
      <c r="L185" s="143"/>
      <c r="M185" s="9"/>
      <c r="N185" s="10"/>
      <c r="O185" s="9"/>
      <c r="P185" s="10"/>
      <c r="Q185" s="9"/>
      <c r="R185" s="10"/>
      <c r="S185" s="9"/>
      <c r="T185" s="10"/>
      <c r="U185" s="9"/>
      <c r="V185" s="10"/>
      <c r="W185" s="9"/>
      <c r="X185" s="10"/>
      <c r="Y185" s="9"/>
      <c r="Z185" s="10"/>
      <c r="AA185" s="9"/>
      <c r="AB185" s="10"/>
      <c r="AC185" s="9"/>
      <c r="AD185" s="10"/>
      <c r="AE185" s="9"/>
      <c r="AF185" s="10"/>
      <c r="AG185" s="9"/>
      <c r="AH185" s="10"/>
      <c r="AI185" s="9"/>
      <c r="AJ185" s="10"/>
      <c r="AK185" s="9"/>
      <c r="AL185" s="10"/>
      <c r="AM185" s="9"/>
      <c r="AN185" s="10"/>
      <c r="AO185" s="9"/>
      <c r="AP185" s="10"/>
      <c r="AQ185" s="9"/>
      <c r="AR185" s="10"/>
      <c r="AS185" s="9"/>
      <c r="AT185" s="10"/>
      <c r="AU185" s="9"/>
      <c r="AV185" s="10"/>
      <c r="AW185" s="10"/>
      <c r="AX185" s="10"/>
      <c r="AY185" s="10"/>
      <c r="AZ185" s="10"/>
      <c r="BA185" s="10"/>
      <c r="BB185" s="10"/>
      <c r="BC185" s="10"/>
      <c r="BD185" s="10"/>
      <c r="BE185" s="10"/>
      <c r="BF185" s="10"/>
      <c r="BG185" s="10"/>
      <c r="BH185" s="10"/>
      <c r="BI185" s="10"/>
      <c r="BJ185" s="10"/>
      <c r="BK185" s="10"/>
      <c r="BL185" s="10"/>
      <c r="BM185" s="9"/>
      <c r="BN185" s="10"/>
      <c r="BO185" s="9"/>
      <c r="BP185" s="10"/>
      <c r="BQ185" s="9"/>
      <c r="BR185" s="10"/>
      <c r="BS185" s="9"/>
      <c r="BT185" s="10"/>
      <c r="BU185" s="9"/>
      <c r="BV185" s="10"/>
      <c r="BW185" s="9"/>
    </row>
    <row r="186" spans="1:75" s="15" customFormat="1">
      <c r="A186" s="111" t="s">
        <v>289</v>
      </c>
      <c r="B186" s="60"/>
      <c r="C186"/>
      <c r="D186"/>
      <c r="E186"/>
      <c r="F186"/>
      <c r="G186"/>
      <c r="H186"/>
      <c r="I186"/>
      <c r="J186" s="49"/>
      <c r="K186"/>
      <c r="L186" s="134"/>
      <c r="M186" s="22"/>
      <c r="N186" s="22"/>
      <c r="O186" s="22"/>
      <c r="P186" s="22"/>
      <c r="Q186" s="22"/>
      <c r="R186" s="22"/>
      <c r="S186" s="22"/>
      <c r="T186" s="22"/>
      <c r="U186" s="22"/>
      <c r="V186" s="22"/>
      <c r="W186" s="22"/>
      <c r="X186" s="22"/>
      <c r="Y186" s="22"/>
      <c r="Z186" s="22"/>
      <c r="AA186" s="22"/>
      <c r="AB186" s="22"/>
      <c r="AC186" s="22"/>
      <c r="AD186" s="22"/>
      <c r="AE186" s="22"/>
      <c r="AF186" s="22"/>
      <c r="AG186" s="22"/>
      <c r="AH186" s="22"/>
      <c r="AI186" s="22"/>
      <c r="AJ186" s="22"/>
      <c r="AK186" s="22"/>
      <c r="AL186" s="22"/>
      <c r="AM186" s="22"/>
      <c r="AN186" s="22"/>
      <c r="AO186" s="22"/>
      <c r="AP186" s="22"/>
      <c r="AQ186" s="22"/>
      <c r="AR186" s="22"/>
      <c r="AS186" s="22"/>
      <c r="AT186" s="22"/>
      <c r="AU186" s="22"/>
      <c r="AV186" s="22"/>
      <c r="AW186" s="22"/>
      <c r="AX186" s="22"/>
      <c r="AY186" s="22"/>
      <c r="AZ186" s="22"/>
      <c r="BA186" s="22"/>
      <c r="BB186" s="22"/>
      <c r="BC186" s="22"/>
      <c r="BD186" s="22"/>
      <c r="BE186" s="22"/>
      <c r="BF186" s="22"/>
      <c r="BG186" s="22"/>
      <c r="BH186" s="22"/>
      <c r="BI186" s="22"/>
      <c r="BJ186" s="22"/>
      <c r="BK186" s="22"/>
      <c r="BL186" s="22"/>
      <c r="BM186" s="22"/>
      <c r="BN186" s="22"/>
      <c r="BO186" s="22"/>
      <c r="BP186" s="22"/>
      <c r="BQ186" s="22"/>
      <c r="BR186" s="22"/>
      <c r="BS186" s="22"/>
      <c r="BT186" s="22"/>
      <c r="BU186" s="22"/>
      <c r="BV186" s="22"/>
      <c r="BW186" s="22"/>
    </row>
    <row r="187" spans="1:75" s="15" customFormat="1" hidden="1">
      <c r="A187" s="14"/>
      <c r="B187" s="60" t="s">
        <v>179</v>
      </c>
      <c r="C187"/>
      <c r="D187"/>
      <c r="E187"/>
      <c r="F187"/>
      <c r="G187"/>
      <c r="H187"/>
      <c r="I187"/>
      <c r="J187" s="49"/>
      <c r="K187"/>
      <c r="L187" s="134" t="s">
        <v>202</v>
      </c>
      <c r="M187" s="22"/>
      <c r="N187" s="22">
        <v>0</v>
      </c>
      <c r="O187" s="22"/>
      <c r="P187" s="22">
        <v>0</v>
      </c>
      <c r="Q187" s="22"/>
      <c r="R187" s="6">
        <f>+N187+P187</f>
        <v>0</v>
      </c>
      <c r="S187" s="22"/>
      <c r="T187" s="22">
        <v>0</v>
      </c>
      <c r="U187" s="22"/>
      <c r="V187" s="22">
        <v>0</v>
      </c>
      <c r="W187" s="22"/>
      <c r="X187" s="22">
        <v>0</v>
      </c>
      <c r="Y187" s="22"/>
      <c r="Z187" s="22">
        <v>0</v>
      </c>
      <c r="AA187" s="22"/>
      <c r="AB187" s="22">
        <v>0</v>
      </c>
      <c r="AC187" s="22"/>
      <c r="AD187" s="22">
        <v>0</v>
      </c>
      <c r="AE187" s="22"/>
      <c r="AF187" s="22">
        <v>0</v>
      </c>
      <c r="AG187" s="22"/>
      <c r="AH187" s="22">
        <v>0</v>
      </c>
      <c r="AI187" s="22"/>
      <c r="AJ187" s="22">
        <v>0</v>
      </c>
      <c r="AK187" s="22"/>
      <c r="AL187" s="22"/>
      <c r="AM187" s="22"/>
      <c r="AN187" s="22">
        <v>0</v>
      </c>
      <c r="AO187" s="22"/>
      <c r="AP187" s="22">
        <v>0</v>
      </c>
      <c r="AQ187" s="22"/>
      <c r="AR187" s="22">
        <v>0</v>
      </c>
      <c r="AS187" s="22"/>
      <c r="AT187" s="22">
        <v>0</v>
      </c>
      <c r="AU187" s="22"/>
      <c r="AV187" s="22">
        <v>0</v>
      </c>
      <c r="AW187" s="22"/>
      <c r="AX187" s="22">
        <v>0</v>
      </c>
      <c r="AY187" s="22"/>
      <c r="AZ187" s="22">
        <v>0</v>
      </c>
      <c r="BA187" s="22"/>
      <c r="BB187" s="22">
        <v>0</v>
      </c>
      <c r="BC187" s="22"/>
      <c r="BD187" s="22">
        <v>0</v>
      </c>
      <c r="BE187" s="22"/>
      <c r="BF187" s="22">
        <v>0</v>
      </c>
      <c r="BG187" s="22"/>
      <c r="BH187" s="22">
        <v>0</v>
      </c>
      <c r="BI187" s="22"/>
      <c r="BJ187" s="22">
        <v>0</v>
      </c>
      <c r="BK187" s="22"/>
      <c r="BL187" s="22">
        <v>0</v>
      </c>
      <c r="BM187" s="22"/>
      <c r="BN187" s="22">
        <f>SUM(T187:BM187)</f>
        <v>0</v>
      </c>
      <c r="BO187" s="22"/>
      <c r="BP187" s="22">
        <v>0</v>
      </c>
      <c r="BQ187" s="22"/>
      <c r="BR187" s="22">
        <f>+R187-BN187+BP187</f>
        <v>0</v>
      </c>
      <c r="BS187" s="22"/>
      <c r="BT187" s="6">
        <f>+BN187+BR187</f>
        <v>0</v>
      </c>
      <c r="BU187" s="22"/>
      <c r="BV187" s="6">
        <f>+R187-BT187</f>
        <v>0</v>
      </c>
      <c r="BW187" s="22"/>
    </row>
    <row r="188" spans="1:75" s="15" customFormat="1">
      <c r="A188" s="14"/>
      <c r="B188" s="60" t="s">
        <v>290</v>
      </c>
      <c r="C188"/>
      <c r="D188"/>
      <c r="E188"/>
      <c r="F188"/>
      <c r="G188"/>
      <c r="H188"/>
      <c r="I188"/>
      <c r="J188" s="49"/>
      <c r="K188"/>
      <c r="L188" s="134" t="s">
        <v>202</v>
      </c>
      <c r="M188" s="22"/>
      <c r="N188" s="22">
        <v>0</v>
      </c>
      <c r="O188" s="22"/>
      <c r="P188" s="22">
        <v>0</v>
      </c>
      <c r="Q188" s="22"/>
      <c r="R188" s="6">
        <v>500000</v>
      </c>
      <c r="S188" s="22"/>
      <c r="T188" s="22">
        <v>0</v>
      </c>
      <c r="U188" s="22"/>
      <c r="V188" s="22">
        <v>0</v>
      </c>
      <c r="W188" s="22"/>
      <c r="X188" s="22">
        <v>0</v>
      </c>
      <c r="Y188" s="22"/>
      <c r="Z188" s="22">
        <v>0</v>
      </c>
      <c r="AA188" s="22"/>
      <c r="AB188" s="22">
        <v>0</v>
      </c>
      <c r="AC188" s="22"/>
      <c r="AD188" s="22">
        <v>0</v>
      </c>
      <c r="AE188" s="22"/>
      <c r="AF188" s="22">
        <v>0</v>
      </c>
      <c r="AG188" s="22"/>
      <c r="AH188" s="22">
        <v>0</v>
      </c>
      <c r="AI188" s="22"/>
      <c r="AJ188" s="22">
        <v>0</v>
      </c>
      <c r="AK188" s="22"/>
      <c r="AL188" s="22"/>
      <c r="AM188" s="22"/>
      <c r="AN188" s="22">
        <v>0</v>
      </c>
      <c r="AO188" s="22"/>
      <c r="AP188" s="22">
        <v>0</v>
      </c>
      <c r="AQ188" s="22"/>
      <c r="AR188" s="22">
        <v>0</v>
      </c>
      <c r="AS188" s="22"/>
      <c r="AT188" s="22">
        <v>0</v>
      </c>
      <c r="AU188" s="22"/>
      <c r="AV188" s="22">
        <v>0</v>
      </c>
      <c r="AW188" s="22"/>
      <c r="AX188" s="22">
        <v>0</v>
      </c>
      <c r="AY188" s="22"/>
      <c r="AZ188" s="22">
        <v>0</v>
      </c>
      <c r="BA188" s="22"/>
      <c r="BB188" s="22">
        <v>0</v>
      </c>
      <c r="BC188" s="22"/>
      <c r="BD188" s="22">
        <v>0</v>
      </c>
      <c r="BE188" s="22"/>
      <c r="BF188" s="22">
        <v>0</v>
      </c>
      <c r="BG188" s="22"/>
      <c r="BH188" s="22">
        <v>0</v>
      </c>
      <c r="BI188" s="22"/>
      <c r="BJ188" s="22">
        <v>0</v>
      </c>
      <c r="BK188" s="22"/>
      <c r="BL188" s="22">
        <v>0</v>
      </c>
      <c r="BM188" s="22"/>
      <c r="BN188" s="22">
        <f>SUM(T188:BM188)</f>
        <v>0</v>
      </c>
      <c r="BO188" s="22"/>
      <c r="BP188" s="22">
        <v>0</v>
      </c>
      <c r="BQ188" s="22"/>
      <c r="BR188" s="6">
        <f>IF(+R188-BN188+BP188&gt;0,R188-BN188+BP188,0)</f>
        <v>500000</v>
      </c>
      <c r="BS188" s="22"/>
      <c r="BT188" s="6">
        <f>+BN188+BR188</f>
        <v>500000</v>
      </c>
      <c r="BU188" s="22"/>
      <c r="BV188" s="6">
        <f>+R188-BT188</f>
        <v>0</v>
      </c>
      <c r="BW188" s="22"/>
    </row>
    <row r="189" spans="1:75" s="15" customFormat="1" hidden="1">
      <c r="A189" s="14"/>
      <c r="B189" s="60" t="s">
        <v>121</v>
      </c>
      <c r="C189"/>
      <c r="D189"/>
      <c r="E189"/>
      <c r="F189"/>
      <c r="G189"/>
      <c r="H189"/>
      <c r="I189"/>
      <c r="J189" s="49"/>
      <c r="K189"/>
      <c r="L189" s="134" t="s">
        <v>202</v>
      </c>
      <c r="M189" s="22"/>
      <c r="N189" s="22">
        <v>0</v>
      </c>
      <c r="O189" s="22"/>
      <c r="P189" s="22">
        <v>0</v>
      </c>
      <c r="Q189" s="22"/>
      <c r="R189" s="6">
        <v>0</v>
      </c>
      <c r="S189" s="22"/>
      <c r="T189" s="22">
        <v>0</v>
      </c>
      <c r="U189" s="22"/>
      <c r="V189" s="22">
        <v>0</v>
      </c>
      <c r="W189" s="22"/>
      <c r="X189" s="22">
        <v>0</v>
      </c>
      <c r="Y189" s="22"/>
      <c r="Z189" s="22">
        <v>0</v>
      </c>
      <c r="AA189" s="22"/>
      <c r="AB189" s="22">
        <v>0</v>
      </c>
      <c r="AC189" s="22"/>
      <c r="AD189" s="22">
        <v>0</v>
      </c>
      <c r="AE189" s="22"/>
      <c r="AF189" s="22">
        <v>0</v>
      </c>
      <c r="AG189" s="22"/>
      <c r="AH189" s="22">
        <v>0</v>
      </c>
      <c r="AI189" s="22"/>
      <c r="AJ189" s="22">
        <v>0</v>
      </c>
      <c r="AK189" s="22"/>
      <c r="AL189" s="22"/>
      <c r="AM189" s="22"/>
      <c r="AN189" s="22">
        <v>0</v>
      </c>
      <c r="AO189" s="22"/>
      <c r="AP189" s="22">
        <v>0</v>
      </c>
      <c r="AQ189" s="22"/>
      <c r="AR189" s="22">
        <v>0</v>
      </c>
      <c r="AS189" s="22"/>
      <c r="AT189" s="22">
        <v>0</v>
      </c>
      <c r="AU189" s="22"/>
      <c r="AV189" s="22">
        <v>0</v>
      </c>
      <c r="AW189" s="22"/>
      <c r="AX189" s="22">
        <v>0</v>
      </c>
      <c r="AY189" s="22"/>
      <c r="AZ189" s="22">
        <v>0</v>
      </c>
      <c r="BA189" s="22"/>
      <c r="BB189" s="22">
        <v>0</v>
      </c>
      <c r="BC189" s="22"/>
      <c r="BD189" s="22">
        <v>0</v>
      </c>
      <c r="BE189" s="22"/>
      <c r="BF189" s="22">
        <v>0</v>
      </c>
      <c r="BG189" s="22"/>
      <c r="BH189" s="22">
        <v>0</v>
      </c>
      <c r="BI189" s="22"/>
      <c r="BJ189" s="22">
        <v>0</v>
      </c>
      <c r="BK189" s="22"/>
      <c r="BL189" s="22">
        <v>0</v>
      </c>
      <c r="BM189" s="22"/>
      <c r="BN189" s="22">
        <f>SUM(T189:BM189)</f>
        <v>0</v>
      </c>
      <c r="BO189" s="22"/>
      <c r="BP189" s="22">
        <v>0</v>
      </c>
      <c r="BQ189" s="22"/>
      <c r="BR189" s="22">
        <f>+R189-BN189+BP189</f>
        <v>0</v>
      </c>
      <c r="BS189" s="22"/>
      <c r="BT189" s="6">
        <f>+BN189+BR189</f>
        <v>0</v>
      </c>
      <c r="BU189" s="22"/>
      <c r="BV189" s="6">
        <f>+R189-BT189</f>
        <v>0</v>
      </c>
      <c r="BW189" s="22"/>
    </row>
    <row r="190" spans="1:75" s="104" customFormat="1">
      <c r="A190" s="111"/>
      <c r="B190" s="77" t="s">
        <v>181</v>
      </c>
      <c r="C190" s="21"/>
      <c r="D190" s="21"/>
      <c r="E190" s="21"/>
      <c r="F190" s="21"/>
      <c r="G190" s="21"/>
      <c r="H190" s="21"/>
      <c r="I190" s="21"/>
      <c r="J190" s="8"/>
      <c r="K190" s="21"/>
      <c r="L190" s="143"/>
      <c r="M190" s="16"/>
      <c r="N190" s="108">
        <f>SUM(N187:N189)</f>
        <v>0</v>
      </c>
      <c r="O190" s="16"/>
      <c r="P190" s="108">
        <f>SUM(P187:P189)</f>
        <v>0</v>
      </c>
      <c r="Q190" s="16"/>
      <c r="R190" s="108">
        <f>SUM(R187:R189)</f>
        <v>500000</v>
      </c>
      <c r="S190" s="16"/>
      <c r="T190" s="108">
        <f>SUM(T187:T189)</f>
        <v>0</v>
      </c>
      <c r="U190" s="16"/>
      <c r="V190" s="108">
        <f>SUM(V187:V189)</f>
        <v>0</v>
      </c>
      <c r="W190" s="16"/>
      <c r="X190" s="108">
        <f>SUM(X187:X189)</f>
        <v>0</v>
      </c>
      <c r="Y190" s="16"/>
      <c r="Z190" s="108">
        <f>SUM(Z187:Z189)</f>
        <v>0</v>
      </c>
      <c r="AA190" s="16"/>
      <c r="AB190" s="108">
        <f>SUM(AB187:AB189)</f>
        <v>0</v>
      </c>
      <c r="AC190" s="16"/>
      <c r="AD190" s="108">
        <f>SUM(AD187:AD189)</f>
        <v>0</v>
      </c>
      <c r="AE190" s="16"/>
      <c r="AF190" s="108">
        <f>SUM(AF187:AF189)</f>
        <v>0</v>
      </c>
      <c r="AG190" s="16"/>
      <c r="AH190" s="108">
        <f>SUM(AH187:AH189)</f>
        <v>0</v>
      </c>
      <c r="AI190" s="16"/>
      <c r="AJ190" s="108">
        <f>SUM(AJ187:AJ189)</f>
        <v>0</v>
      </c>
      <c r="AK190" s="16"/>
      <c r="AL190" s="108">
        <f>SUM(AL187:AL189)</f>
        <v>0</v>
      </c>
      <c r="AM190" s="108"/>
      <c r="AN190" s="108">
        <f>SUM(AN187:AN189)</f>
        <v>0</v>
      </c>
      <c r="AO190" s="16"/>
      <c r="AP190" s="108">
        <f>SUM(AP187:AP189)</f>
        <v>0</v>
      </c>
      <c r="AQ190" s="16"/>
      <c r="AR190" s="108">
        <f>SUM(AR187:AR189)</f>
        <v>0</v>
      </c>
      <c r="AS190" s="16"/>
      <c r="AT190" s="108">
        <f>SUM(AT187:AT189)</f>
        <v>0</v>
      </c>
      <c r="AU190" s="16"/>
      <c r="AV190" s="108">
        <f>SUM(AV187:AV189)</f>
        <v>0</v>
      </c>
      <c r="AW190" s="103"/>
      <c r="AX190" s="108">
        <f>SUM(AX187:AX189)</f>
        <v>0</v>
      </c>
      <c r="AY190" s="103"/>
      <c r="AZ190" s="108">
        <f>SUM(AZ187:AZ189)</f>
        <v>0</v>
      </c>
      <c r="BA190" s="103"/>
      <c r="BB190" s="108">
        <f>SUM(BB187:BB189)</f>
        <v>0</v>
      </c>
      <c r="BC190" s="103"/>
      <c r="BD190" s="108">
        <f>SUM(BD187:BD189)</f>
        <v>0</v>
      </c>
      <c r="BE190" s="103"/>
      <c r="BF190" s="108">
        <f>SUM(BF187:BF189)</f>
        <v>0</v>
      </c>
      <c r="BG190" s="103"/>
      <c r="BH190" s="108">
        <f>SUM(BH187:BH189)</f>
        <v>0</v>
      </c>
      <c r="BI190" s="103"/>
      <c r="BJ190" s="108">
        <f>SUM(BJ187:BJ189)</f>
        <v>0</v>
      </c>
      <c r="BK190" s="103"/>
      <c r="BL190" s="108">
        <f>SUM(BL187:BL189)</f>
        <v>0</v>
      </c>
      <c r="BM190" s="16"/>
      <c r="BN190" s="108">
        <f>SUM(BN187:BN189)</f>
        <v>0</v>
      </c>
      <c r="BO190" s="16"/>
      <c r="BP190" s="108">
        <f>SUM(BP187:BP189)</f>
        <v>0</v>
      </c>
      <c r="BQ190" s="16"/>
      <c r="BR190" s="108">
        <f>SUM(BR187:BR189)</f>
        <v>500000</v>
      </c>
      <c r="BS190" s="16"/>
      <c r="BT190" s="108">
        <f>SUM(BT187:BT189)</f>
        <v>500000</v>
      </c>
      <c r="BU190" s="16"/>
      <c r="BV190" s="108">
        <f>SUM(BV187:BV189)</f>
        <v>0</v>
      </c>
      <c r="BW190" s="16"/>
    </row>
    <row r="191" spans="1:75" s="104" customFormat="1">
      <c r="A191" s="32"/>
      <c r="B191" s="77"/>
      <c r="C191" s="21"/>
      <c r="D191" s="21"/>
      <c r="E191" s="21"/>
      <c r="F191" s="21"/>
      <c r="G191" s="21"/>
      <c r="H191" s="21"/>
      <c r="I191" s="21"/>
      <c r="J191" s="8"/>
      <c r="K191" s="21"/>
      <c r="L191" s="143"/>
      <c r="M191" s="16"/>
      <c r="N191" s="103"/>
      <c r="O191" s="16"/>
      <c r="P191" s="103"/>
      <c r="Q191" s="16"/>
      <c r="R191" s="103"/>
      <c r="S191" s="16"/>
      <c r="T191" s="103"/>
      <c r="U191" s="16"/>
      <c r="V191" s="103"/>
      <c r="W191" s="16"/>
      <c r="X191" s="103"/>
      <c r="Y191" s="16"/>
      <c r="Z191" s="103"/>
      <c r="AA191" s="16"/>
      <c r="AB191" s="103"/>
      <c r="AC191" s="16"/>
      <c r="AD191" s="103"/>
      <c r="AE191" s="16"/>
      <c r="AF191" s="103"/>
      <c r="AG191" s="16"/>
      <c r="AH191" s="103"/>
      <c r="AI191" s="16"/>
      <c r="AJ191" s="103"/>
      <c r="AK191" s="16"/>
      <c r="AL191" s="103"/>
      <c r="AM191" s="16"/>
      <c r="AN191" s="103"/>
      <c r="AO191" s="16"/>
      <c r="AP191" s="103"/>
      <c r="AQ191" s="16"/>
      <c r="AR191" s="103"/>
      <c r="AS191" s="16"/>
      <c r="AT191" s="103"/>
      <c r="AU191" s="16"/>
      <c r="AV191" s="103"/>
      <c r="AW191" s="103"/>
      <c r="AX191" s="103"/>
      <c r="AY191" s="103"/>
      <c r="AZ191" s="103"/>
      <c r="BA191" s="103"/>
      <c r="BB191" s="103"/>
      <c r="BC191" s="103"/>
      <c r="BD191" s="103"/>
      <c r="BE191" s="103"/>
      <c r="BF191" s="103"/>
      <c r="BG191" s="103"/>
      <c r="BH191" s="103"/>
      <c r="BI191" s="103"/>
      <c r="BJ191" s="103"/>
      <c r="BK191" s="103"/>
      <c r="BL191" s="103"/>
      <c r="BM191" s="16"/>
      <c r="BN191" s="103"/>
      <c r="BO191" s="16"/>
      <c r="BP191" s="103"/>
      <c r="BQ191" s="16"/>
      <c r="BR191" s="103"/>
      <c r="BS191" s="16"/>
      <c r="BT191" s="103"/>
      <c r="BU191" s="16"/>
      <c r="BV191" s="103"/>
      <c r="BW191" s="16"/>
    </row>
    <row r="192" spans="1:75" s="31" customFormat="1">
      <c r="A192" s="58" t="s">
        <v>31</v>
      </c>
      <c r="J192" s="159"/>
      <c r="L192" s="145" t="s">
        <v>202</v>
      </c>
      <c r="M192" s="10"/>
      <c r="N192" s="10">
        <v>0</v>
      </c>
      <c r="O192" s="10"/>
      <c r="P192" s="10">
        <v>0</v>
      </c>
      <c r="Q192" s="10"/>
      <c r="R192" s="9">
        <v>200000</v>
      </c>
      <c r="S192" s="10"/>
      <c r="T192" s="10">
        <v>0</v>
      </c>
      <c r="U192" s="10"/>
      <c r="V192" s="10">
        <v>0</v>
      </c>
      <c r="W192" s="10"/>
      <c r="X192" s="10">
        <v>0</v>
      </c>
      <c r="Y192" s="10"/>
      <c r="Z192" s="10">
        <v>0</v>
      </c>
      <c r="AA192" s="10"/>
      <c r="AB192" s="10">
        <v>0</v>
      </c>
      <c r="AC192" s="10"/>
      <c r="AD192" s="10">
        <v>0</v>
      </c>
      <c r="AE192" s="10"/>
      <c r="AF192" s="10">
        <v>0</v>
      </c>
      <c r="AG192" s="10"/>
      <c r="AH192" s="10">
        <v>0</v>
      </c>
      <c r="AI192" s="10"/>
      <c r="AJ192" s="10">
        <v>0</v>
      </c>
      <c r="AK192" s="10"/>
      <c r="AL192" s="10"/>
      <c r="AM192" s="10"/>
      <c r="AN192" s="10">
        <v>0</v>
      </c>
      <c r="AO192" s="10"/>
      <c r="AP192" s="10">
        <v>0</v>
      </c>
      <c r="AQ192" s="10"/>
      <c r="AR192" s="10">
        <v>0</v>
      </c>
      <c r="AS192" s="10"/>
      <c r="AT192" s="10">
        <v>200935.25</v>
      </c>
      <c r="AU192" s="10"/>
      <c r="AV192" s="10">
        <v>0</v>
      </c>
      <c r="AW192" s="10"/>
      <c r="AX192" s="10">
        <v>0</v>
      </c>
      <c r="AY192" s="10"/>
      <c r="AZ192" s="10">
        <v>0</v>
      </c>
      <c r="BA192" s="10"/>
      <c r="BB192" s="10">
        <v>0</v>
      </c>
      <c r="BC192" s="10"/>
      <c r="BD192" s="10">
        <v>0</v>
      </c>
      <c r="BE192" s="10"/>
      <c r="BF192" s="10">
        <v>0</v>
      </c>
      <c r="BG192" s="10"/>
      <c r="BH192" s="10">
        <v>0</v>
      </c>
      <c r="BI192" s="10"/>
      <c r="BJ192" s="10">
        <v>0</v>
      </c>
      <c r="BK192" s="10"/>
      <c r="BL192" s="10">
        <v>0</v>
      </c>
      <c r="BM192" s="10"/>
      <c r="BN192" s="10">
        <f>SUM(T192:BM192)</f>
        <v>200935.25</v>
      </c>
      <c r="BO192" s="10"/>
      <c r="BP192" s="10">
        <v>0</v>
      </c>
      <c r="BQ192" s="10"/>
      <c r="BR192" s="6">
        <f>IF(+R192-BN192+BP192&gt;0,R192-BN192+BP192,0)</f>
        <v>0</v>
      </c>
      <c r="BS192" s="10"/>
      <c r="BT192" s="9">
        <f>+BN192+BR192</f>
        <v>200935.25</v>
      </c>
      <c r="BU192" s="10"/>
      <c r="BV192" s="9">
        <f>+R192-BT192</f>
        <v>-935.25</v>
      </c>
      <c r="BW192" s="10"/>
    </row>
    <row r="193" spans="1:124" s="15" customFormat="1">
      <c r="A193" s="14"/>
      <c r="B193" s="60"/>
      <c r="C193"/>
      <c r="D193"/>
      <c r="E193"/>
      <c r="F193"/>
      <c r="G193"/>
      <c r="H193"/>
      <c r="I193"/>
      <c r="J193" s="49"/>
      <c r="K193"/>
      <c r="L193" s="134"/>
      <c r="M193" s="22"/>
      <c r="N193" s="22"/>
      <c r="O193" s="22"/>
      <c r="P193" s="22"/>
      <c r="Q193" s="22"/>
      <c r="R193" s="22"/>
      <c r="S193" s="22"/>
      <c r="T193" s="22"/>
      <c r="U193" s="22"/>
      <c r="V193" s="22"/>
      <c r="W193" s="22"/>
      <c r="X193" s="22"/>
      <c r="Y193" s="22"/>
      <c r="Z193" s="22"/>
      <c r="AA193" s="22"/>
      <c r="AB193" s="22"/>
      <c r="AC193" s="22"/>
      <c r="AD193" s="22"/>
      <c r="AE193" s="22"/>
      <c r="AF193" s="22"/>
      <c r="AG193" s="22"/>
      <c r="AH193" s="22"/>
      <c r="AI193" s="22"/>
      <c r="AJ193" s="22"/>
      <c r="AK193" s="22"/>
      <c r="AL193" s="22"/>
      <c r="AM193" s="22"/>
      <c r="AN193" s="22"/>
      <c r="AO193" s="22"/>
      <c r="AP193" s="22"/>
      <c r="AQ193" s="22"/>
      <c r="AR193" s="22"/>
      <c r="AS193" s="22"/>
      <c r="AT193" s="22"/>
      <c r="AU193" s="22"/>
      <c r="AV193" s="22"/>
      <c r="AW193" s="22"/>
      <c r="AX193" s="22"/>
      <c r="AY193" s="22"/>
      <c r="AZ193" s="22"/>
      <c r="BA193" s="22"/>
      <c r="BB193" s="22"/>
      <c r="BC193" s="22"/>
      <c r="BD193" s="22"/>
      <c r="BE193" s="22"/>
      <c r="BF193" s="22"/>
      <c r="BG193" s="22"/>
      <c r="BH193" s="22"/>
      <c r="BI193" s="22"/>
      <c r="BJ193" s="22"/>
      <c r="BK193" s="22"/>
      <c r="BL193" s="22"/>
      <c r="BM193" s="22"/>
      <c r="BN193" s="22"/>
      <c r="BO193" s="22"/>
      <c r="BP193" s="22"/>
      <c r="BQ193" s="22"/>
      <c r="BR193" s="22"/>
      <c r="BS193" s="22"/>
      <c r="BT193" s="22"/>
      <c r="BU193" s="22"/>
      <c r="BV193" s="22"/>
      <c r="BW193" s="22"/>
    </row>
    <row r="194" spans="1:124" s="31" customFormat="1">
      <c r="A194" s="58" t="s">
        <v>32</v>
      </c>
      <c r="J194" s="159"/>
      <c r="L194" s="145" t="s">
        <v>202</v>
      </c>
      <c r="M194" s="10"/>
      <c r="N194" s="10">
        <v>0</v>
      </c>
      <c r="O194" s="10"/>
      <c r="P194" s="10">
        <v>0</v>
      </c>
      <c r="Q194" s="10"/>
      <c r="R194" s="9">
        <v>200000</v>
      </c>
      <c r="S194" s="10"/>
      <c r="T194" s="10">
        <v>0</v>
      </c>
      <c r="U194" s="10"/>
      <c r="V194" s="10">
        <v>0</v>
      </c>
      <c r="W194" s="10"/>
      <c r="X194" s="10"/>
      <c r="Y194" s="10"/>
      <c r="Z194" s="10">
        <v>0</v>
      </c>
      <c r="AA194" s="10"/>
      <c r="AB194" s="10">
        <v>0</v>
      </c>
      <c r="AC194" s="10"/>
      <c r="AD194" s="10">
        <v>0</v>
      </c>
      <c r="AE194" s="10"/>
      <c r="AF194" s="10">
        <v>0</v>
      </c>
      <c r="AG194" s="10"/>
      <c r="AH194" s="10">
        <v>0</v>
      </c>
      <c r="AI194" s="10"/>
      <c r="AJ194" s="10">
        <v>0</v>
      </c>
      <c r="AK194" s="10"/>
      <c r="AL194" s="10">
        <f>33713.4+18457</f>
        <v>52170.400000000001</v>
      </c>
      <c r="AM194" s="10"/>
      <c r="AN194" s="10">
        <v>2851</v>
      </c>
      <c r="AO194" s="10"/>
      <c r="AP194" s="10">
        <v>0</v>
      </c>
      <c r="AQ194" s="10"/>
      <c r="AR194" s="10">
        <v>0</v>
      </c>
      <c r="AS194" s="10"/>
      <c r="AT194" s="10">
        <v>0</v>
      </c>
      <c r="AU194" s="10"/>
      <c r="AV194" s="10">
        <v>1755.4</v>
      </c>
      <c r="AW194" s="10"/>
      <c r="AX194" s="10">
        <v>28687.68</v>
      </c>
      <c r="AY194" s="10"/>
      <c r="AZ194" s="10">
        <v>12673.78</v>
      </c>
      <c r="BA194" s="10"/>
      <c r="BB194" s="10">
        <v>13977.09</v>
      </c>
      <c r="BC194" s="10"/>
      <c r="BD194" s="10">
        <v>0</v>
      </c>
      <c r="BE194" s="10"/>
      <c r="BF194" s="10">
        <v>0</v>
      </c>
      <c r="BG194" s="10"/>
      <c r="BH194" s="10">
        <v>0</v>
      </c>
      <c r="BI194" s="10"/>
      <c r="BJ194" s="10">
        <v>0</v>
      </c>
      <c r="BK194" s="10"/>
      <c r="BL194" s="10">
        <v>0</v>
      </c>
      <c r="BM194" s="10"/>
      <c r="BN194" s="10">
        <f>SUM(T194:BM194)</f>
        <v>112115.35</v>
      </c>
      <c r="BO194" s="10"/>
      <c r="BP194" s="10">
        <v>0</v>
      </c>
      <c r="BQ194" s="10"/>
      <c r="BR194" s="6">
        <f>IF(+R194-BN194+BP194&gt;0,R194-BN194+BP194,0)</f>
        <v>87884.65</v>
      </c>
      <c r="BS194" s="10"/>
      <c r="BT194" s="9">
        <f>+BN194+BR194</f>
        <v>200000</v>
      </c>
      <c r="BU194" s="10"/>
      <c r="BV194" s="9">
        <f>+R194-BT194</f>
        <v>0</v>
      </c>
      <c r="BW194" s="10"/>
    </row>
    <row r="195" spans="1:124" s="15" customFormat="1">
      <c r="A195" s="14"/>
      <c r="B195" s="60"/>
      <c r="C195"/>
      <c r="D195"/>
      <c r="E195"/>
      <c r="F195"/>
      <c r="G195"/>
      <c r="H195"/>
      <c r="I195"/>
      <c r="J195" s="49"/>
      <c r="K195"/>
      <c r="L195" s="134"/>
      <c r="M195" s="22"/>
      <c r="N195" s="22"/>
      <c r="O195" s="22"/>
      <c r="P195" s="22"/>
      <c r="Q195" s="22"/>
      <c r="R195" s="22"/>
      <c r="S195" s="22"/>
      <c r="T195" s="22"/>
      <c r="U195" s="22"/>
      <c r="V195" s="22"/>
      <c r="W195" s="22"/>
      <c r="X195" s="22"/>
      <c r="Y195" s="22"/>
      <c r="Z195" s="22"/>
      <c r="AA195" s="22"/>
      <c r="AB195" s="22"/>
      <c r="AC195" s="22"/>
      <c r="AD195" s="22"/>
      <c r="AE195" s="22"/>
      <c r="AF195" s="22"/>
      <c r="AG195" s="22"/>
      <c r="AH195" s="22"/>
      <c r="AI195" s="22"/>
      <c r="AJ195" s="22"/>
      <c r="AK195" s="22"/>
      <c r="AL195" s="22"/>
      <c r="AM195" s="22"/>
      <c r="AN195" s="22"/>
      <c r="AO195" s="22"/>
      <c r="AP195" s="22"/>
      <c r="AQ195" s="22"/>
      <c r="AR195" s="22"/>
      <c r="AS195" s="22"/>
      <c r="AT195" s="22"/>
      <c r="AU195" s="22"/>
      <c r="AV195" s="22"/>
      <c r="AW195" s="22"/>
      <c r="AX195" s="22"/>
      <c r="AY195" s="22"/>
      <c r="AZ195" s="22"/>
      <c r="BA195" s="22"/>
      <c r="BB195" s="22"/>
      <c r="BC195" s="22"/>
      <c r="BD195" s="22"/>
      <c r="BE195" s="22"/>
      <c r="BF195" s="22"/>
      <c r="BG195" s="22"/>
      <c r="BH195" s="22"/>
      <c r="BI195" s="22"/>
      <c r="BJ195" s="22"/>
      <c r="BK195" s="22"/>
      <c r="BL195" s="22"/>
      <c r="BM195" s="22"/>
      <c r="BN195" s="22"/>
      <c r="BO195" s="22"/>
      <c r="BP195" s="22"/>
      <c r="BQ195" s="22"/>
      <c r="BR195" s="22"/>
      <c r="BS195" s="22"/>
      <c r="BT195" s="22"/>
      <c r="BU195" s="22"/>
      <c r="BV195" s="22"/>
      <c r="BW195" s="22"/>
    </row>
    <row r="196" spans="1:124">
      <c r="A196" s="56" t="s">
        <v>33</v>
      </c>
      <c r="B196" s="11"/>
      <c r="C196"/>
      <c r="D196"/>
      <c r="E196"/>
      <c r="F196"/>
      <c r="G196"/>
      <c r="H196"/>
      <c r="I196"/>
      <c r="J196" s="49"/>
      <c r="K196"/>
      <c r="L196" s="134"/>
      <c r="M196" s="6"/>
      <c r="O196" s="6"/>
      <c r="Q196" s="6"/>
      <c r="S196" s="6"/>
      <c r="T196" s="6"/>
      <c r="U196" s="6"/>
      <c r="V196" s="6"/>
      <c r="X196" s="6"/>
      <c r="Z196" s="6"/>
      <c r="AB196" s="6"/>
      <c r="AD196" s="6"/>
      <c r="BL196" s="6"/>
      <c r="BM196" s="6"/>
      <c r="BO196" s="6"/>
      <c r="BP196" s="6"/>
      <c r="BQ196" s="6"/>
      <c r="BW196" s="6"/>
    </row>
    <row r="197" spans="1:124" s="11" customFormat="1">
      <c r="A197" s="17"/>
      <c r="B197" s="11" t="s">
        <v>184</v>
      </c>
      <c r="J197" s="160"/>
      <c r="L197" s="146" t="s">
        <v>203</v>
      </c>
      <c r="M197" s="12"/>
      <c r="N197" s="12">
        <v>200000</v>
      </c>
      <c r="O197" s="12"/>
      <c r="P197" s="12">
        <v>0</v>
      </c>
      <c r="Q197" s="12"/>
      <c r="R197" s="6">
        <v>100000</v>
      </c>
      <c r="S197" s="12"/>
      <c r="T197" s="12">
        <v>0</v>
      </c>
      <c r="U197" s="12"/>
      <c r="V197" s="12"/>
      <c r="W197" s="12"/>
      <c r="X197" s="12"/>
      <c r="Y197" s="12"/>
      <c r="Z197" s="12"/>
      <c r="AA197" s="12"/>
      <c r="AB197" s="12"/>
      <c r="AC197" s="12"/>
      <c r="AD197" s="12"/>
      <c r="AE197" s="12"/>
      <c r="AF197" s="12"/>
      <c r="AG197" s="12"/>
      <c r="AH197" s="12"/>
      <c r="AI197" s="12"/>
      <c r="AJ197" s="12">
        <f>11817+1362.81</f>
        <v>13179.81</v>
      </c>
      <c r="AK197" s="12"/>
      <c r="AL197" s="12"/>
      <c r="AM197" s="12"/>
      <c r="AN197" s="12"/>
      <c r="AO197" s="12"/>
      <c r="AP197" s="12">
        <v>0</v>
      </c>
      <c r="AQ197" s="12"/>
      <c r="AR197" s="12">
        <v>0</v>
      </c>
      <c r="AS197" s="12"/>
      <c r="AT197" s="12">
        <v>0</v>
      </c>
      <c r="AU197" s="12"/>
      <c r="AV197" s="12">
        <v>0</v>
      </c>
      <c r="AW197" s="12"/>
      <c r="AX197" s="12">
        <v>0</v>
      </c>
      <c r="AY197" s="12"/>
      <c r="AZ197" s="12">
        <v>0</v>
      </c>
      <c r="BA197" s="12"/>
      <c r="BB197" s="12">
        <v>0</v>
      </c>
      <c r="BC197" s="12"/>
      <c r="BD197" s="12">
        <v>0</v>
      </c>
      <c r="BE197" s="12"/>
      <c r="BF197" s="12">
        <v>0</v>
      </c>
      <c r="BG197" s="12"/>
      <c r="BH197" s="12">
        <v>0</v>
      </c>
      <c r="BI197" s="12"/>
      <c r="BJ197" s="12">
        <v>0</v>
      </c>
      <c r="BK197" s="12"/>
      <c r="BL197" s="12">
        <v>0</v>
      </c>
      <c r="BM197" s="12"/>
      <c r="BN197" s="12">
        <f t="shared" ref="BN197:BN202" si="45">SUM(T197:BM197)</f>
        <v>13179.81</v>
      </c>
      <c r="BO197" s="12"/>
      <c r="BP197" s="12">
        <v>0</v>
      </c>
      <c r="BQ197" s="12"/>
      <c r="BR197" s="6">
        <f t="shared" ref="BR197:BR202" si="46">IF(+R197-BN197+BP197&gt;0,R197-BN197+BP197,0)</f>
        <v>86820.19</v>
      </c>
      <c r="BS197" s="12"/>
      <c r="BT197" s="6">
        <f t="shared" ref="BT197:BT202" si="47">+BN197+BR197</f>
        <v>100000</v>
      </c>
      <c r="BU197" s="12"/>
      <c r="BV197" s="6">
        <f t="shared" ref="BV197:BV202" si="48">+R197-BT197</f>
        <v>0</v>
      </c>
      <c r="BW197" s="12"/>
    </row>
    <row r="198" spans="1:124" s="11" customFormat="1">
      <c r="A198" s="17"/>
      <c r="B198" s="11" t="s">
        <v>34</v>
      </c>
      <c r="J198" s="160"/>
      <c r="L198" s="146" t="s">
        <v>203</v>
      </c>
      <c r="M198" s="12"/>
      <c r="N198" s="12">
        <v>0</v>
      </c>
      <c r="O198" s="12"/>
      <c r="P198" s="12">
        <v>50000</v>
      </c>
      <c r="Q198" s="12"/>
      <c r="R198" s="6">
        <v>150000</v>
      </c>
      <c r="S198" s="12"/>
      <c r="T198" s="12">
        <v>0</v>
      </c>
      <c r="U198" s="12"/>
      <c r="V198" s="12"/>
      <c r="W198" s="12"/>
      <c r="X198" s="12"/>
      <c r="Y198" s="12"/>
      <c r="Z198" s="12"/>
      <c r="AA198" s="12"/>
      <c r="AB198" s="12"/>
      <c r="AC198" s="12"/>
      <c r="AD198" s="12"/>
      <c r="AE198" s="12"/>
      <c r="AF198" s="12"/>
      <c r="AG198" s="12"/>
      <c r="AH198" s="12"/>
      <c r="AI198" s="12"/>
      <c r="AJ198" s="12"/>
      <c r="AK198" s="12"/>
      <c r="AL198" s="12">
        <v>67146.100000000006</v>
      </c>
      <c r="AM198" s="12"/>
      <c r="AN198" s="12">
        <v>2410.5100000000002</v>
      </c>
      <c r="AO198" s="12"/>
      <c r="AP198" s="12">
        <v>7333.62</v>
      </c>
      <c r="AQ198" s="12"/>
      <c r="AR198" s="12">
        <v>10298.6</v>
      </c>
      <c r="AS198" s="12"/>
      <c r="AT198" s="12">
        <f>9260.96+1975.58</f>
        <v>11236.539999999999</v>
      </c>
      <c r="AU198" s="12"/>
      <c r="AV198" s="12">
        <f>1851.11</f>
        <v>1851.11</v>
      </c>
      <c r="AW198" s="12"/>
      <c r="AX198" s="12">
        <v>628.05999999999995</v>
      </c>
      <c r="AY198" s="12"/>
      <c r="AZ198" s="12">
        <v>0</v>
      </c>
      <c r="BA198" s="12"/>
      <c r="BB198" s="12">
        <v>0</v>
      </c>
      <c r="BC198" s="12"/>
      <c r="BD198" s="12">
        <v>0</v>
      </c>
      <c r="BE198" s="12"/>
      <c r="BF198" s="12">
        <v>0</v>
      </c>
      <c r="BG198" s="12"/>
      <c r="BH198" s="12">
        <v>0</v>
      </c>
      <c r="BI198" s="12"/>
      <c r="BJ198" s="12">
        <v>0</v>
      </c>
      <c r="BK198" s="12"/>
      <c r="BL198" s="12">
        <v>0</v>
      </c>
      <c r="BM198" s="12"/>
      <c r="BN198" s="12">
        <f t="shared" si="45"/>
        <v>100904.54</v>
      </c>
      <c r="BO198" s="12"/>
      <c r="BP198" s="12">
        <v>0</v>
      </c>
      <c r="BQ198" s="12"/>
      <c r="BR198" s="6">
        <f t="shared" si="46"/>
        <v>49095.460000000006</v>
      </c>
      <c r="BS198" s="12"/>
      <c r="BT198" s="6">
        <f t="shared" si="47"/>
        <v>150000</v>
      </c>
      <c r="BU198" s="12"/>
      <c r="BV198" s="6">
        <f t="shared" si="48"/>
        <v>0</v>
      </c>
      <c r="BW198" s="12"/>
    </row>
    <row r="199" spans="1:124" s="11" customFormat="1">
      <c r="A199" s="17"/>
      <c r="B199" s="11" t="s">
        <v>217</v>
      </c>
      <c r="J199" s="160"/>
      <c r="L199" s="146" t="s">
        <v>203</v>
      </c>
      <c r="M199" s="12"/>
      <c r="N199" s="12">
        <v>0</v>
      </c>
      <c r="O199" s="12"/>
      <c r="P199" s="12">
        <v>24235</v>
      </c>
      <c r="Q199" s="12"/>
      <c r="R199" s="6">
        <f>+N199+P199</f>
        <v>24235</v>
      </c>
      <c r="S199" s="12"/>
      <c r="T199" s="12">
        <v>0</v>
      </c>
      <c r="U199" s="12"/>
      <c r="V199" s="12"/>
      <c r="W199" s="12"/>
      <c r="X199" s="12"/>
      <c r="Y199" s="12"/>
      <c r="Z199" s="12"/>
      <c r="AA199" s="12"/>
      <c r="AB199" s="12"/>
      <c r="AC199" s="12"/>
      <c r="AD199" s="12"/>
      <c r="AE199" s="12"/>
      <c r="AF199" s="12"/>
      <c r="AG199" s="12"/>
      <c r="AH199" s="12"/>
      <c r="AI199" s="12"/>
      <c r="AJ199" s="12"/>
      <c r="AK199" s="12"/>
      <c r="AL199" s="12">
        <v>17043.53</v>
      </c>
      <c r="AM199" s="12"/>
      <c r="AN199" s="12">
        <v>0</v>
      </c>
      <c r="AO199" s="12"/>
      <c r="AP199" s="12">
        <v>0</v>
      </c>
      <c r="AQ199" s="12"/>
      <c r="AR199" s="12">
        <v>0</v>
      </c>
      <c r="AS199" s="12"/>
      <c r="AT199" s="12">
        <v>0</v>
      </c>
      <c r="AU199" s="12"/>
      <c r="AV199" s="12">
        <v>0</v>
      </c>
      <c r="AW199" s="12"/>
      <c r="AX199" s="12">
        <v>0</v>
      </c>
      <c r="AY199" s="12"/>
      <c r="AZ199" s="12">
        <v>0</v>
      </c>
      <c r="BA199" s="12"/>
      <c r="BB199" s="12">
        <v>0</v>
      </c>
      <c r="BC199" s="12"/>
      <c r="BD199" s="12">
        <v>0</v>
      </c>
      <c r="BE199" s="12"/>
      <c r="BF199" s="12">
        <v>0</v>
      </c>
      <c r="BG199" s="12"/>
      <c r="BH199" s="12">
        <v>0</v>
      </c>
      <c r="BI199" s="12"/>
      <c r="BJ199" s="12">
        <v>0</v>
      </c>
      <c r="BK199" s="12"/>
      <c r="BL199" s="12">
        <v>0</v>
      </c>
      <c r="BM199" s="12"/>
      <c r="BN199" s="12">
        <f t="shared" si="45"/>
        <v>17043.53</v>
      </c>
      <c r="BO199" s="12"/>
      <c r="BP199" s="12">
        <v>0</v>
      </c>
      <c r="BQ199" s="12"/>
      <c r="BR199" s="6">
        <f t="shared" si="46"/>
        <v>7191.4700000000012</v>
      </c>
      <c r="BS199" s="12"/>
      <c r="BT199" s="6">
        <f t="shared" si="47"/>
        <v>24235</v>
      </c>
      <c r="BU199" s="12"/>
      <c r="BV199" s="6">
        <f t="shared" si="48"/>
        <v>0</v>
      </c>
      <c r="BW199" s="12"/>
    </row>
    <row r="200" spans="1:124" s="11" customFormat="1">
      <c r="A200" s="17"/>
      <c r="B200" s="11" t="s">
        <v>121</v>
      </c>
      <c r="J200" s="160"/>
      <c r="L200" s="146" t="s">
        <v>203</v>
      </c>
      <c r="M200" s="12"/>
      <c r="N200" s="12">
        <v>400000</v>
      </c>
      <c r="O200" s="12"/>
      <c r="P200" s="12">
        <f>49065-N200-6000</f>
        <v>-356935</v>
      </c>
      <c r="Q200" s="12"/>
      <c r="R200" s="6">
        <f>43065+82700</f>
        <v>125765</v>
      </c>
      <c r="S200" s="12"/>
      <c r="T200" s="12">
        <v>0</v>
      </c>
      <c r="U200" s="12"/>
      <c r="V200" s="12"/>
      <c r="W200" s="12"/>
      <c r="X200" s="12"/>
      <c r="Y200" s="12"/>
      <c r="Z200" s="12"/>
      <c r="AA200" s="12"/>
      <c r="AB200" s="12"/>
      <c r="AC200" s="12"/>
      <c r="AD200" s="12"/>
      <c r="AE200" s="12"/>
      <c r="AF200" s="12"/>
      <c r="AG200" s="12"/>
      <c r="AH200" s="12"/>
      <c r="AI200" s="12"/>
      <c r="AJ200" s="12">
        <v>5904</v>
      </c>
      <c r="AK200" s="12"/>
      <c r="AL200" s="12">
        <v>2286</v>
      </c>
      <c r="AM200" s="12"/>
      <c r="AN200" s="12"/>
      <c r="AO200" s="12"/>
      <c r="AP200" s="12">
        <v>11540.01</v>
      </c>
      <c r="AQ200" s="12"/>
      <c r="AR200" s="12">
        <f>19587.28</f>
        <v>19587.28</v>
      </c>
      <c r="AS200" s="12"/>
      <c r="AT200" s="12">
        <f>25566.56+6171+2683.37</f>
        <v>34420.93</v>
      </c>
      <c r="AU200" s="12"/>
      <c r="AV200" s="12">
        <f>28832.7+49463.67+9600</f>
        <v>87896.37</v>
      </c>
      <c r="AW200" s="12"/>
      <c r="AX200" s="12">
        <v>28768.799999999999</v>
      </c>
      <c r="AY200" s="12"/>
      <c r="AZ200" s="12">
        <v>44082.48</v>
      </c>
      <c r="BA200" s="12"/>
      <c r="BB200" s="12">
        <v>165167.82999999999</v>
      </c>
      <c r="BC200" s="12"/>
      <c r="BD200" s="12">
        <v>0</v>
      </c>
      <c r="BE200" s="12"/>
      <c r="BF200" s="12">
        <v>0</v>
      </c>
      <c r="BG200" s="12"/>
      <c r="BH200" s="12">
        <v>0</v>
      </c>
      <c r="BI200" s="12"/>
      <c r="BJ200" s="12">
        <v>0</v>
      </c>
      <c r="BK200" s="12"/>
      <c r="BL200" s="12">
        <v>0</v>
      </c>
      <c r="BM200" s="12"/>
      <c r="BN200" s="12">
        <f t="shared" si="45"/>
        <v>399653.69999999995</v>
      </c>
      <c r="BO200" s="12"/>
      <c r="BP200" s="12">
        <v>0</v>
      </c>
      <c r="BQ200" s="12"/>
      <c r="BR200" s="6">
        <f t="shared" si="46"/>
        <v>0</v>
      </c>
      <c r="BS200" s="12"/>
      <c r="BT200" s="6">
        <f t="shared" si="47"/>
        <v>399653.69999999995</v>
      </c>
      <c r="BU200" s="12"/>
      <c r="BV200" s="6">
        <f t="shared" si="48"/>
        <v>-273888.69999999995</v>
      </c>
      <c r="BW200" s="12"/>
    </row>
    <row r="201" spans="1:124" s="11" customFormat="1">
      <c r="A201" s="17"/>
      <c r="B201" s="11" t="s">
        <v>441</v>
      </c>
      <c r="J201" s="160"/>
      <c r="L201" s="146"/>
      <c r="M201" s="12"/>
      <c r="N201" s="12"/>
      <c r="O201" s="12"/>
      <c r="P201" s="12"/>
      <c r="Q201" s="12"/>
      <c r="R201" s="6"/>
      <c r="S201" s="12"/>
      <c r="T201" s="12"/>
      <c r="U201" s="12"/>
      <c r="V201" s="12"/>
      <c r="W201" s="12"/>
      <c r="X201" s="12"/>
      <c r="Y201" s="12"/>
      <c r="Z201" s="12"/>
      <c r="AA201" s="12"/>
      <c r="AB201" s="12"/>
      <c r="AC201" s="12"/>
      <c r="AD201" s="12"/>
      <c r="AE201" s="12"/>
      <c r="AF201" s="12"/>
      <c r="AG201" s="12"/>
      <c r="AH201" s="12"/>
      <c r="AI201" s="12"/>
      <c r="AJ201" s="12"/>
      <c r="AK201" s="12"/>
      <c r="AL201" s="12"/>
      <c r="AM201" s="12"/>
      <c r="AN201" s="12"/>
      <c r="AO201" s="12"/>
      <c r="AP201" s="12"/>
      <c r="AQ201" s="12"/>
      <c r="AR201" s="12">
        <v>83333.33</v>
      </c>
      <c r="AS201" s="12"/>
      <c r="AT201" s="12">
        <f>25346.24+82333.33</f>
        <v>107679.57</v>
      </c>
      <c r="AU201" s="12"/>
      <c r="AV201" s="12"/>
      <c r="AW201" s="12"/>
      <c r="AX201" s="12"/>
      <c r="AY201" s="12"/>
      <c r="AZ201" s="12"/>
      <c r="BA201" s="12"/>
      <c r="BB201" s="12"/>
      <c r="BC201" s="12"/>
      <c r="BD201" s="12"/>
      <c r="BE201" s="12"/>
      <c r="BF201" s="12"/>
      <c r="BG201" s="12"/>
      <c r="BH201" s="12"/>
      <c r="BI201" s="12"/>
      <c r="BJ201" s="12"/>
      <c r="BK201" s="12"/>
      <c r="BL201" s="12"/>
      <c r="BM201" s="12"/>
      <c r="BN201" s="12">
        <f t="shared" si="45"/>
        <v>191012.90000000002</v>
      </c>
      <c r="BO201" s="12"/>
      <c r="BP201" s="12"/>
      <c r="BQ201" s="12"/>
      <c r="BR201" s="6">
        <f t="shared" si="46"/>
        <v>0</v>
      </c>
      <c r="BS201" s="12"/>
      <c r="BT201" s="6">
        <f t="shared" si="47"/>
        <v>191012.90000000002</v>
      </c>
      <c r="BU201" s="12"/>
      <c r="BV201" s="6">
        <f t="shared" si="48"/>
        <v>-191012.90000000002</v>
      </c>
      <c r="BW201" s="12"/>
    </row>
    <row r="202" spans="1:124" s="11" customFormat="1">
      <c r="A202" s="17"/>
      <c r="B202" s="11" t="s">
        <v>282</v>
      </c>
      <c r="J202" s="160"/>
      <c r="L202" s="146"/>
      <c r="M202" s="12"/>
      <c r="N202" s="12"/>
      <c r="O202" s="12"/>
      <c r="P202" s="12"/>
      <c r="Q202" s="12"/>
      <c r="R202" s="6"/>
      <c r="S202" s="12"/>
      <c r="T202" s="12"/>
      <c r="U202" s="12"/>
      <c r="V202" s="12"/>
      <c r="W202" s="12"/>
      <c r="X202" s="12"/>
      <c r="Y202" s="12"/>
      <c r="Z202" s="12"/>
      <c r="AA202" s="12"/>
      <c r="AB202" s="12"/>
      <c r="AC202" s="12"/>
      <c r="AD202" s="12"/>
      <c r="AE202" s="12"/>
      <c r="AF202" s="12"/>
      <c r="AG202" s="12"/>
      <c r="AH202" s="12"/>
      <c r="AI202" s="12"/>
      <c r="AJ202" s="12"/>
      <c r="AK202" s="12"/>
      <c r="AL202" s="12">
        <v>32203.279999999999</v>
      </c>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f t="shared" si="45"/>
        <v>32203.279999999999</v>
      </c>
      <c r="BO202" s="12"/>
      <c r="BP202" s="12">
        <v>0</v>
      </c>
      <c r="BQ202" s="12"/>
      <c r="BR202" s="6">
        <f t="shared" si="46"/>
        <v>0</v>
      </c>
      <c r="BS202" s="12"/>
      <c r="BT202" s="6">
        <f t="shared" si="47"/>
        <v>32203.279999999999</v>
      </c>
      <c r="BU202" s="12"/>
      <c r="BV202" s="6">
        <f t="shared" si="48"/>
        <v>-32203.279999999999</v>
      </c>
      <c r="BW202" s="12"/>
    </row>
    <row r="203" spans="1:124" s="21" customFormat="1">
      <c r="A203" s="56"/>
      <c r="B203" s="31" t="s">
        <v>40</v>
      </c>
      <c r="J203" s="8"/>
      <c r="L203" s="143"/>
      <c r="M203" s="9"/>
      <c r="N203" s="102">
        <f>SUM(N197:N200)</f>
        <v>600000</v>
      </c>
      <c r="O203" s="9"/>
      <c r="P203" s="102">
        <f>SUM(P197:P200)</f>
        <v>-282700</v>
      </c>
      <c r="Q203" s="9"/>
      <c r="R203" s="102">
        <f t="shared" ref="R203:BW203" si="49">SUM(R197:R202)</f>
        <v>400000</v>
      </c>
      <c r="S203" s="102">
        <f t="shared" si="49"/>
        <v>0</v>
      </c>
      <c r="T203" s="102">
        <f t="shared" si="49"/>
        <v>0</v>
      </c>
      <c r="U203" s="102">
        <f t="shared" si="49"/>
        <v>0</v>
      </c>
      <c r="V203" s="102">
        <f t="shared" si="49"/>
        <v>0</v>
      </c>
      <c r="W203" s="102">
        <f t="shared" si="49"/>
        <v>0</v>
      </c>
      <c r="X203" s="102">
        <f t="shared" si="49"/>
        <v>0</v>
      </c>
      <c r="Y203" s="102">
        <f t="shared" si="49"/>
        <v>0</v>
      </c>
      <c r="Z203" s="102">
        <f t="shared" si="49"/>
        <v>0</v>
      </c>
      <c r="AA203" s="102">
        <f t="shared" si="49"/>
        <v>0</v>
      </c>
      <c r="AB203" s="102">
        <f t="shared" si="49"/>
        <v>0</v>
      </c>
      <c r="AC203" s="102">
        <f t="shared" si="49"/>
        <v>0</v>
      </c>
      <c r="AD203" s="102">
        <f t="shared" si="49"/>
        <v>0</v>
      </c>
      <c r="AE203" s="102">
        <f t="shared" si="49"/>
        <v>0</v>
      </c>
      <c r="AF203" s="102">
        <f t="shared" si="49"/>
        <v>0</v>
      </c>
      <c r="AG203" s="102">
        <f t="shared" si="49"/>
        <v>0</v>
      </c>
      <c r="AH203" s="102">
        <f t="shared" si="49"/>
        <v>0</v>
      </c>
      <c r="AI203" s="102"/>
      <c r="AJ203" s="102">
        <f t="shared" si="49"/>
        <v>19083.809999999998</v>
      </c>
      <c r="AK203" s="102"/>
      <c r="AL203" s="102">
        <f t="shared" si="49"/>
        <v>118678.91</v>
      </c>
      <c r="AM203" s="102"/>
      <c r="AN203" s="102">
        <f t="shared" si="49"/>
        <v>2410.5100000000002</v>
      </c>
      <c r="AO203" s="102"/>
      <c r="AP203" s="102">
        <f t="shared" si="49"/>
        <v>18873.63</v>
      </c>
      <c r="AQ203" s="102"/>
      <c r="AR203" s="102">
        <f t="shared" si="49"/>
        <v>113219.20999999999</v>
      </c>
      <c r="AS203" s="102">
        <f t="shared" si="49"/>
        <v>0</v>
      </c>
      <c r="AT203" s="102">
        <f t="shared" si="49"/>
        <v>153337.04</v>
      </c>
      <c r="AU203" s="102">
        <f t="shared" si="49"/>
        <v>0</v>
      </c>
      <c r="AV203" s="102">
        <f t="shared" si="49"/>
        <v>89747.48</v>
      </c>
      <c r="AW203" s="102">
        <f t="shared" si="49"/>
        <v>0</v>
      </c>
      <c r="AX203" s="102">
        <f t="shared" si="49"/>
        <v>29396.86</v>
      </c>
      <c r="AY203" s="102">
        <f t="shared" si="49"/>
        <v>0</v>
      </c>
      <c r="AZ203" s="102">
        <f t="shared" si="49"/>
        <v>44082.48</v>
      </c>
      <c r="BA203" s="102">
        <f t="shared" si="49"/>
        <v>0</v>
      </c>
      <c r="BB203" s="102">
        <f t="shared" si="49"/>
        <v>165167.82999999999</v>
      </c>
      <c r="BC203" s="102">
        <f t="shared" si="49"/>
        <v>0</v>
      </c>
      <c r="BD203" s="102">
        <f t="shared" si="49"/>
        <v>0</v>
      </c>
      <c r="BE203" s="102">
        <f t="shared" si="49"/>
        <v>0</v>
      </c>
      <c r="BF203" s="102">
        <f t="shared" si="49"/>
        <v>0</v>
      </c>
      <c r="BG203" s="102">
        <f t="shared" si="49"/>
        <v>0</v>
      </c>
      <c r="BH203" s="102">
        <f t="shared" si="49"/>
        <v>0</v>
      </c>
      <c r="BI203" s="102">
        <f t="shared" si="49"/>
        <v>0</v>
      </c>
      <c r="BJ203" s="102">
        <f t="shared" si="49"/>
        <v>0</v>
      </c>
      <c r="BK203" s="102">
        <f t="shared" si="49"/>
        <v>0</v>
      </c>
      <c r="BL203" s="102">
        <f t="shared" si="49"/>
        <v>0</v>
      </c>
      <c r="BM203" s="102">
        <f t="shared" si="49"/>
        <v>0</v>
      </c>
      <c r="BN203" s="102">
        <f t="shared" si="49"/>
        <v>753997.76</v>
      </c>
      <c r="BO203" s="102">
        <f t="shared" si="49"/>
        <v>0</v>
      </c>
      <c r="BP203" s="102">
        <f t="shared" si="49"/>
        <v>0</v>
      </c>
      <c r="BQ203" s="102">
        <f t="shared" si="49"/>
        <v>0</v>
      </c>
      <c r="BR203" s="102">
        <f t="shared" si="49"/>
        <v>143107.12000000002</v>
      </c>
      <c r="BS203" s="102">
        <f t="shared" si="49"/>
        <v>0</v>
      </c>
      <c r="BT203" s="102">
        <f t="shared" si="49"/>
        <v>897104.88</v>
      </c>
      <c r="BU203" s="102">
        <f t="shared" si="49"/>
        <v>0</v>
      </c>
      <c r="BV203" s="102">
        <f t="shared" si="49"/>
        <v>-497104.88</v>
      </c>
      <c r="BW203" s="102">
        <f t="shared" si="49"/>
        <v>0</v>
      </c>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row>
    <row r="204" spans="1:124" s="21" customFormat="1">
      <c r="A204" s="56"/>
      <c r="B204" s="31"/>
      <c r="J204" s="8"/>
      <c r="L204" s="143"/>
      <c r="M204" s="9"/>
      <c r="N204" s="10"/>
      <c r="O204" s="9"/>
      <c r="P204" s="10"/>
      <c r="Q204" s="9"/>
      <c r="R204" s="10"/>
      <c r="S204" s="9"/>
      <c r="T204" s="10"/>
      <c r="U204" s="9"/>
      <c r="V204" s="10"/>
      <c r="W204" s="9"/>
      <c r="X204" s="10"/>
      <c r="Y204" s="9"/>
      <c r="Z204" s="10"/>
      <c r="AA204" s="9"/>
      <c r="AB204" s="10"/>
      <c r="AC204" s="9"/>
      <c r="AD204" s="10"/>
      <c r="AE204" s="9"/>
      <c r="AF204" s="10"/>
      <c r="AG204" s="9"/>
      <c r="AH204" s="10"/>
      <c r="AI204" s="9"/>
      <c r="AJ204" s="10"/>
      <c r="AK204" s="9"/>
      <c r="AL204" s="10"/>
      <c r="AM204" s="9"/>
      <c r="AN204" s="10"/>
      <c r="AO204" s="9"/>
      <c r="AP204" s="10"/>
      <c r="AQ204" s="9"/>
      <c r="AR204" s="10"/>
      <c r="AS204" s="9"/>
      <c r="AT204" s="10"/>
      <c r="AU204" s="9"/>
      <c r="AV204" s="10"/>
      <c r="AW204" s="10"/>
      <c r="AX204" s="10"/>
      <c r="AY204" s="10"/>
      <c r="AZ204" s="10"/>
      <c r="BA204" s="10"/>
      <c r="BB204" s="10"/>
      <c r="BC204" s="10"/>
      <c r="BD204" s="10"/>
      <c r="BE204" s="10"/>
      <c r="BF204" s="10"/>
      <c r="BG204" s="10"/>
      <c r="BH204" s="10"/>
      <c r="BI204" s="10"/>
      <c r="BJ204" s="10"/>
      <c r="BK204" s="10"/>
      <c r="BL204" s="10"/>
      <c r="BM204" s="9"/>
      <c r="BN204" s="10"/>
      <c r="BO204" s="9"/>
      <c r="BP204" s="10"/>
      <c r="BQ204" s="9"/>
      <c r="BR204" s="10"/>
      <c r="BS204" s="9"/>
      <c r="BT204" s="10"/>
      <c r="BU204" s="9"/>
      <c r="BV204" s="10"/>
      <c r="BW204" s="9"/>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row>
    <row r="205" spans="1:124">
      <c r="A205" s="56" t="s">
        <v>35</v>
      </c>
      <c r="B205" s="11"/>
      <c r="C205"/>
      <c r="D205"/>
      <c r="E205"/>
      <c r="F205"/>
      <c r="G205"/>
      <c r="H205"/>
      <c r="I205"/>
      <c r="J205" s="49"/>
      <c r="K205"/>
      <c r="L205" s="134"/>
      <c r="M205" s="6"/>
      <c r="O205" s="6"/>
      <c r="Q205" s="6"/>
      <c r="S205" s="6"/>
      <c r="T205" s="6"/>
      <c r="U205" s="12"/>
      <c r="V205" s="6"/>
      <c r="W205" s="12"/>
      <c r="X205" s="6"/>
      <c r="Y205" s="12"/>
      <c r="Z205" s="6"/>
      <c r="AA205" s="12"/>
      <c r="AB205" s="6"/>
      <c r="AC205" s="12"/>
      <c r="AD205" s="6"/>
      <c r="AE205" s="12"/>
      <c r="AG205" s="12"/>
      <c r="AI205" s="12"/>
      <c r="AK205" s="12"/>
      <c r="AM205" s="12"/>
      <c r="AO205" s="12"/>
      <c r="AQ205" s="12"/>
      <c r="AS205" s="12"/>
      <c r="AU205" s="12"/>
      <c r="BL205" s="6"/>
      <c r="BM205" s="6"/>
      <c r="BO205" s="6"/>
      <c r="BP205" s="6"/>
      <c r="BQ205" s="6"/>
      <c r="BW205" s="12"/>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row>
    <row r="206" spans="1:124" s="11" customFormat="1">
      <c r="A206" s="17"/>
      <c r="B206" s="11" t="s">
        <v>295</v>
      </c>
      <c r="J206" s="160"/>
      <c r="L206" s="146" t="s">
        <v>203</v>
      </c>
      <c r="M206" s="12"/>
      <c r="N206" s="12">
        <v>0</v>
      </c>
      <c r="O206" s="12"/>
      <c r="P206" s="12">
        <f>300000-5511</f>
        <v>294489</v>
      </c>
      <c r="Q206" s="12"/>
      <c r="R206" s="6">
        <v>500000</v>
      </c>
      <c r="S206" s="12"/>
      <c r="T206" s="12">
        <v>0</v>
      </c>
      <c r="U206" s="12"/>
      <c r="V206" s="12">
        <v>0</v>
      </c>
      <c r="W206" s="12"/>
      <c r="X206" s="12"/>
      <c r="Y206" s="12"/>
      <c r="Z206" s="12"/>
      <c r="AA206" s="12"/>
      <c r="AB206" s="12"/>
      <c r="AC206" s="12"/>
      <c r="AD206" s="12"/>
      <c r="AE206" s="12"/>
      <c r="AF206" s="12"/>
      <c r="AG206" s="12"/>
      <c r="AH206" s="12"/>
      <c r="AI206" s="12"/>
      <c r="AJ206" s="12">
        <v>3543</v>
      </c>
      <c r="AK206" s="12"/>
      <c r="AL206" s="12">
        <v>14302.18</v>
      </c>
      <c r="AM206" s="12"/>
      <c r="AN206" s="12">
        <v>13885.7</v>
      </c>
      <c r="AO206" s="12"/>
      <c r="AP206" s="12">
        <v>27414.720000000001</v>
      </c>
      <c r="AQ206" s="12"/>
      <c r="AR206" s="12">
        <v>13907.58</v>
      </c>
      <c r="AS206" s="12"/>
      <c r="AT206" s="12">
        <f>1560.56+225.31+5848.5</f>
        <v>7634.37</v>
      </c>
      <c r="AU206" s="12"/>
      <c r="AV206" s="12">
        <v>0</v>
      </c>
      <c r="AW206" s="12"/>
      <c r="AX206" s="12">
        <v>0</v>
      </c>
      <c r="AY206" s="12"/>
      <c r="AZ206" s="12">
        <v>0</v>
      </c>
      <c r="BA206" s="12"/>
      <c r="BB206" s="12">
        <v>0</v>
      </c>
      <c r="BC206" s="12"/>
      <c r="BD206" s="12">
        <v>0</v>
      </c>
      <c r="BE206" s="12"/>
      <c r="BF206" s="12">
        <v>0</v>
      </c>
      <c r="BG206" s="12"/>
      <c r="BH206" s="12">
        <v>0</v>
      </c>
      <c r="BI206" s="12"/>
      <c r="BJ206" s="12">
        <v>0</v>
      </c>
      <c r="BK206" s="12"/>
      <c r="BL206" s="12">
        <v>0</v>
      </c>
      <c r="BM206" s="12"/>
      <c r="BN206" s="12">
        <f>SUM(T206:BM206)</f>
        <v>80687.55</v>
      </c>
      <c r="BO206" s="12"/>
      <c r="BP206" s="12">
        <v>0</v>
      </c>
      <c r="BQ206" s="12"/>
      <c r="BR206" s="6">
        <f>IF(+R206-BN206+BP206&gt;0,R206-BN206+BP206,0)</f>
        <v>419312.45</v>
      </c>
      <c r="BS206" s="12"/>
      <c r="BT206" s="6">
        <f>+BN206+BR206</f>
        <v>500000</v>
      </c>
      <c r="BU206" s="12"/>
      <c r="BV206" s="6">
        <f>+R206-BT206</f>
        <v>0</v>
      </c>
      <c r="BW206" s="12"/>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row>
    <row r="207" spans="1:124" s="11" customFormat="1">
      <c r="A207" s="17"/>
      <c r="B207" s="11" t="s">
        <v>450</v>
      </c>
      <c r="J207" s="160"/>
      <c r="L207" s="146" t="s">
        <v>203</v>
      </c>
      <c r="M207" s="12"/>
      <c r="N207" s="12">
        <v>500000</v>
      </c>
      <c r="O207" s="12"/>
      <c r="P207" s="12">
        <f>-300000-10271.2</f>
        <v>-310271.2</v>
      </c>
      <c r="Q207" s="12"/>
      <c r="R207" s="6">
        <v>0</v>
      </c>
      <c r="S207" s="12"/>
      <c r="T207" s="12">
        <v>0</v>
      </c>
      <c r="U207" s="12"/>
      <c r="V207" s="12">
        <v>0</v>
      </c>
      <c r="W207" s="12"/>
      <c r="X207" s="12"/>
      <c r="Y207" s="12"/>
      <c r="Z207" s="12"/>
      <c r="AA207" s="12"/>
      <c r="AB207" s="12"/>
      <c r="AC207" s="12"/>
      <c r="AD207" s="12"/>
      <c r="AE207" s="12"/>
      <c r="AF207" s="12"/>
      <c r="AG207" s="12"/>
      <c r="AH207" s="12"/>
      <c r="AI207" s="12"/>
      <c r="AJ207" s="12"/>
      <c r="AK207" s="12"/>
      <c r="AL207" s="12"/>
      <c r="AM207" s="12"/>
      <c r="AN207" s="12">
        <v>0</v>
      </c>
      <c r="AO207" s="12"/>
      <c r="AP207" s="12">
        <v>0</v>
      </c>
      <c r="AQ207" s="12"/>
      <c r="AR207" s="12">
        <v>0</v>
      </c>
      <c r="AS207" s="12"/>
      <c r="AT207" s="12">
        <f>165893.1+86315.36</f>
        <v>252208.46000000002</v>
      </c>
      <c r="AU207" s="12"/>
      <c r="AV207" s="12">
        <v>0</v>
      </c>
      <c r="AW207" s="12"/>
      <c r="AX207" s="12">
        <v>0</v>
      </c>
      <c r="AY207" s="12"/>
      <c r="AZ207" s="12">
        <v>0</v>
      </c>
      <c r="BA207" s="12"/>
      <c r="BB207" s="12">
        <v>0</v>
      </c>
      <c r="BC207" s="12"/>
      <c r="BD207" s="12">
        <v>0</v>
      </c>
      <c r="BE207" s="12"/>
      <c r="BF207" s="12">
        <v>0</v>
      </c>
      <c r="BG207" s="12"/>
      <c r="BH207" s="12">
        <v>0</v>
      </c>
      <c r="BI207" s="12"/>
      <c r="BJ207" s="12">
        <v>0</v>
      </c>
      <c r="BK207" s="12"/>
      <c r="BL207" s="12">
        <v>0</v>
      </c>
      <c r="BM207" s="12"/>
      <c r="BN207" s="12">
        <f>SUM(T207:BM207)</f>
        <v>252208.46000000002</v>
      </c>
      <c r="BO207" s="12"/>
      <c r="BP207" s="12">
        <v>0</v>
      </c>
      <c r="BQ207" s="12"/>
      <c r="BR207" s="6">
        <f>IF(+R207-BN207+BP207&gt;0,R207-BN207+BP207,0)</f>
        <v>0</v>
      </c>
      <c r="BS207" s="12"/>
      <c r="BT207" s="6">
        <f>+BN207+BR207</f>
        <v>252208.46000000002</v>
      </c>
      <c r="BU207" s="12"/>
      <c r="BV207" s="6">
        <f>+R207-BT207</f>
        <v>-252208.46000000002</v>
      </c>
      <c r="BW207" s="12"/>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row>
    <row r="208" spans="1:124" s="11" customFormat="1">
      <c r="A208" s="17"/>
      <c r="J208" s="160"/>
      <c r="L208" s="146"/>
      <c r="M208" s="12"/>
      <c r="N208" s="12"/>
      <c r="O208" s="12"/>
      <c r="P208" s="12">
        <v>5511</v>
      </c>
      <c r="Q208" s="12"/>
      <c r="R208" s="6">
        <v>0</v>
      </c>
      <c r="S208" s="12"/>
      <c r="T208" s="12"/>
      <c r="U208" s="12"/>
      <c r="V208" s="12"/>
      <c r="W208" s="12"/>
      <c r="X208" s="12"/>
      <c r="Y208" s="12"/>
      <c r="Z208" s="12"/>
      <c r="AA208" s="12"/>
      <c r="AB208" s="12"/>
      <c r="AC208" s="12"/>
      <c r="AD208" s="12"/>
      <c r="AE208" s="12"/>
      <c r="AF208" s="12"/>
      <c r="AG208" s="12"/>
      <c r="AH208" s="12"/>
      <c r="AI208" s="12"/>
      <c r="AJ208" s="12"/>
      <c r="AK208" s="12"/>
      <c r="AL208" s="12"/>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f>SUM(T208:BM208)</f>
        <v>0</v>
      </c>
      <c r="BO208" s="12"/>
      <c r="BP208" s="12">
        <v>0</v>
      </c>
      <c r="BQ208" s="12"/>
      <c r="BR208" s="6">
        <f>IF(+R208-BN208+BP208&gt;0,R208-BN208+BP208,0)</f>
        <v>0</v>
      </c>
      <c r="BS208" s="12"/>
      <c r="BT208" s="6">
        <f>+BN208+BR208</f>
        <v>0</v>
      </c>
      <c r="BU208" s="12"/>
      <c r="BV208" s="6">
        <f>+R208-BT208</f>
        <v>0</v>
      </c>
      <c r="BW208" s="12"/>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row>
    <row r="209" spans="1:124" s="21" customFormat="1">
      <c r="A209" s="56"/>
      <c r="B209" s="31" t="s">
        <v>41</v>
      </c>
      <c r="J209" s="8"/>
      <c r="L209" s="143"/>
      <c r="M209" s="9"/>
      <c r="N209" s="102">
        <f>SUM(N206:N208)</f>
        <v>500000</v>
      </c>
      <c r="O209" s="102">
        <f>SUM(O206:O208)</f>
        <v>0</v>
      </c>
      <c r="P209" s="102">
        <f>SUM(P206:P208)</f>
        <v>-10271.200000000012</v>
      </c>
      <c r="Q209" s="102">
        <f>SUM(Q206:Q208)</f>
        <v>0</v>
      </c>
      <c r="R209" s="102">
        <f>SUM(R206:R208)</f>
        <v>500000</v>
      </c>
      <c r="S209" s="9"/>
      <c r="T209" s="102">
        <f>SUM(T206:T208)</f>
        <v>0</v>
      </c>
      <c r="U209" s="9"/>
      <c r="V209" s="102">
        <f>SUM(V206:V208)</f>
        <v>0</v>
      </c>
      <c r="W209" s="9"/>
      <c r="X209" s="102">
        <f>SUM(X206:X208)</f>
        <v>0</v>
      </c>
      <c r="Y209" s="9"/>
      <c r="Z209" s="102">
        <f>SUM(Z206:Z208)</f>
        <v>0</v>
      </c>
      <c r="AA209" s="9"/>
      <c r="AB209" s="102">
        <f>SUM(AB206:AB208)</f>
        <v>0</v>
      </c>
      <c r="AC209" s="9"/>
      <c r="AD209" s="102">
        <f>SUM(AD206:AD208)</f>
        <v>0</v>
      </c>
      <c r="AE209" s="9"/>
      <c r="AF209" s="102">
        <f>SUM(AF206:AF208)</f>
        <v>0</v>
      </c>
      <c r="AG209" s="9"/>
      <c r="AH209" s="102">
        <f>SUM(AH206:AH208)</f>
        <v>0</v>
      </c>
      <c r="AI209" s="9"/>
      <c r="AJ209" s="102">
        <f>SUM(AJ206:AJ208)</f>
        <v>3543</v>
      </c>
      <c r="AK209" s="9"/>
      <c r="AL209" s="102">
        <f>SUM(AL206:AL208)</f>
        <v>14302.18</v>
      </c>
      <c r="AM209" s="102"/>
      <c r="AN209" s="102">
        <f>SUM(AN206:AN208)</f>
        <v>13885.7</v>
      </c>
      <c r="AO209" s="9"/>
      <c r="AP209" s="102">
        <f>SUM(AP206:AP208)</f>
        <v>27414.720000000001</v>
      </c>
      <c r="AQ209" s="9"/>
      <c r="AR209" s="102">
        <f>SUM(AR206:AR208)</f>
        <v>13907.58</v>
      </c>
      <c r="AS209" s="9"/>
      <c r="AT209" s="102">
        <f>SUM(AT206:AT208)</f>
        <v>259842.83000000002</v>
      </c>
      <c r="AU209" s="9"/>
      <c r="AV209" s="102">
        <f>SUM(AV206:AV208)</f>
        <v>0</v>
      </c>
      <c r="AW209" s="10"/>
      <c r="AX209" s="102">
        <f>SUM(AX206:AX208)</f>
        <v>0</v>
      </c>
      <c r="AY209" s="10"/>
      <c r="AZ209" s="102">
        <f>SUM(AZ206:AZ208)</f>
        <v>0</v>
      </c>
      <c r="BA209" s="10"/>
      <c r="BB209" s="102">
        <f>SUM(BB206:BB208)</f>
        <v>0</v>
      </c>
      <c r="BC209" s="10"/>
      <c r="BD209" s="102">
        <f>SUM(BD206:BD208)</f>
        <v>0</v>
      </c>
      <c r="BE209" s="10"/>
      <c r="BF209" s="102">
        <f>SUM(BF206:BF208)</f>
        <v>0</v>
      </c>
      <c r="BG209" s="10"/>
      <c r="BH209" s="102">
        <f>SUM(BH206:BH208)</f>
        <v>0</v>
      </c>
      <c r="BI209" s="10"/>
      <c r="BJ209" s="102">
        <f>SUM(BJ206:BJ208)</f>
        <v>0</v>
      </c>
      <c r="BK209" s="10"/>
      <c r="BL209" s="102">
        <f>SUM(BL206:BL208)</f>
        <v>0</v>
      </c>
      <c r="BM209" s="9"/>
      <c r="BN209" s="102">
        <f>SUM(BN206:BN208)</f>
        <v>332896.01</v>
      </c>
      <c r="BO209" s="9"/>
      <c r="BP209" s="102">
        <f>SUM(BP206:BP208)</f>
        <v>0</v>
      </c>
      <c r="BQ209" s="9"/>
      <c r="BR209" s="102">
        <f>SUM(BR206:BR208)</f>
        <v>419312.45</v>
      </c>
      <c r="BS209" s="9"/>
      <c r="BT209" s="102">
        <f>SUM(BT206:BT208)</f>
        <v>752208.46</v>
      </c>
      <c r="BU209" s="9"/>
      <c r="BV209" s="102">
        <f>SUM(BV206:BV208)</f>
        <v>-252208.46000000002</v>
      </c>
      <c r="BW209" s="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row>
    <row r="210" spans="1:124" s="21" customFormat="1">
      <c r="A210" s="58"/>
      <c r="B210" s="31"/>
      <c r="J210" s="8"/>
      <c r="L210" s="143"/>
      <c r="M210" s="9"/>
      <c r="N210" s="10"/>
      <c r="O210" s="10"/>
      <c r="P210" s="10"/>
      <c r="Q210" s="10"/>
      <c r="R210" s="10"/>
      <c r="S210" s="9"/>
      <c r="T210" s="10"/>
      <c r="U210" s="9"/>
      <c r="V210" s="10"/>
      <c r="W210" s="9"/>
      <c r="X210" s="10"/>
      <c r="Y210" s="9"/>
      <c r="Z210" s="10"/>
      <c r="AA210" s="9"/>
      <c r="AB210" s="10"/>
      <c r="AC210" s="9"/>
      <c r="AD210" s="10"/>
      <c r="AE210" s="9"/>
      <c r="AF210" s="10"/>
      <c r="AG210" s="9"/>
      <c r="AH210" s="10"/>
      <c r="AI210" s="9"/>
      <c r="AJ210" s="10"/>
      <c r="AK210" s="9"/>
      <c r="AL210" s="10"/>
      <c r="AM210" s="9"/>
      <c r="AN210" s="10"/>
      <c r="AO210" s="9"/>
      <c r="AP210" s="10"/>
      <c r="AQ210" s="9"/>
      <c r="AR210" s="10"/>
      <c r="AS210" s="9"/>
      <c r="AT210" s="10"/>
      <c r="AU210" s="9"/>
      <c r="AV210" s="10"/>
      <c r="AW210" s="10"/>
      <c r="AX210" s="10"/>
      <c r="AY210" s="10"/>
      <c r="AZ210" s="10"/>
      <c r="BA210" s="10"/>
      <c r="BB210" s="10"/>
      <c r="BC210" s="10"/>
      <c r="BD210" s="10"/>
      <c r="BE210" s="10"/>
      <c r="BF210" s="10"/>
      <c r="BG210" s="10"/>
      <c r="BH210" s="10"/>
      <c r="BI210" s="10"/>
      <c r="BJ210" s="10"/>
      <c r="BK210" s="10"/>
      <c r="BL210" s="10"/>
      <c r="BM210" s="9"/>
      <c r="BN210" s="10"/>
      <c r="BO210" s="9"/>
      <c r="BP210" s="10"/>
      <c r="BQ210" s="9"/>
      <c r="BR210" s="10"/>
      <c r="BS210" s="9"/>
      <c r="BT210" s="10"/>
      <c r="BU210" s="9"/>
      <c r="BV210" s="10"/>
      <c r="BW210" s="9"/>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row>
    <row r="211" spans="1:124" s="31" customFormat="1">
      <c r="A211" s="58" t="s">
        <v>249</v>
      </c>
      <c r="J211" s="159"/>
      <c r="L211" s="145" t="s">
        <v>202</v>
      </c>
      <c r="M211" s="10"/>
      <c r="N211" s="10">
        <v>10922239</v>
      </c>
      <c r="O211" s="10"/>
      <c r="P211" s="10">
        <f>10969926-N211</f>
        <v>47687</v>
      </c>
      <c r="Q211" s="10"/>
      <c r="R211" s="9">
        <v>11340044</v>
      </c>
      <c r="S211" s="10"/>
      <c r="T211" s="10"/>
      <c r="U211" s="10"/>
      <c r="V211" s="10"/>
      <c r="W211" s="10"/>
      <c r="X211" s="10"/>
      <c r="Y211" s="10"/>
      <c r="Z211" s="10"/>
      <c r="AA211" s="10"/>
      <c r="AB211" s="10"/>
      <c r="AC211" s="10"/>
      <c r="AD211" s="10"/>
      <c r="AE211" s="10"/>
      <c r="AF211" s="10"/>
      <c r="AG211" s="10"/>
      <c r="AH211" s="10"/>
      <c r="AI211" s="10"/>
      <c r="AJ211" s="10"/>
      <c r="AK211" s="10"/>
      <c r="AL211" s="10">
        <v>4332940</v>
      </c>
      <c r="AM211" s="10"/>
      <c r="AN211" s="10">
        <f ca="1">[2]Gleason!$M$40</f>
        <v>505668.93</v>
      </c>
      <c r="AO211" s="10"/>
      <c r="AP211" s="10">
        <f ca="1">[2]Gleason!$N$40</f>
        <v>517447.92267638887</v>
      </c>
      <c r="AQ211" s="10"/>
      <c r="AR211" s="10">
        <f ca="1">[2]Gleason!$O$40</f>
        <v>557933.42322977481</v>
      </c>
      <c r="AS211" s="10"/>
      <c r="AT211" s="10">
        <f ca="1">[2]Gleason!$P$40</f>
        <v>574337.94527365838</v>
      </c>
      <c r="AU211" s="10"/>
      <c r="AV211" s="10">
        <f ca="1">[2]Gleason!$Q$40</f>
        <v>616751.79694111284</v>
      </c>
      <c r="AW211" s="10"/>
      <c r="AX211" s="10">
        <f ca="1">[2]Gleason!$R$40</f>
        <v>657673.00806343276</v>
      </c>
      <c r="AY211" s="10"/>
      <c r="AZ211" s="10">
        <f ca="1">[2]Gleason!$S$40</f>
        <v>719263.90865433181</v>
      </c>
      <c r="BA211" s="10"/>
      <c r="BB211" s="10">
        <v>0</v>
      </c>
      <c r="BC211" s="10"/>
      <c r="BD211" s="10">
        <v>0</v>
      </c>
      <c r="BE211" s="10"/>
      <c r="BF211" s="10">
        <v>0</v>
      </c>
      <c r="BG211" s="10"/>
      <c r="BH211" s="10">
        <v>0</v>
      </c>
      <c r="BI211" s="10"/>
      <c r="BJ211" s="10">
        <v>0</v>
      </c>
      <c r="BK211" s="10"/>
      <c r="BL211" s="10">
        <v>0</v>
      </c>
      <c r="BM211" s="10"/>
      <c r="BN211" s="10">
        <f ca="1">SUM(T211:BM211)</f>
        <v>8482016.9348386992</v>
      </c>
      <c r="BO211" s="10"/>
      <c r="BP211" s="10">
        <v>0</v>
      </c>
      <c r="BQ211" s="10"/>
      <c r="BR211" s="6">
        <f ca="1">IF(+R211-BN211+BP211&gt;0,R211-BN211+BP211,0)-R211+[2]Gleason!$Z$40</f>
        <v>2579275.7879607845</v>
      </c>
      <c r="BS211" s="10"/>
      <c r="BT211" s="9">
        <f ca="1">+BN211+BR211</f>
        <v>11061292.722799484</v>
      </c>
      <c r="BU211" s="10"/>
      <c r="BV211" s="9">
        <f ca="1">+R211-BT211</f>
        <v>278751.27720051631</v>
      </c>
      <c r="BW211" s="10"/>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row>
    <row r="212" spans="1:124" s="21" customFormat="1">
      <c r="A212" s="56"/>
      <c r="B212" s="31"/>
      <c r="J212" s="8"/>
      <c r="L212" s="143"/>
      <c r="M212" s="9"/>
      <c r="N212" s="10"/>
      <c r="O212" s="9"/>
      <c r="P212" s="10"/>
      <c r="Q212" s="9"/>
      <c r="R212" s="10"/>
      <c r="S212" s="9"/>
      <c r="T212" s="10"/>
      <c r="U212" s="9"/>
      <c r="V212" s="10"/>
      <c r="W212" s="9"/>
      <c r="X212" s="10"/>
      <c r="Y212" s="9"/>
      <c r="Z212" s="10"/>
      <c r="AA212" s="9"/>
      <c r="AB212" s="10"/>
      <c r="AC212" s="9"/>
      <c r="AD212" s="10"/>
      <c r="AE212" s="9"/>
      <c r="AF212" s="10"/>
      <c r="AG212" s="9"/>
      <c r="AH212" s="10"/>
      <c r="AI212" s="9"/>
      <c r="AJ212" s="10"/>
      <c r="AK212" s="9"/>
      <c r="AL212" s="10"/>
      <c r="AM212" s="9"/>
      <c r="AN212" s="10"/>
      <c r="AO212" s="9"/>
      <c r="AP212" s="10"/>
      <c r="AQ212" s="9"/>
      <c r="AR212" s="10"/>
      <c r="AS212" s="9"/>
      <c r="AT212" s="10"/>
      <c r="AU212" s="9"/>
      <c r="AV212" s="10"/>
      <c r="AW212" s="10"/>
      <c r="AX212" s="10"/>
      <c r="AY212" s="10"/>
      <c r="AZ212" s="10"/>
      <c r="BA212" s="10"/>
      <c r="BB212" s="10"/>
      <c r="BC212" s="10"/>
      <c r="BD212" s="10"/>
      <c r="BE212" s="10"/>
      <c r="BF212" s="10"/>
      <c r="BG212" s="10"/>
      <c r="BH212" s="10"/>
      <c r="BI212" s="10"/>
      <c r="BJ212" s="10"/>
      <c r="BK212" s="10"/>
      <c r="BL212" s="10"/>
      <c r="BM212" s="9"/>
      <c r="BN212" s="10"/>
      <c r="BO212" s="9"/>
      <c r="BP212" s="10"/>
      <c r="BQ212" s="9"/>
      <c r="BR212" s="10"/>
      <c r="BS212" s="9"/>
      <c r="BT212" s="10"/>
      <c r="BU212" s="9"/>
      <c r="BV212" s="10"/>
      <c r="BW212" s="9"/>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row>
    <row r="213" spans="1:124" s="105" customFormat="1">
      <c r="A213" s="84" t="s">
        <v>248</v>
      </c>
      <c r="B213" s="54"/>
      <c r="J213" s="158"/>
      <c r="L213" s="144"/>
      <c r="M213" s="13"/>
      <c r="N213" s="120"/>
      <c r="O213" s="13"/>
      <c r="P213" s="120"/>
      <c r="Q213" s="13"/>
      <c r="R213" s="120">
        <f t="shared" ref="R213:AH213" si="50">R211+R203+R194+R192+R190+R184+R159+R149+R142+R140+R138+R136+R134+R209</f>
        <v>17979878</v>
      </c>
      <c r="S213" s="120">
        <f t="shared" si="50"/>
        <v>0</v>
      </c>
      <c r="T213" s="120">
        <f t="shared" si="50"/>
        <v>0</v>
      </c>
      <c r="U213" s="120">
        <f t="shared" si="50"/>
        <v>0</v>
      </c>
      <c r="V213" s="120">
        <f t="shared" si="50"/>
        <v>0</v>
      </c>
      <c r="W213" s="120">
        <f t="shared" si="50"/>
        <v>0</v>
      </c>
      <c r="X213" s="120">
        <f t="shared" si="50"/>
        <v>0</v>
      </c>
      <c r="Y213" s="120">
        <f t="shared" si="50"/>
        <v>0</v>
      </c>
      <c r="Z213" s="120">
        <f t="shared" si="50"/>
        <v>0</v>
      </c>
      <c r="AA213" s="120">
        <f t="shared" si="50"/>
        <v>0</v>
      </c>
      <c r="AB213" s="120">
        <f t="shared" si="50"/>
        <v>0</v>
      </c>
      <c r="AC213" s="120">
        <f t="shared" si="50"/>
        <v>0</v>
      </c>
      <c r="AD213" s="120">
        <f t="shared" si="50"/>
        <v>0</v>
      </c>
      <c r="AE213" s="120">
        <f t="shared" si="50"/>
        <v>0</v>
      </c>
      <c r="AF213" s="120">
        <f t="shared" si="50"/>
        <v>0</v>
      </c>
      <c r="AG213" s="120">
        <f t="shared" si="50"/>
        <v>0</v>
      </c>
      <c r="AH213" s="120">
        <f t="shared" si="50"/>
        <v>0</v>
      </c>
      <c r="AI213" s="120"/>
      <c r="AJ213" s="120">
        <f>AJ211+AJ203+AJ194+AJ192+AJ190+AJ184+AJ159+AJ149+AJ142+AJ140+AJ138+AJ136+AJ134+AJ209</f>
        <v>22626.809999999998</v>
      </c>
      <c r="AK213" s="120"/>
      <c r="AL213" s="120">
        <f>AL211+AL203+AL194+AL192+AL190+AL184+AL159+AL149+AL142+AL140+AL138+AL136+AL134+AL209</f>
        <v>4956551.49</v>
      </c>
      <c r="AM213" s="120"/>
      <c r="AN213" s="120">
        <f ca="1">AN211+AN203+AN194+AN192+AN190+AN184+AN159+AN149+AN142+AN140+AN138+AN136+AN134+AN209</f>
        <v>715387.53999999992</v>
      </c>
      <c r="AO213" s="120"/>
      <c r="AP213" s="120">
        <f ca="1">AP211+AP203+AP194+AP192+AP190+AP184+AP159+AP149+AP142+AP140+AP138+AP136+AP134+AP209</f>
        <v>563736.27267638885</v>
      </c>
      <c r="AQ213" s="120"/>
      <c r="AR213" s="120">
        <f t="shared" ref="AR213:BU213" ca="1" si="51">AR211+AR203+AR194+AR192+AR190+AR184+AR159+AR149+AR142+AR140+AR138+AR136+AR134+AR209</f>
        <v>949916.53322977468</v>
      </c>
      <c r="AS213" s="120">
        <f t="shared" si="51"/>
        <v>0</v>
      </c>
      <c r="AT213" s="120">
        <f t="shared" ca="1" si="51"/>
        <v>1188453.0652736584</v>
      </c>
      <c r="AU213" s="120">
        <f t="shared" si="51"/>
        <v>0</v>
      </c>
      <c r="AV213" s="120">
        <f t="shared" ca="1" si="51"/>
        <v>760946.3569411129</v>
      </c>
      <c r="AW213" s="120">
        <f t="shared" si="51"/>
        <v>0</v>
      </c>
      <c r="AX213" s="120">
        <f t="shared" ca="1" si="51"/>
        <v>797859.40806343278</v>
      </c>
      <c r="AY213" s="120">
        <f t="shared" si="51"/>
        <v>0</v>
      </c>
      <c r="AZ213" s="120">
        <f t="shared" ca="1" si="51"/>
        <v>1071160.4786543318</v>
      </c>
      <c r="BA213" s="120">
        <f t="shared" si="51"/>
        <v>0</v>
      </c>
      <c r="BB213" s="120">
        <f t="shared" si="51"/>
        <v>356242.11</v>
      </c>
      <c r="BC213" s="120">
        <f t="shared" si="51"/>
        <v>0</v>
      </c>
      <c r="BD213" s="120">
        <f t="shared" si="51"/>
        <v>0</v>
      </c>
      <c r="BE213" s="120">
        <f t="shared" si="51"/>
        <v>0</v>
      </c>
      <c r="BF213" s="120">
        <f t="shared" si="51"/>
        <v>0</v>
      </c>
      <c r="BG213" s="120">
        <f t="shared" si="51"/>
        <v>0</v>
      </c>
      <c r="BH213" s="120">
        <f t="shared" si="51"/>
        <v>0</v>
      </c>
      <c r="BI213" s="120">
        <f t="shared" si="51"/>
        <v>0</v>
      </c>
      <c r="BJ213" s="120">
        <f t="shared" si="51"/>
        <v>0</v>
      </c>
      <c r="BK213" s="120">
        <f t="shared" si="51"/>
        <v>0</v>
      </c>
      <c r="BL213" s="120">
        <f t="shared" si="51"/>
        <v>0</v>
      </c>
      <c r="BM213" s="120">
        <f t="shared" si="51"/>
        <v>0</v>
      </c>
      <c r="BN213" s="120">
        <f t="shared" ca="1" si="51"/>
        <v>11382880.064838698</v>
      </c>
      <c r="BO213" s="120">
        <f t="shared" si="51"/>
        <v>0</v>
      </c>
      <c r="BP213" s="120">
        <f t="shared" si="51"/>
        <v>0</v>
      </c>
      <c r="BQ213" s="120">
        <f t="shared" si="51"/>
        <v>0</v>
      </c>
      <c r="BR213" s="120">
        <f t="shared" ca="1" si="51"/>
        <v>7299834.5679607848</v>
      </c>
      <c r="BS213" s="120">
        <f t="shared" si="51"/>
        <v>0</v>
      </c>
      <c r="BT213" s="120">
        <f t="shared" ca="1" si="51"/>
        <v>18682714.632799484</v>
      </c>
      <c r="BU213" s="120">
        <f t="shared" si="51"/>
        <v>0</v>
      </c>
      <c r="BV213" s="120">
        <f ca="1">BV211+BV203+BV194+BV192+BV190+BV184+BV159+BV149+BV142+BV140+BV138+BV136+BV134+BV209+BV182</f>
        <v>-2416637.4727994837</v>
      </c>
      <c r="BW213" s="120">
        <f>BW211+BW203+BW194+BW192+BW190+BW184+BW159+BW149+BW142+BW140+BW138+BW136+BW134+BW209</f>
        <v>0</v>
      </c>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row>
    <row r="214" spans="1:124" s="21" customFormat="1">
      <c r="A214" s="56"/>
      <c r="B214" s="31"/>
      <c r="J214" s="8"/>
      <c r="L214" s="143"/>
      <c r="M214" s="9"/>
      <c r="N214" s="10"/>
      <c r="O214" s="9"/>
      <c r="P214" s="10"/>
      <c r="Q214" s="9"/>
      <c r="R214" s="10"/>
      <c r="S214" s="9"/>
      <c r="T214" s="10"/>
      <c r="U214" s="9"/>
      <c r="V214" s="10"/>
      <c r="W214" s="9"/>
      <c r="X214" s="10"/>
      <c r="Y214" s="9"/>
      <c r="Z214" s="10"/>
      <c r="AA214" s="9"/>
      <c r="AB214" s="10"/>
      <c r="AC214" s="9"/>
      <c r="AD214" s="10"/>
      <c r="AE214" s="9"/>
      <c r="AF214" s="10"/>
      <c r="AG214" s="9"/>
      <c r="AH214" s="10"/>
      <c r="AI214" s="9"/>
      <c r="AJ214" s="10"/>
      <c r="AK214" s="9"/>
      <c r="AL214" s="10"/>
      <c r="AM214" s="9"/>
      <c r="AN214" s="10"/>
      <c r="AO214" s="9"/>
      <c r="AP214" s="10"/>
      <c r="AQ214" s="9"/>
      <c r="AR214" s="10"/>
      <c r="AS214" s="9"/>
      <c r="AT214" s="10"/>
      <c r="AU214" s="9"/>
      <c r="AV214" s="10"/>
      <c r="AW214" s="10"/>
      <c r="AX214" s="10"/>
      <c r="AY214" s="10"/>
      <c r="AZ214" s="10"/>
      <c r="BA214" s="10"/>
      <c r="BB214" s="10"/>
      <c r="BC214" s="10"/>
      <c r="BD214" s="10"/>
      <c r="BE214" s="10"/>
      <c r="BF214" s="10"/>
      <c r="BG214" s="10"/>
      <c r="BH214" s="10"/>
      <c r="BI214" s="10"/>
      <c r="BJ214" s="10"/>
      <c r="BK214" s="10"/>
      <c r="BL214" s="10"/>
      <c r="BM214" s="9"/>
      <c r="BN214" s="10"/>
      <c r="BO214" s="9"/>
      <c r="BP214" s="10"/>
      <c r="BQ214" s="9"/>
      <c r="BR214" s="10"/>
      <c r="BS214" s="9"/>
      <c r="BT214" s="10"/>
      <c r="BU214" s="9"/>
      <c r="BV214" s="10"/>
      <c r="BW214" s="9"/>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row>
    <row r="215" spans="1:124" s="21" customFormat="1">
      <c r="A215" s="56" t="s">
        <v>190</v>
      </c>
      <c r="B215" s="31"/>
      <c r="J215" s="8"/>
      <c r="L215" s="143" t="s">
        <v>202</v>
      </c>
      <c r="M215" s="9"/>
      <c r="N215" s="9">
        <v>5395729</v>
      </c>
      <c r="O215" s="9"/>
      <c r="P215" s="9">
        <f>5463580+-N215</f>
        <v>67851</v>
      </c>
      <c r="Q215" s="9"/>
      <c r="R215" s="9">
        <f>173229453-167805955</f>
        <v>5423498</v>
      </c>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10">
        <f>SUM(T215:BM215)</f>
        <v>0</v>
      </c>
      <c r="BO215" s="9"/>
      <c r="BP215" s="9">
        <v>-5423498</v>
      </c>
      <c r="BQ215" s="9">
        <v>2030320</v>
      </c>
      <c r="BR215" s="6">
        <f>IF(+R215-BN215+BP215&gt;0,R215-BN215+BP215,0)</f>
        <v>0</v>
      </c>
      <c r="BS215" s="9">
        <v>2030320</v>
      </c>
      <c r="BT215" s="9">
        <f>+BN215+BR215</f>
        <v>0</v>
      </c>
      <c r="BU215" s="9">
        <v>2030320</v>
      </c>
      <c r="BV215" s="6">
        <f>+R215-BT215</f>
        <v>5423498</v>
      </c>
      <c r="BW215" s="9"/>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row>
    <row r="216" spans="1:124" s="21" customFormat="1">
      <c r="A216" s="58"/>
      <c r="B216" s="31"/>
      <c r="J216" s="8"/>
      <c r="L216" s="143"/>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10"/>
      <c r="BO216" s="9"/>
      <c r="BP216" s="9"/>
      <c r="BQ216" s="9"/>
      <c r="BR216" s="6"/>
      <c r="BS216" s="9"/>
      <c r="BT216" s="9"/>
      <c r="BU216" s="9"/>
      <c r="BV216" s="6"/>
      <c r="BW216" s="9"/>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row>
    <row r="217" spans="1:124" s="21" customFormat="1">
      <c r="A217" s="58" t="s">
        <v>291</v>
      </c>
      <c r="B217" s="31"/>
      <c r="J217" s="8"/>
      <c r="L217" s="143"/>
      <c r="M217" s="9"/>
      <c r="N217" s="10"/>
      <c r="O217" s="9"/>
      <c r="P217" s="10"/>
      <c r="Q217" s="9"/>
      <c r="R217" s="10">
        <v>-6077</v>
      </c>
      <c r="S217" s="9"/>
      <c r="T217" s="10"/>
      <c r="U217" s="9"/>
      <c r="V217" s="10"/>
      <c r="W217" s="9"/>
      <c r="X217" s="10"/>
      <c r="Y217" s="9"/>
      <c r="Z217" s="10"/>
      <c r="AA217" s="9"/>
      <c r="AB217" s="10"/>
      <c r="AC217" s="9"/>
      <c r="AD217" s="10"/>
      <c r="AE217" s="9"/>
      <c r="AF217" s="10"/>
      <c r="AG217" s="9"/>
      <c r="AH217" s="10"/>
      <c r="AI217" s="9"/>
      <c r="AJ217" s="10"/>
      <c r="AK217" s="9"/>
      <c r="AL217" s="10">
        <v>-6077</v>
      </c>
      <c r="AM217" s="9"/>
      <c r="AN217" s="10"/>
      <c r="AO217" s="9"/>
      <c r="AP217" s="10"/>
      <c r="AQ217" s="9"/>
      <c r="AR217" s="10"/>
      <c r="AS217" s="9"/>
      <c r="AT217" s="10"/>
      <c r="AU217" s="9"/>
      <c r="AV217" s="10"/>
      <c r="AW217" s="10"/>
      <c r="AX217" s="10"/>
      <c r="AY217" s="10"/>
      <c r="AZ217" s="10"/>
      <c r="BA217" s="10"/>
      <c r="BB217" s="10"/>
      <c r="BC217" s="10"/>
      <c r="BD217" s="10"/>
      <c r="BE217" s="10"/>
      <c r="BF217" s="10"/>
      <c r="BG217" s="10"/>
      <c r="BH217" s="10"/>
      <c r="BI217" s="10"/>
      <c r="BJ217" s="10"/>
      <c r="BK217" s="10"/>
      <c r="BL217" s="10"/>
      <c r="BM217" s="9"/>
      <c r="BN217" s="10">
        <f>SUM(T217:BM217)</f>
        <v>-6077</v>
      </c>
      <c r="BO217" s="9"/>
      <c r="BP217" s="10"/>
      <c r="BQ217" s="9"/>
      <c r="BR217" s="10"/>
      <c r="BS217" s="9"/>
      <c r="BT217" s="9">
        <f>+BN217+BR217</f>
        <v>-6077</v>
      </c>
      <c r="BU217" s="9"/>
      <c r="BV217" s="6">
        <f>+R217-BT217</f>
        <v>0</v>
      </c>
      <c r="BW217" s="9"/>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row>
    <row r="218" spans="1:124" s="21" customFormat="1">
      <c r="A218" s="56"/>
      <c r="B218" s="31"/>
      <c r="J218" s="8"/>
      <c r="L218" s="143"/>
      <c r="M218" s="9"/>
      <c r="N218" s="10"/>
      <c r="O218" s="9"/>
      <c r="P218" s="10"/>
      <c r="Q218" s="9"/>
      <c r="R218" s="10"/>
      <c r="S218" s="9"/>
      <c r="T218" s="10"/>
      <c r="U218" s="9"/>
      <c r="V218" s="10"/>
      <c r="W218" s="9"/>
      <c r="X218" s="10"/>
      <c r="Y218" s="9"/>
      <c r="Z218" s="10"/>
      <c r="AA218" s="9"/>
      <c r="AB218" s="10"/>
      <c r="AC218" s="9"/>
      <c r="AD218" s="10"/>
      <c r="AE218" s="9"/>
      <c r="AF218" s="10"/>
      <c r="AG218" s="9"/>
      <c r="AH218" s="10"/>
      <c r="AI218" s="9"/>
      <c r="AJ218" s="10"/>
      <c r="AK218" s="9"/>
      <c r="AL218" s="10"/>
      <c r="AM218" s="9"/>
      <c r="AN218" s="10"/>
      <c r="AO218" s="9"/>
      <c r="AP218" s="10"/>
      <c r="AQ218" s="9"/>
      <c r="AR218" s="10"/>
      <c r="AS218" s="9"/>
      <c r="AT218" s="10"/>
      <c r="AU218" s="9"/>
      <c r="AV218" s="10"/>
      <c r="AW218" s="10"/>
      <c r="AX218" s="10"/>
      <c r="AY218" s="10"/>
      <c r="AZ218" s="10"/>
      <c r="BA218" s="10"/>
      <c r="BB218" s="10"/>
      <c r="BC218" s="10"/>
      <c r="BD218" s="10"/>
      <c r="BE218" s="10"/>
      <c r="BF218" s="10"/>
      <c r="BG218" s="10"/>
      <c r="BH218" s="10"/>
      <c r="BI218" s="10"/>
      <c r="BJ218" s="10"/>
      <c r="BK218" s="10"/>
      <c r="BL218" s="10"/>
      <c r="BM218" s="9"/>
      <c r="BN218" s="10"/>
      <c r="BO218" s="9"/>
      <c r="BP218" s="10"/>
      <c r="BQ218" s="9"/>
      <c r="BR218" s="10"/>
      <c r="BS218" s="9"/>
      <c r="BT218" s="10"/>
      <c r="BU218" s="9"/>
      <c r="BV218" s="10"/>
      <c r="BW218" s="9"/>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row>
    <row r="219" spans="1:124" s="170" customFormat="1">
      <c r="A219" s="169" t="s">
        <v>253</v>
      </c>
      <c r="J219" s="171"/>
      <c r="L219" s="172"/>
      <c r="M219" s="173"/>
      <c r="N219" s="173"/>
      <c r="O219" s="173"/>
      <c r="P219" s="173"/>
      <c r="Q219" s="173"/>
      <c r="R219" s="168">
        <f t="shared" ref="R219:AH219" si="52">R37+R107+R97+R182+R112+R213+R215+R217</f>
        <v>170575010</v>
      </c>
      <c r="S219" s="168">
        <f t="shared" si="52"/>
        <v>0</v>
      </c>
      <c r="T219" s="168">
        <f t="shared" si="52"/>
        <v>0</v>
      </c>
      <c r="U219" s="168">
        <f t="shared" si="52"/>
        <v>0</v>
      </c>
      <c r="V219" s="168">
        <f t="shared" si="52"/>
        <v>0</v>
      </c>
      <c r="W219" s="168">
        <f t="shared" si="52"/>
        <v>0</v>
      </c>
      <c r="X219" s="168">
        <f t="shared" si="52"/>
        <v>0</v>
      </c>
      <c r="Y219" s="168">
        <f t="shared" si="52"/>
        <v>0</v>
      </c>
      <c r="Z219" s="168">
        <f t="shared" si="52"/>
        <v>0</v>
      </c>
      <c r="AA219" s="168">
        <f t="shared" si="52"/>
        <v>0</v>
      </c>
      <c r="AB219" s="168">
        <f t="shared" si="52"/>
        <v>0</v>
      </c>
      <c r="AC219" s="168">
        <f t="shared" si="52"/>
        <v>0</v>
      </c>
      <c r="AD219" s="168">
        <f t="shared" si="52"/>
        <v>0</v>
      </c>
      <c r="AE219" s="168">
        <f t="shared" si="52"/>
        <v>0</v>
      </c>
      <c r="AF219" s="168">
        <f t="shared" si="52"/>
        <v>0</v>
      </c>
      <c r="AG219" s="168">
        <f t="shared" si="52"/>
        <v>0</v>
      </c>
      <c r="AH219" s="168">
        <f t="shared" si="52"/>
        <v>0</v>
      </c>
      <c r="AI219" s="168"/>
      <c r="AJ219" s="168">
        <f>AJ37+AJ107+AJ97+AJ182+AJ112+AJ213+AJ215+AJ217</f>
        <v>22626.809999999998</v>
      </c>
      <c r="AK219" s="168"/>
      <c r="AL219" s="168">
        <f>AL37+AL107+AL97+AL182+AL112+AL213+AL215+AL217</f>
        <v>93152637.489999995</v>
      </c>
      <c r="AM219" s="168"/>
      <c r="AN219" s="168">
        <f ca="1">AN37+AN107+AN97+AN182+AN112+AN213+AN215+AN217</f>
        <v>715387.53999999992</v>
      </c>
      <c r="AO219" s="168"/>
      <c r="AP219" s="168">
        <f ca="1">AP37+AP107+AP97+AP182+AP112+AP213+AP215+AP217</f>
        <v>2178269.8126763888</v>
      </c>
      <c r="AQ219" s="168"/>
      <c r="AR219" s="168">
        <f t="shared" ref="AR219:BU219" ca="1" si="53">AR37+AR107+AR97+AR182+AR112+AR213+AR215+AR217</f>
        <v>7520808.7532297745</v>
      </c>
      <c r="AS219" s="168">
        <f t="shared" si="53"/>
        <v>0</v>
      </c>
      <c r="AT219" s="168">
        <f t="shared" ca="1" si="53"/>
        <v>3033901.6952736583</v>
      </c>
      <c r="AU219" s="168">
        <f t="shared" si="53"/>
        <v>0</v>
      </c>
      <c r="AV219" s="168">
        <f t="shared" ca="1" si="53"/>
        <v>8287387.2469411138</v>
      </c>
      <c r="AW219" s="168">
        <f t="shared" si="53"/>
        <v>0</v>
      </c>
      <c r="AX219" s="168">
        <f t="shared" ca="1" si="53"/>
        <v>7624290.748063433</v>
      </c>
      <c r="AY219" s="168">
        <f t="shared" si="53"/>
        <v>0</v>
      </c>
      <c r="AZ219" s="168">
        <f t="shared" ca="1" si="53"/>
        <v>11403531.258654332</v>
      </c>
      <c r="BA219" s="168">
        <f t="shared" si="53"/>
        <v>0</v>
      </c>
      <c r="BB219" s="168">
        <f t="shared" si="53"/>
        <v>11454458.629999999</v>
      </c>
      <c r="BC219" s="168">
        <f t="shared" si="53"/>
        <v>0</v>
      </c>
      <c r="BD219" s="168">
        <f t="shared" si="53"/>
        <v>0</v>
      </c>
      <c r="BE219" s="168">
        <f t="shared" si="53"/>
        <v>0</v>
      </c>
      <c r="BF219" s="168">
        <f t="shared" si="53"/>
        <v>0</v>
      </c>
      <c r="BG219" s="168">
        <f t="shared" si="53"/>
        <v>0</v>
      </c>
      <c r="BH219" s="168">
        <f t="shared" si="53"/>
        <v>0</v>
      </c>
      <c r="BI219" s="168">
        <f t="shared" si="53"/>
        <v>0</v>
      </c>
      <c r="BJ219" s="168">
        <f t="shared" si="53"/>
        <v>0</v>
      </c>
      <c r="BK219" s="168">
        <f t="shared" si="53"/>
        <v>0</v>
      </c>
      <c r="BL219" s="168">
        <f t="shared" si="53"/>
        <v>0</v>
      </c>
      <c r="BM219" s="168">
        <f t="shared" si="53"/>
        <v>0</v>
      </c>
      <c r="BN219" s="168">
        <f t="shared" ca="1" si="53"/>
        <v>145393299.98483869</v>
      </c>
      <c r="BO219" s="168">
        <f t="shared" si="53"/>
        <v>0</v>
      </c>
      <c r="BP219" s="168">
        <f t="shared" si="53"/>
        <v>5621125</v>
      </c>
      <c r="BQ219" s="168">
        <f t="shared" si="53"/>
        <v>2030320</v>
      </c>
      <c r="BR219" s="168">
        <f t="shared" ca="1" si="53"/>
        <v>33538341.047960784</v>
      </c>
      <c r="BS219" s="168">
        <f t="shared" si="53"/>
        <v>2030320</v>
      </c>
      <c r="BT219" s="168">
        <f t="shared" ca="1" si="53"/>
        <v>174787850.03279948</v>
      </c>
      <c r="BU219" s="168">
        <f t="shared" si="53"/>
        <v>2030320</v>
      </c>
      <c r="BV219" s="168">
        <f ca="1">R219-BT219</f>
        <v>-4212840.0327994823</v>
      </c>
      <c r="BW219" s="173"/>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row>
    <row r="220" spans="1:124" s="21" customFormat="1">
      <c r="A220" s="56" t="s">
        <v>251</v>
      </c>
      <c r="B220" s="31"/>
      <c r="J220" s="8"/>
      <c r="L220" s="143"/>
      <c r="M220" s="9"/>
      <c r="N220" s="10"/>
      <c r="O220" s="9"/>
      <c r="P220" s="10"/>
      <c r="Q220" s="9"/>
      <c r="R220" s="10"/>
      <c r="S220" s="9"/>
      <c r="T220" s="10"/>
      <c r="U220" s="9"/>
      <c r="V220" s="10"/>
      <c r="W220" s="9"/>
      <c r="X220" s="10"/>
      <c r="Y220" s="9"/>
      <c r="Z220" s="10"/>
      <c r="AA220" s="9"/>
      <c r="AB220" s="10"/>
      <c r="AC220" s="9"/>
      <c r="AD220" s="10"/>
      <c r="AE220" s="9"/>
      <c r="AF220" s="10"/>
      <c r="AG220" s="9"/>
      <c r="AH220" s="10"/>
      <c r="AI220" s="9"/>
      <c r="AJ220" s="10"/>
      <c r="AK220" s="9"/>
      <c r="AL220" s="10"/>
      <c r="AM220" s="9"/>
      <c r="AN220" s="10"/>
      <c r="AO220" s="9"/>
      <c r="AP220" s="10"/>
      <c r="AQ220" s="9"/>
      <c r="AR220" s="10"/>
      <c r="AS220" s="9"/>
      <c r="AT220" s="10"/>
      <c r="AU220" s="9"/>
      <c r="AV220" s="10"/>
      <c r="AW220" s="10"/>
      <c r="AX220" s="10"/>
      <c r="AY220" s="10"/>
      <c r="AZ220" s="10"/>
      <c r="BA220" s="10"/>
      <c r="BB220" s="10"/>
      <c r="BC220" s="10"/>
      <c r="BD220" s="10"/>
      <c r="BE220" s="10"/>
      <c r="BF220" s="10"/>
      <c r="BG220" s="10"/>
      <c r="BH220" s="10"/>
      <c r="BI220" s="10"/>
      <c r="BJ220" s="10"/>
      <c r="BK220" s="10"/>
      <c r="BL220" s="10"/>
      <c r="BM220" s="9"/>
      <c r="BN220" s="10"/>
      <c r="BO220" s="9"/>
      <c r="BP220" s="10"/>
      <c r="BQ220" s="9"/>
      <c r="BR220" s="10"/>
      <c r="BS220" s="9"/>
      <c r="BT220" s="10"/>
      <c r="BU220" s="9"/>
      <c r="BV220" s="10"/>
      <c r="BW220" s="9"/>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row>
    <row r="221" spans="1:124" s="21" customFormat="1">
      <c r="A221" s="56"/>
      <c r="B221" s="31"/>
      <c r="J221" s="8"/>
      <c r="L221" s="143"/>
      <c r="M221" s="9"/>
      <c r="N221" s="10"/>
      <c r="O221" s="9"/>
      <c r="P221" s="10"/>
      <c r="Q221" s="9"/>
      <c r="R221" s="10"/>
      <c r="S221" s="9"/>
      <c r="T221" s="10"/>
      <c r="U221" s="9"/>
      <c r="V221" s="10"/>
      <c r="W221" s="9"/>
      <c r="X221" s="10"/>
      <c r="Y221" s="9"/>
      <c r="Z221" s="10"/>
      <c r="AA221" s="9"/>
      <c r="AB221" s="10"/>
      <c r="AC221" s="9"/>
      <c r="AD221" s="10"/>
      <c r="AE221" s="9"/>
      <c r="AF221" s="10"/>
      <c r="AG221" s="9"/>
      <c r="AH221" s="10"/>
      <c r="AI221" s="9"/>
      <c r="AJ221" s="10"/>
      <c r="AK221" s="9"/>
      <c r="AL221" s="10"/>
      <c r="AM221" s="9"/>
      <c r="AN221" s="10"/>
      <c r="AO221" s="9"/>
      <c r="AP221" s="10"/>
      <c r="AQ221" s="9"/>
      <c r="AR221" s="10"/>
      <c r="AS221" s="9"/>
      <c r="AT221" s="10"/>
      <c r="AU221" s="9"/>
      <c r="AV221" s="10"/>
      <c r="AW221" s="10"/>
      <c r="AX221" s="10"/>
      <c r="AY221" s="10"/>
      <c r="AZ221" s="10"/>
      <c r="BA221" s="10"/>
      <c r="BB221" s="10"/>
      <c r="BC221" s="10"/>
      <c r="BD221" s="10"/>
      <c r="BE221" s="10"/>
      <c r="BF221" s="10"/>
      <c r="BG221" s="10"/>
      <c r="BH221" s="10"/>
      <c r="BI221" s="10"/>
      <c r="BJ221" s="10"/>
      <c r="BK221" s="10"/>
      <c r="BL221" s="10"/>
      <c r="BM221" s="9"/>
      <c r="BN221" s="10"/>
      <c r="BO221" s="9"/>
      <c r="BP221" s="10"/>
      <c r="BQ221" s="9"/>
      <c r="BR221" s="10"/>
      <c r="BS221" s="9"/>
      <c r="BT221" s="10"/>
      <c r="BU221" s="9"/>
      <c r="BV221" s="10"/>
      <c r="BW221" s="9"/>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row>
    <row r="222" spans="1:124" s="21" customFormat="1">
      <c r="A222" s="58" t="s">
        <v>269</v>
      </c>
      <c r="B222" s="31"/>
      <c r="J222" s="8"/>
      <c r="L222" s="143"/>
      <c r="M222" s="9"/>
      <c r="N222" s="10"/>
      <c r="O222" s="9"/>
      <c r="P222" s="10"/>
      <c r="Q222" s="9"/>
      <c r="R222" s="10">
        <v>0</v>
      </c>
      <c r="S222" s="9"/>
      <c r="T222" s="10">
        <v>0</v>
      </c>
      <c r="U222" s="9"/>
      <c r="V222" s="10">
        <v>0</v>
      </c>
      <c r="W222" s="9"/>
      <c r="X222" s="10">
        <v>0</v>
      </c>
      <c r="Y222" s="9"/>
      <c r="Z222" s="10">
        <v>0</v>
      </c>
      <c r="AA222" s="9"/>
      <c r="AB222" s="10">
        <v>0</v>
      </c>
      <c r="AC222" s="9"/>
      <c r="AD222" s="10">
        <v>0</v>
      </c>
      <c r="AE222" s="9"/>
      <c r="AF222" s="10">
        <v>0</v>
      </c>
      <c r="AG222" s="9"/>
      <c r="AH222" s="10">
        <v>0</v>
      </c>
      <c r="AI222" s="9"/>
      <c r="AJ222" s="10"/>
      <c r="AK222" s="9"/>
      <c r="AL222" s="10">
        <v>0</v>
      </c>
      <c r="AM222" s="9"/>
      <c r="AN222" s="10"/>
      <c r="AO222" s="9"/>
      <c r="AP222" s="10"/>
      <c r="AQ222" s="9"/>
      <c r="AR222" s="10">
        <f>-35</f>
        <v>-35</v>
      </c>
      <c r="AS222" s="9"/>
      <c r="AT222" s="10">
        <v>-2100</v>
      </c>
      <c r="AU222" s="9"/>
      <c r="AV222" s="10"/>
      <c r="AW222" s="10"/>
      <c r="AX222" s="10"/>
      <c r="AY222" s="10"/>
      <c r="AZ222" s="10"/>
      <c r="BA222" s="10"/>
      <c r="BB222" s="10"/>
      <c r="BC222" s="10"/>
      <c r="BD222" s="10"/>
      <c r="BE222" s="10"/>
      <c r="BF222" s="10"/>
      <c r="BG222" s="10"/>
      <c r="BH222" s="10"/>
      <c r="BI222" s="10"/>
      <c r="BJ222" s="10"/>
      <c r="BK222" s="10"/>
      <c r="BL222" s="10"/>
      <c r="BM222" s="9"/>
      <c r="BN222" s="10">
        <f>SUM(T222:BM222)</f>
        <v>-2135</v>
      </c>
      <c r="BO222" s="9"/>
      <c r="BP222" s="10"/>
      <c r="BQ222" s="9"/>
      <c r="BR222" s="10">
        <v>0</v>
      </c>
      <c r="BS222" s="9"/>
      <c r="BT222" s="9">
        <f>+BN222+BR222</f>
        <v>-2135</v>
      </c>
      <c r="BU222" s="9"/>
      <c r="BV222" s="6">
        <f>+R222-BT222</f>
        <v>2135</v>
      </c>
      <c r="BW222" s="9"/>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row>
    <row r="223" spans="1:124" s="21" customFormat="1">
      <c r="A223" s="58"/>
      <c r="B223" s="31"/>
      <c r="J223" s="8"/>
      <c r="L223" s="143"/>
      <c r="M223" s="9"/>
      <c r="N223" s="10"/>
      <c r="O223" s="9"/>
      <c r="P223" s="10"/>
      <c r="Q223" s="9"/>
      <c r="R223" s="10"/>
      <c r="S223" s="9"/>
      <c r="T223" s="10"/>
      <c r="U223" s="9"/>
      <c r="V223" s="10"/>
      <c r="W223" s="9"/>
      <c r="X223" s="10"/>
      <c r="Y223" s="9"/>
      <c r="Z223" s="10"/>
      <c r="AA223" s="9"/>
      <c r="AB223" s="10"/>
      <c r="AC223" s="9"/>
      <c r="AD223" s="10"/>
      <c r="AE223" s="9"/>
      <c r="AF223" s="10"/>
      <c r="AG223" s="9"/>
      <c r="AH223" s="10"/>
      <c r="AI223" s="9"/>
      <c r="AJ223" s="10"/>
      <c r="AK223" s="9"/>
      <c r="AL223" s="10"/>
      <c r="AM223" s="9"/>
      <c r="AN223" s="10"/>
      <c r="AO223" s="9"/>
      <c r="AP223" s="10"/>
      <c r="AQ223" s="9"/>
      <c r="AR223" s="10"/>
      <c r="AS223" s="9"/>
      <c r="AT223" s="10"/>
      <c r="AU223" s="9"/>
      <c r="AV223" s="10"/>
      <c r="AW223" s="10"/>
      <c r="AX223" s="10"/>
      <c r="AY223" s="10"/>
      <c r="AZ223" s="10"/>
      <c r="BA223" s="10"/>
      <c r="BB223" s="10"/>
      <c r="BC223" s="10"/>
      <c r="BD223" s="10"/>
      <c r="BE223" s="10"/>
      <c r="BF223" s="10"/>
      <c r="BG223" s="10"/>
      <c r="BH223" s="10"/>
      <c r="BI223" s="10"/>
      <c r="BJ223" s="10"/>
      <c r="BK223" s="10"/>
      <c r="BL223" s="10"/>
      <c r="BM223" s="9"/>
      <c r="BN223" s="10">
        <f>SUM(T223:BM223)</f>
        <v>0</v>
      </c>
      <c r="BO223" s="9"/>
      <c r="BP223" s="10"/>
      <c r="BQ223" s="9"/>
      <c r="BR223" s="10"/>
      <c r="BS223" s="9"/>
      <c r="BT223" s="9"/>
      <c r="BU223" s="9"/>
      <c r="BV223" s="10"/>
      <c r="BW223" s="9"/>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row>
    <row r="224" spans="1:124" s="21" customFormat="1">
      <c r="A224" s="58"/>
      <c r="B224" s="31"/>
      <c r="J224" s="8"/>
      <c r="L224" s="143"/>
      <c r="M224" s="9"/>
      <c r="N224" s="10"/>
      <c r="O224" s="9"/>
      <c r="P224" s="10"/>
      <c r="Q224" s="9"/>
      <c r="R224" s="10"/>
      <c r="S224" s="9"/>
      <c r="T224" s="10"/>
      <c r="U224" s="9"/>
      <c r="V224" s="10"/>
      <c r="W224" s="9"/>
      <c r="X224" s="10"/>
      <c r="Y224" s="9"/>
      <c r="Z224" s="10"/>
      <c r="AA224" s="9"/>
      <c r="AB224" s="10"/>
      <c r="AC224" s="9"/>
      <c r="AD224" s="10"/>
      <c r="AE224" s="9"/>
      <c r="AF224" s="10"/>
      <c r="AG224" s="9"/>
      <c r="AH224" s="10"/>
      <c r="AI224" s="9"/>
      <c r="AJ224" s="10"/>
      <c r="AK224" s="9"/>
      <c r="AL224" s="10"/>
      <c r="AM224" s="9"/>
      <c r="AN224" s="10"/>
      <c r="AO224" s="9"/>
      <c r="AP224" s="10"/>
      <c r="AQ224" s="9"/>
      <c r="AR224" s="10"/>
      <c r="AS224" s="9"/>
      <c r="AT224" s="10"/>
      <c r="AU224" s="9"/>
      <c r="AV224" s="10"/>
      <c r="AW224" s="10"/>
      <c r="AX224" s="10"/>
      <c r="AY224" s="10"/>
      <c r="AZ224" s="10"/>
      <c r="BA224" s="10"/>
      <c r="BB224" s="10"/>
      <c r="BC224" s="10"/>
      <c r="BD224" s="10"/>
      <c r="BE224" s="10"/>
      <c r="BF224" s="10"/>
      <c r="BG224" s="10"/>
      <c r="BH224" s="10"/>
      <c r="BI224" s="10"/>
      <c r="BJ224" s="10"/>
      <c r="BK224" s="10"/>
      <c r="BL224" s="10"/>
      <c r="BM224" s="9"/>
      <c r="BN224" s="10"/>
      <c r="BO224" s="9"/>
      <c r="BP224" s="10"/>
      <c r="BQ224" s="9"/>
      <c r="BR224" s="10"/>
      <c r="BS224" s="9"/>
      <c r="BT224" s="10"/>
      <c r="BU224" s="9"/>
      <c r="BV224" s="10"/>
      <c r="BW224" s="9"/>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row>
    <row r="225" spans="1:124" s="461" customFormat="1" ht="13.5" thickBot="1">
      <c r="A225" s="162" t="s">
        <v>557</v>
      </c>
      <c r="B225" s="460"/>
      <c r="L225" s="462"/>
      <c r="M225" s="463"/>
      <c r="N225" s="464"/>
      <c r="O225" s="463"/>
      <c r="P225" s="464"/>
      <c r="Q225" s="463"/>
      <c r="R225" s="465">
        <f t="shared" ref="R225:BW225" si="54">R219+R222</f>
        <v>170575010</v>
      </c>
      <c r="S225" s="465">
        <f t="shared" si="54"/>
        <v>0</v>
      </c>
      <c r="T225" s="465">
        <f t="shared" si="54"/>
        <v>0</v>
      </c>
      <c r="U225" s="465">
        <f t="shared" si="54"/>
        <v>0</v>
      </c>
      <c r="V225" s="465">
        <f t="shared" si="54"/>
        <v>0</v>
      </c>
      <c r="W225" s="465">
        <f t="shared" si="54"/>
        <v>0</v>
      </c>
      <c r="X225" s="465">
        <f t="shared" si="54"/>
        <v>0</v>
      </c>
      <c r="Y225" s="465">
        <f t="shared" si="54"/>
        <v>0</v>
      </c>
      <c r="Z225" s="465">
        <f t="shared" si="54"/>
        <v>0</v>
      </c>
      <c r="AA225" s="465">
        <f t="shared" si="54"/>
        <v>0</v>
      </c>
      <c r="AB225" s="465">
        <f t="shared" si="54"/>
        <v>0</v>
      </c>
      <c r="AC225" s="465">
        <f t="shared" si="54"/>
        <v>0</v>
      </c>
      <c r="AD225" s="465">
        <f t="shared" si="54"/>
        <v>0</v>
      </c>
      <c r="AE225" s="465">
        <f t="shared" si="54"/>
        <v>0</v>
      </c>
      <c r="AF225" s="465">
        <f t="shared" si="54"/>
        <v>0</v>
      </c>
      <c r="AG225" s="465">
        <f t="shared" si="54"/>
        <v>0</v>
      </c>
      <c r="AH225" s="465">
        <f t="shared" si="54"/>
        <v>0</v>
      </c>
      <c r="AI225" s="465"/>
      <c r="AJ225" s="465">
        <f t="shared" si="54"/>
        <v>22626.809999999998</v>
      </c>
      <c r="AK225" s="465"/>
      <c r="AL225" s="465">
        <f t="shared" si="54"/>
        <v>93152637.489999995</v>
      </c>
      <c r="AM225" s="465"/>
      <c r="AN225" s="465">
        <f t="shared" ca="1" si="54"/>
        <v>715387.53999999992</v>
      </c>
      <c r="AO225" s="465"/>
      <c r="AP225" s="465">
        <f t="shared" ca="1" si="54"/>
        <v>2178269.8126763888</v>
      </c>
      <c r="AQ225" s="465"/>
      <c r="AR225" s="465">
        <f t="shared" ca="1" si="54"/>
        <v>7520773.7532297745</v>
      </c>
      <c r="AS225" s="465">
        <f t="shared" si="54"/>
        <v>0</v>
      </c>
      <c r="AT225" s="465">
        <f t="shared" ca="1" si="54"/>
        <v>3031801.6952736583</v>
      </c>
      <c r="AU225" s="465">
        <f t="shared" si="54"/>
        <v>0</v>
      </c>
      <c r="AV225" s="465">
        <f t="shared" ca="1" si="54"/>
        <v>8287387.2469411138</v>
      </c>
      <c r="AW225" s="465">
        <f t="shared" si="54"/>
        <v>0</v>
      </c>
      <c r="AX225" s="465">
        <f t="shared" ca="1" si="54"/>
        <v>7624290.748063433</v>
      </c>
      <c r="AY225" s="465">
        <f t="shared" si="54"/>
        <v>0</v>
      </c>
      <c r="AZ225" s="465">
        <f t="shared" ca="1" si="54"/>
        <v>11403531.258654332</v>
      </c>
      <c r="BA225" s="465">
        <f t="shared" si="54"/>
        <v>0</v>
      </c>
      <c r="BB225" s="465">
        <f t="shared" si="54"/>
        <v>11454458.629999999</v>
      </c>
      <c r="BC225" s="465">
        <f t="shared" si="54"/>
        <v>0</v>
      </c>
      <c r="BD225" s="465">
        <f t="shared" si="54"/>
        <v>0</v>
      </c>
      <c r="BE225" s="465">
        <f t="shared" si="54"/>
        <v>0</v>
      </c>
      <c r="BF225" s="465">
        <f t="shared" si="54"/>
        <v>0</v>
      </c>
      <c r="BG225" s="465">
        <f t="shared" si="54"/>
        <v>0</v>
      </c>
      <c r="BH225" s="465">
        <f t="shared" si="54"/>
        <v>0</v>
      </c>
      <c r="BI225" s="465">
        <f t="shared" si="54"/>
        <v>0</v>
      </c>
      <c r="BJ225" s="465">
        <f t="shared" si="54"/>
        <v>0</v>
      </c>
      <c r="BK225" s="465">
        <f t="shared" si="54"/>
        <v>0</v>
      </c>
      <c r="BL225" s="465">
        <f t="shared" si="54"/>
        <v>0</v>
      </c>
      <c r="BM225" s="465">
        <f t="shared" si="54"/>
        <v>0</v>
      </c>
      <c r="BN225" s="465">
        <f t="shared" ca="1" si="54"/>
        <v>145391164.98483869</v>
      </c>
      <c r="BO225" s="465">
        <f t="shared" si="54"/>
        <v>0</v>
      </c>
      <c r="BP225" s="465">
        <f t="shared" si="54"/>
        <v>5621125</v>
      </c>
      <c r="BQ225" s="465">
        <f t="shared" si="54"/>
        <v>2030320</v>
      </c>
      <c r="BR225" s="465">
        <f t="shared" ca="1" si="54"/>
        <v>33538341.047960784</v>
      </c>
      <c r="BS225" s="465">
        <f t="shared" si="54"/>
        <v>2030320</v>
      </c>
      <c r="BT225" s="465">
        <f t="shared" ca="1" si="54"/>
        <v>174785715.03279948</v>
      </c>
      <c r="BU225" s="465">
        <f t="shared" si="54"/>
        <v>2030320</v>
      </c>
      <c r="BV225" s="465">
        <f ca="1">BV219+BV222</f>
        <v>-4210705.0327994823</v>
      </c>
      <c r="BW225" s="465">
        <f t="shared" si="54"/>
        <v>0</v>
      </c>
      <c r="BX225" s="466"/>
      <c r="BY225" s="466"/>
      <c r="BZ225" s="466"/>
      <c r="CA225" s="466"/>
      <c r="CB225" s="466"/>
      <c r="CC225" s="466"/>
      <c r="CD225" s="466"/>
      <c r="CE225" s="466"/>
      <c r="CF225" s="466"/>
      <c r="CG225" s="466"/>
      <c r="CH225" s="466"/>
      <c r="CI225" s="466"/>
      <c r="CJ225" s="466"/>
      <c r="CK225" s="466"/>
      <c r="CL225" s="466"/>
      <c r="CM225" s="466"/>
      <c r="CN225" s="466"/>
      <c r="CO225" s="466"/>
      <c r="CP225" s="466"/>
      <c r="CQ225" s="466"/>
      <c r="CR225" s="466"/>
      <c r="CS225" s="466"/>
      <c r="CT225" s="466"/>
      <c r="CU225" s="466"/>
      <c r="CV225" s="466"/>
      <c r="CW225" s="466"/>
      <c r="CX225" s="466"/>
      <c r="CY225" s="466"/>
      <c r="CZ225" s="466"/>
      <c r="DA225" s="466"/>
      <c r="DB225" s="466"/>
      <c r="DC225" s="466"/>
      <c r="DD225" s="466"/>
      <c r="DE225" s="466"/>
      <c r="DF225" s="466"/>
      <c r="DG225" s="466"/>
      <c r="DH225" s="466"/>
      <c r="DI225" s="466"/>
      <c r="DJ225" s="466"/>
      <c r="DK225" s="466"/>
      <c r="DL225" s="466"/>
      <c r="DM225" s="466"/>
      <c r="DN225" s="466"/>
      <c r="DO225" s="466"/>
      <c r="DP225" s="466"/>
      <c r="DQ225" s="466"/>
      <c r="DR225" s="466"/>
      <c r="DS225" s="466"/>
      <c r="DT225" s="466"/>
    </row>
    <row r="226" spans="1:124" s="21" customFormat="1" ht="13.5" thickTop="1">
      <c r="A226" s="58"/>
      <c r="B226" s="31"/>
      <c r="J226" s="8"/>
      <c r="L226" s="143"/>
      <c r="M226" s="9"/>
      <c r="N226" s="10"/>
      <c r="O226" s="9"/>
      <c r="P226" s="10"/>
      <c r="Q226" s="9"/>
      <c r="R226" s="10"/>
      <c r="S226" s="9"/>
      <c r="T226" s="10"/>
      <c r="U226" s="9"/>
      <c r="V226" s="10"/>
      <c r="W226" s="9"/>
      <c r="X226" s="10"/>
      <c r="Y226" s="9"/>
      <c r="Z226" s="10"/>
      <c r="AA226" s="9"/>
      <c r="AB226" s="10"/>
      <c r="AC226" s="9"/>
      <c r="AD226" s="10"/>
      <c r="AE226" s="9"/>
      <c r="AF226" s="10"/>
      <c r="AG226" s="9"/>
      <c r="AH226" s="10"/>
      <c r="AI226" s="9"/>
      <c r="AJ226" s="10"/>
      <c r="AK226" s="9"/>
      <c r="AL226" s="10"/>
      <c r="AM226" s="9"/>
      <c r="AN226" s="10"/>
      <c r="AO226" s="9"/>
      <c r="AP226" s="10"/>
      <c r="AQ226" s="9"/>
      <c r="AR226" s="10"/>
      <c r="AS226" s="9"/>
      <c r="AT226" s="10"/>
      <c r="AU226" s="9"/>
      <c r="AV226" s="10"/>
      <c r="AW226" s="10"/>
      <c r="AX226" s="10"/>
      <c r="AY226" s="10"/>
      <c r="AZ226" s="10"/>
      <c r="BA226" s="10"/>
      <c r="BB226" s="10"/>
      <c r="BC226" s="10"/>
      <c r="BD226" s="10"/>
      <c r="BE226" s="10"/>
      <c r="BF226" s="10"/>
      <c r="BG226" s="10"/>
      <c r="BH226" s="10"/>
      <c r="BI226" s="10"/>
      <c r="BJ226" s="10"/>
      <c r="BK226" s="10"/>
      <c r="BL226" s="10"/>
      <c r="BM226" s="9"/>
      <c r="BN226" s="10"/>
      <c r="BO226" s="9"/>
      <c r="BP226" s="10"/>
      <c r="BQ226" s="9"/>
      <c r="BR226" s="10"/>
      <c r="BS226" s="9"/>
      <c r="BT226" s="10"/>
      <c r="BU226" s="9"/>
      <c r="BV226" s="10"/>
      <c r="BW226" s="9"/>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row>
    <row r="227" spans="1:124">
      <c r="C227"/>
      <c r="D227"/>
      <c r="E227"/>
      <c r="F227"/>
      <c r="G227"/>
      <c r="H227"/>
      <c r="I227"/>
      <c r="J227" s="49"/>
      <c r="K227"/>
      <c r="L227" s="134"/>
      <c r="M227" s="6"/>
      <c r="O227" s="6"/>
      <c r="Q227" s="6"/>
      <c r="S227" s="6"/>
      <c r="T227" s="6"/>
      <c r="U227" s="6"/>
      <c r="V227" s="6"/>
      <c r="X227" s="6"/>
      <c r="Z227" s="6"/>
      <c r="AB227" s="6"/>
      <c r="AD227" s="6"/>
      <c r="BL227" s="6"/>
      <c r="BM227" s="6"/>
      <c r="BO227" s="6"/>
      <c r="BP227" s="6"/>
      <c r="BQ227" s="6"/>
      <c r="BW227" s="6"/>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row>
    <row r="228" spans="1:124" customFormat="1" ht="15">
      <c r="A228" s="467" t="s">
        <v>555</v>
      </c>
      <c r="BN228" s="368"/>
    </row>
    <row r="229" spans="1:124" customFormat="1">
      <c r="A229" s="56" t="s">
        <v>288</v>
      </c>
      <c r="BN229" s="368"/>
    </row>
    <row r="230" spans="1:124" customFormat="1">
      <c r="A230" s="58"/>
      <c r="B230" t="s">
        <v>79</v>
      </c>
      <c r="BB230" s="35">
        <v>200000</v>
      </c>
      <c r="BN230" s="10">
        <f>SUM(T230:BM230)</f>
        <v>200000</v>
      </c>
    </row>
    <row r="231" spans="1:124" customFormat="1">
      <c r="B231" t="s">
        <v>558</v>
      </c>
      <c r="L231" s="49">
        <v>43950</v>
      </c>
      <c r="R231" s="35">
        <v>25518545</v>
      </c>
      <c r="BB231" s="35">
        <f>10308.53+62748.66</f>
        <v>73057.19</v>
      </c>
      <c r="BD231" s="35">
        <v>0</v>
      </c>
      <c r="BE231" s="35"/>
      <c r="BF231" s="35"/>
      <c r="BG231" s="35"/>
      <c r="BH231" s="35"/>
      <c r="BI231" s="35"/>
      <c r="BJ231" s="35"/>
      <c r="BK231" s="35"/>
      <c r="BL231" s="35"/>
      <c r="BM231" s="35"/>
      <c r="BN231" s="10">
        <f>SUM(T231:BB231)</f>
        <v>73057.19</v>
      </c>
      <c r="BO231" s="9"/>
      <c r="BP231" s="10">
        <v>0</v>
      </c>
      <c r="BQ231" s="9"/>
      <c r="BR231" s="6">
        <f>IF(+R231-BN231+BP231&gt;0,R231-BN231+BP231,0)</f>
        <v>25445487.809999999</v>
      </c>
      <c r="BS231" s="9"/>
      <c r="BT231" s="9">
        <f>+BN231+BR231</f>
        <v>25518545</v>
      </c>
      <c r="BU231" s="9"/>
      <c r="BV231" s="6">
        <f>+R231-BT231</f>
        <v>0</v>
      </c>
      <c r="BW231" s="9"/>
      <c r="BX231" s="35"/>
      <c r="BY231" s="35"/>
      <c r="BZ231" s="35"/>
      <c r="CA231" s="35"/>
      <c r="CB231" s="35"/>
      <c r="CC231" s="35"/>
      <c r="CD231" s="35"/>
      <c r="CE231" s="35"/>
      <c r="CF231" s="35"/>
      <c r="CG231" s="35"/>
      <c r="CH231" s="35"/>
      <c r="CI231" s="35"/>
      <c r="CJ231" s="35"/>
    </row>
    <row r="232" spans="1:124" customFormat="1">
      <c r="B232" t="s">
        <v>559</v>
      </c>
      <c r="L232" s="49" t="s">
        <v>554</v>
      </c>
      <c r="R232" s="35">
        <v>975356</v>
      </c>
      <c r="BB232" s="35">
        <v>629</v>
      </c>
      <c r="BD232" s="35"/>
      <c r="BE232" s="35"/>
      <c r="BF232" s="35"/>
      <c r="BG232" s="35"/>
      <c r="BH232" s="35"/>
      <c r="BI232" s="35"/>
      <c r="BJ232" s="35"/>
      <c r="BK232" s="35"/>
      <c r="BL232" s="35"/>
      <c r="BM232" s="35"/>
      <c r="BN232" s="10">
        <f>SUM(T232:BM232)</f>
        <v>629</v>
      </c>
      <c r="BO232" s="9"/>
      <c r="BP232" s="10">
        <v>0</v>
      </c>
      <c r="BQ232" s="9"/>
      <c r="BR232" s="6">
        <f>IF(+R232-BN232+BP232&gt;0,R232-BN232+BP232,0)</f>
        <v>974727</v>
      </c>
      <c r="BS232" s="9"/>
      <c r="BT232" s="9">
        <f>+BN232+BR232</f>
        <v>975356</v>
      </c>
      <c r="BU232" s="9"/>
      <c r="BV232" s="6">
        <f>+R232-BT232</f>
        <v>0</v>
      </c>
      <c r="BW232" s="9"/>
      <c r="BX232" s="35"/>
      <c r="BY232" s="35"/>
      <c r="BZ232" s="35"/>
      <c r="CA232" s="35"/>
      <c r="CB232" s="35"/>
      <c r="CC232" s="35"/>
      <c r="CD232" s="35"/>
      <c r="CE232" s="35"/>
      <c r="CF232" s="35"/>
      <c r="CG232" s="35"/>
      <c r="CH232" s="35"/>
      <c r="CI232" s="35"/>
      <c r="CJ232" s="35"/>
    </row>
    <row r="233" spans="1:124" customFormat="1">
      <c r="B233" s="11" t="s">
        <v>480</v>
      </c>
      <c r="L233" s="49">
        <v>44484</v>
      </c>
      <c r="R233" s="36">
        <v>132742</v>
      </c>
      <c r="BB233" s="36">
        <f>1005.26+15817.94+8004</f>
        <v>24827.200000000001</v>
      </c>
      <c r="BD233" s="36"/>
      <c r="BE233" s="35"/>
      <c r="BF233" s="35"/>
      <c r="BG233" s="35"/>
      <c r="BH233" s="35"/>
      <c r="BI233" s="35"/>
      <c r="BJ233" s="35"/>
      <c r="BK233" s="35"/>
      <c r="BL233" s="35"/>
      <c r="BM233" s="35"/>
      <c r="BN233" s="468">
        <f>SUM(T233:BM233)</f>
        <v>24827.200000000001</v>
      </c>
      <c r="BO233" s="9"/>
      <c r="BP233" s="10">
        <v>0</v>
      </c>
      <c r="BQ233" s="9"/>
      <c r="BR233" s="6">
        <f>IF(+R233-BN233+BP233&gt;0,R233-BN233+BP233,0)</f>
        <v>107914.8</v>
      </c>
      <c r="BS233" s="9"/>
      <c r="BT233" s="468">
        <f>+BN233+BR233</f>
        <v>132742</v>
      </c>
      <c r="BU233" s="9"/>
      <c r="BV233" s="469">
        <f>+R233-BT233</f>
        <v>0</v>
      </c>
      <c r="BW233" s="9"/>
      <c r="BX233" s="35"/>
      <c r="BY233" s="35"/>
      <c r="BZ233" s="35"/>
      <c r="CA233" s="35"/>
      <c r="CB233" s="35"/>
      <c r="CC233" s="35"/>
      <c r="CD233" s="35"/>
      <c r="CE233" s="35"/>
      <c r="CF233" s="35"/>
      <c r="CG233" s="35"/>
      <c r="CH233" s="35"/>
      <c r="CI233" s="35"/>
      <c r="CJ233" s="35"/>
    </row>
    <row r="234" spans="1:124" customFormat="1">
      <c r="L234" s="49"/>
      <c r="R234" s="35">
        <f>SUM(R231:R233)</f>
        <v>26626643</v>
      </c>
      <c r="BB234" s="35">
        <f>SUM(BB230:BB233)</f>
        <v>298513.39</v>
      </c>
      <c r="BC234" s="35">
        <f t="shared" ref="BC234:BW234" si="55">SUM(BC230:BC233)</f>
        <v>0</v>
      </c>
      <c r="BD234" s="35">
        <f t="shared" si="55"/>
        <v>0</v>
      </c>
      <c r="BE234" s="35">
        <f t="shared" si="55"/>
        <v>0</v>
      </c>
      <c r="BF234" s="35">
        <f t="shared" si="55"/>
        <v>0</v>
      </c>
      <c r="BG234" s="35">
        <f t="shared" si="55"/>
        <v>0</v>
      </c>
      <c r="BH234" s="35">
        <f t="shared" si="55"/>
        <v>0</v>
      </c>
      <c r="BI234" s="35">
        <f t="shared" si="55"/>
        <v>0</v>
      </c>
      <c r="BJ234" s="35">
        <f t="shared" si="55"/>
        <v>0</v>
      </c>
      <c r="BK234" s="35">
        <f t="shared" si="55"/>
        <v>0</v>
      </c>
      <c r="BL234" s="35">
        <f t="shared" si="55"/>
        <v>0</v>
      </c>
      <c r="BM234" s="35">
        <f t="shared" si="55"/>
        <v>0</v>
      </c>
      <c r="BN234" s="35">
        <f t="shared" si="55"/>
        <v>298513.39</v>
      </c>
      <c r="BO234" s="35">
        <f t="shared" si="55"/>
        <v>0</v>
      </c>
      <c r="BP234" s="35">
        <f t="shared" si="55"/>
        <v>0</v>
      </c>
      <c r="BQ234" s="35">
        <f t="shared" si="55"/>
        <v>0</v>
      </c>
      <c r="BR234" s="35">
        <f t="shared" si="55"/>
        <v>26528129.609999999</v>
      </c>
      <c r="BS234" s="35">
        <f t="shared" si="55"/>
        <v>0</v>
      </c>
      <c r="BT234" s="35">
        <f t="shared" si="55"/>
        <v>26626643</v>
      </c>
      <c r="BU234" s="35">
        <f t="shared" si="55"/>
        <v>0</v>
      </c>
      <c r="BV234" s="35">
        <f t="shared" si="55"/>
        <v>0</v>
      </c>
      <c r="BW234" s="35">
        <f t="shared" si="55"/>
        <v>0</v>
      </c>
      <c r="BX234" s="35"/>
      <c r="BY234" s="35"/>
      <c r="BZ234" s="35"/>
      <c r="CA234" s="35"/>
      <c r="CB234" s="35"/>
      <c r="CC234" s="35"/>
      <c r="CD234" s="35"/>
      <c r="CE234" s="35"/>
      <c r="CF234" s="35"/>
      <c r="CG234" s="35"/>
      <c r="CH234" s="35"/>
      <c r="CI234" s="35"/>
      <c r="CJ234" s="35"/>
    </row>
    <row r="235" spans="1:124" customFormat="1">
      <c r="L235" s="49"/>
      <c r="BB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c r="CB235" s="35"/>
      <c r="CC235" s="35"/>
      <c r="CD235" s="35"/>
      <c r="CE235" s="35"/>
      <c r="CF235" s="35"/>
      <c r="CG235" s="35"/>
      <c r="CH235" s="35"/>
      <c r="CI235" s="35"/>
      <c r="CJ235" s="35"/>
    </row>
    <row r="236" spans="1:124" customFormat="1">
      <c r="L236" s="49"/>
      <c r="BB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c r="CB236" s="35"/>
      <c r="CC236" s="35"/>
      <c r="CD236" s="35"/>
      <c r="CE236" s="35"/>
      <c r="CF236" s="35"/>
      <c r="CG236" s="35"/>
      <c r="CH236" s="35"/>
      <c r="CI236" s="35"/>
      <c r="CJ236" s="35"/>
    </row>
    <row r="237" spans="1:124" s="105" customFormat="1" ht="15.75" thickBot="1">
      <c r="A237" s="470" t="s">
        <v>556</v>
      </c>
      <c r="B237" s="471"/>
      <c r="C237" s="472"/>
      <c r="D237" s="472"/>
      <c r="E237" s="472"/>
      <c r="F237" s="472"/>
      <c r="G237" s="472"/>
      <c r="H237" s="472"/>
      <c r="I237" s="472"/>
      <c r="J237" s="473"/>
      <c r="K237" s="472"/>
      <c r="L237" s="474"/>
      <c r="M237" s="475"/>
      <c r="N237" s="476"/>
      <c r="O237" s="475"/>
      <c r="P237" s="476"/>
      <c r="Q237" s="475"/>
      <c r="R237" s="477">
        <f>R225+R234</f>
        <v>197201653</v>
      </c>
      <c r="S237" s="477">
        <f t="shared" ref="S237:BW237" si="56">S231+S234</f>
        <v>0</v>
      </c>
      <c r="T237" s="477">
        <f t="shared" si="56"/>
        <v>0</v>
      </c>
      <c r="U237" s="477">
        <f t="shared" si="56"/>
        <v>0</v>
      </c>
      <c r="V237" s="477">
        <f t="shared" si="56"/>
        <v>0</v>
      </c>
      <c r="W237" s="477">
        <f t="shared" si="56"/>
        <v>0</v>
      </c>
      <c r="X237" s="477">
        <f t="shared" si="56"/>
        <v>0</v>
      </c>
      <c r="Y237" s="477">
        <f t="shared" si="56"/>
        <v>0</v>
      </c>
      <c r="Z237" s="477">
        <f t="shared" si="56"/>
        <v>0</v>
      </c>
      <c r="AA237" s="477">
        <f t="shared" si="56"/>
        <v>0</v>
      </c>
      <c r="AB237" s="477">
        <f t="shared" si="56"/>
        <v>0</v>
      </c>
      <c r="AC237" s="477">
        <f t="shared" si="56"/>
        <v>0</v>
      </c>
      <c r="AD237" s="477">
        <f t="shared" si="56"/>
        <v>0</v>
      </c>
      <c r="AE237" s="477">
        <f t="shared" si="56"/>
        <v>0</v>
      </c>
      <c r="AF237" s="477">
        <f t="shared" si="56"/>
        <v>0</v>
      </c>
      <c r="AG237" s="477">
        <f t="shared" si="56"/>
        <v>0</v>
      </c>
      <c r="AH237" s="477">
        <f t="shared" si="56"/>
        <v>0</v>
      </c>
      <c r="AI237" s="477"/>
      <c r="AJ237" s="477">
        <f t="shared" si="56"/>
        <v>0</v>
      </c>
      <c r="AK237" s="477"/>
      <c r="AL237" s="477">
        <f t="shared" si="56"/>
        <v>0</v>
      </c>
      <c r="AM237" s="477"/>
      <c r="AN237" s="477">
        <f t="shared" si="56"/>
        <v>0</v>
      </c>
      <c r="AO237" s="477"/>
      <c r="AP237" s="477">
        <f t="shared" si="56"/>
        <v>0</v>
      </c>
      <c r="AQ237" s="477"/>
      <c r="AR237" s="477">
        <f t="shared" si="56"/>
        <v>0</v>
      </c>
      <c r="AS237" s="477">
        <f t="shared" si="56"/>
        <v>0</v>
      </c>
      <c r="AT237" s="477">
        <f t="shared" si="56"/>
        <v>0</v>
      </c>
      <c r="AU237" s="477">
        <f t="shared" si="56"/>
        <v>0</v>
      </c>
      <c r="AV237" s="477">
        <f t="shared" si="56"/>
        <v>0</v>
      </c>
      <c r="AW237" s="477">
        <f t="shared" si="56"/>
        <v>0</v>
      </c>
      <c r="AX237" s="477">
        <f t="shared" si="56"/>
        <v>0</v>
      </c>
      <c r="AY237" s="477">
        <f t="shared" si="56"/>
        <v>0</v>
      </c>
      <c r="AZ237" s="477">
        <f ca="1">AZ225+AZ234</f>
        <v>11403531.258654332</v>
      </c>
      <c r="BA237" s="477">
        <f t="shared" si="56"/>
        <v>0</v>
      </c>
      <c r="BB237" s="477">
        <f>BB225+BB234</f>
        <v>11752972.02</v>
      </c>
      <c r="BC237" s="477">
        <f t="shared" si="56"/>
        <v>0</v>
      </c>
      <c r="BD237" s="477">
        <f>BD225+BD234</f>
        <v>0</v>
      </c>
      <c r="BE237" s="477">
        <f t="shared" si="56"/>
        <v>0</v>
      </c>
      <c r="BF237" s="477">
        <f t="shared" si="56"/>
        <v>0</v>
      </c>
      <c r="BG237" s="477">
        <f t="shared" si="56"/>
        <v>0</v>
      </c>
      <c r="BH237" s="477">
        <f t="shared" si="56"/>
        <v>0</v>
      </c>
      <c r="BI237" s="477">
        <f t="shared" si="56"/>
        <v>0</v>
      </c>
      <c r="BJ237" s="477">
        <f t="shared" si="56"/>
        <v>0</v>
      </c>
      <c r="BK237" s="477">
        <f t="shared" si="56"/>
        <v>0</v>
      </c>
      <c r="BL237" s="477">
        <f t="shared" si="56"/>
        <v>0</v>
      </c>
      <c r="BM237" s="477">
        <f t="shared" si="56"/>
        <v>0</v>
      </c>
      <c r="BN237" s="477">
        <f ca="1">BN225+BN234</f>
        <v>145689678.37483868</v>
      </c>
      <c r="BO237" s="477">
        <f t="shared" si="56"/>
        <v>0</v>
      </c>
      <c r="BP237" s="477">
        <f>BP225+BP234</f>
        <v>5621125</v>
      </c>
      <c r="BQ237" s="477">
        <f t="shared" si="56"/>
        <v>0</v>
      </c>
      <c r="BR237" s="477">
        <f ca="1">BR225+BR234</f>
        <v>60066470.657960787</v>
      </c>
      <c r="BS237" s="477">
        <f t="shared" si="56"/>
        <v>0</v>
      </c>
      <c r="BT237" s="477">
        <f ca="1">BT225+BT234</f>
        <v>201412358.03279948</v>
      </c>
      <c r="BU237" s="477">
        <f t="shared" si="56"/>
        <v>0</v>
      </c>
      <c r="BV237" s="477">
        <f ca="1">BV225+BV234</f>
        <v>-4210705.0327994823</v>
      </c>
      <c r="BW237" s="477">
        <f t="shared" si="56"/>
        <v>0</v>
      </c>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row>
    <row r="238" spans="1:124" customFormat="1" ht="13.5" thickTop="1">
      <c r="L238" s="49"/>
      <c r="BB238" s="35"/>
      <c r="BN238" s="368"/>
    </row>
    <row r="239" spans="1:124" customFormat="1">
      <c r="L239" s="49"/>
      <c r="BB239" s="35"/>
      <c r="BN239" s="368"/>
    </row>
    <row r="240" spans="1:124" customFormat="1">
      <c r="L240" s="49"/>
      <c r="BB240" s="35"/>
      <c r="BN240" s="368"/>
    </row>
    <row r="241" spans="12:66" customFormat="1">
      <c r="L241" s="49"/>
      <c r="BB241" s="35"/>
      <c r="BN241" s="368"/>
    </row>
    <row r="242" spans="12:66" customFormat="1">
      <c r="L242" s="49"/>
      <c r="AT242" s="367"/>
      <c r="BB242" s="35"/>
      <c r="BN242" s="368"/>
    </row>
    <row r="243" spans="12:66" customFormat="1">
      <c r="AT243" s="367"/>
      <c r="BB243" s="35"/>
      <c r="BN243" s="368"/>
    </row>
    <row r="244" spans="12:66" customFormat="1">
      <c r="AT244" s="367"/>
      <c r="BB244" s="35"/>
      <c r="BN244" s="369"/>
    </row>
    <row r="245" spans="12:66" customFormat="1">
      <c r="BB245" s="35"/>
    </row>
    <row r="246" spans="12:66" customFormat="1"/>
    <row r="247" spans="12:66" customFormat="1"/>
    <row r="248" spans="12:66" customFormat="1"/>
    <row r="249" spans="12:66" customFormat="1"/>
    <row r="250" spans="12:66" customFormat="1"/>
    <row r="251" spans="12:66" customFormat="1"/>
    <row r="252" spans="12:66" customFormat="1"/>
    <row r="253" spans="12:66" customFormat="1"/>
    <row r="254" spans="12:66" customFormat="1"/>
    <row r="255" spans="12:66" customFormat="1"/>
    <row r="256" spans="12:66" customFormat="1"/>
    <row r="257" spans="66:66" customFormat="1"/>
    <row r="258" spans="66:66" customFormat="1"/>
    <row r="259" spans="66:66" customFormat="1"/>
    <row r="260" spans="66:66" customFormat="1"/>
    <row r="261" spans="66:66" customFormat="1"/>
    <row r="262" spans="66:66" customFormat="1"/>
    <row r="263" spans="66:66" customFormat="1"/>
    <row r="264" spans="66:66" customFormat="1"/>
    <row r="265" spans="66:66" customFormat="1"/>
    <row r="266" spans="66:66" customFormat="1"/>
    <row r="267" spans="66:66" customFormat="1"/>
    <row r="268" spans="66:66" customFormat="1"/>
    <row r="269" spans="66:66" customFormat="1"/>
    <row r="270" spans="66:66" customFormat="1"/>
    <row r="271" spans="66:66" customFormat="1"/>
    <row r="272" spans="66:66">
      <c r="BN272" s="22"/>
    </row>
    <row r="273" spans="66:66">
      <c r="BN273" s="22"/>
    </row>
    <row r="274" spans="66:66">
      <c r="BN274" s="22"/>
    </row>
    <row r="275" spans="66:66">
      <c r="BN275" s="22"/>
    </row>
    <row r="276" spans="66:66">
      <c r="BN276" s="22"/>
    </row>
    <row r="277" spans="66:66">
      <c r="BN277" s="22"/>
    </row>
    <row r="278" spans="66:66">
      <c r="BN278" s="22"/>
    </row>
    <row r="279" spans="66:66">
      <c r="BN279" s="22"/>
    </row>
    <row r="280" spans="66:66">
      <c r="BN280" s="22"/>
    </row>
    <row r="281" spans="66:66">
      <c r="BN281" s="22"/>
    </row>
    <row r="282" spans="66:66">
      <c r="BN282" s="22"/>
    </row>
    <row r="283" spans="66:66">
      <c r="BN283" s="22"/>
    </row>
    <row r="284" spans="66:66">
      <c r="BN284" s="22"/>
    </row>
    <row r="285" spans="66:66">
      <c r="BN285" s="22"/>
    </row>
    <row r="286" spans="66:66">
      <c r="BN286" s="22"/>
    </row>
    <row r="287" spans="66:66">
      <c r="BN287" s="22"/>
    </row>
    <row r="288" spans="66:66">
      <c r="BN288" s="22"/>
    </row>
    <row r="289" spans="66:66">
      <c r="BN289" s="22"/>
    </row>
    <row r="290" spans="66:66">
      <c r="BN290" s="22"/>
    </row>
    <row r="291" spans="66:66">
      <c r="BN291" s="22"/>
    </row>
  </sheetData>
  <printOptions horizontalCentered="1"/>
  <pageMargins left="0" right="0" top="0.25" bottom="0.19" header="0.25" footer="0.19"/>
  <pageSetup scale="40" fitToHeight="2" orientation="portrait" horizontalDpi="300" verticalDpi="300" r:id="rId1"/>
  <headerFooter alignWithMargins="0"/>
  <rowBreaks count="1" manualBreakCount="1">
    <brk id="94" max="7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R251"/>
  <sheetViews>
    <sheetView zoomScale="80" zoomScaleNormal="66" workbookViewId="0">
      <pane xSplit="19" ySplit="7" topLeftCell="BO76" activePane="bottomRight" state="frozen"/>
      <selection activeCell="K27" sqref="K27"/>
      <selection pane="topRight" activeCell="K27" sqref="K27"/>
      <selection pane="bottomLeft" activeCell="K27" sqref="K27"/>
      <selection pane="bottomRight" activeCell="BT105" sqref="BT105"/>
    </sheetView>
  </sheetViews>
  <sheetFormatPr defaultRowHeight="12.75"/>
  <cols>
    <col min="1" max="1" width="4.7109375" style="4" customWidth="1"/>
    <col min="2" max="2" width="55.140625" style="4" customWidth="1"/>
    <col min="3" max="3" width="9.28515625" style="4" hidden="1" customWidth="1"/>
    <col min="4" max="4" width="0.85546875" style="4" hidden="1" customWidth="1"/>
    <col min="5" max="5" width="16.85546875" style="5" hidden="1" customWidth="1"/>
    <col min="6" max="6" width="0.85546875" style="4" hidden="1" customWidth="1"/>
    <col min="7" max="7" width="17.140625" style="5" hidden="1" customWidth="1"/>
    <col min="8" max="8" width="0.85546875" style="4" hidden="1" customWidth="1"/>
    <col min="9" max="9" width="11.140625" style="5" hidden="1" customWidth="1"/>
    <col min="10" max="10" width="11.140625" style="5" customWidth="1"/>
    <col min="11" max="11" width="0.85546875" style="4" customWidth="1"/>
    <col min="12" max="12" width="12" style="150" bestFit="1" customWidth="1"/>
    <col min="13" max="13" width="0.85546875" style="4" hidden="1" customWidth="1"/>
    <col min="14" max="14" width="19.42578125" style="6" hidden="1" customWidth="1"/>
    <col min="15" max="15" width="0.85546875" style="4" hidden="1" customWidth="1"/>
    <col min="16" max="16" width="16.28515625" style="6" hidden="1" customWidth="1"/>
    <col min="17" max="17" width="0.85546875" style="4" hidden="1" customWidth="1"/>
    <col min="18" max="18" width="21" style="6" customWidth="1"/>
    <col min="19" max="19" width="1.42578125" style="4" customWidth="1"/>
    <col min="20" max="20" width="19.5703125" style="65" hidden="1" customWidth="1"/>
    <col min="21" max="21" width="0.85546875" style="97" hidden="1" customWidth="1"/>
    <col min="22" max="22" width="17.85546875" style="65" hidden="1" customWidth="1"/>
    <col min="23" max="23" width="0.85546875" style="6" hidden="1" customWidth="1"/>
    <col min="24" max="24" width="17.85546875" style="65" hidden="1" customWidth="1"/>
    <col min="25" max="25" width="0.85546875" style="6" hidden="1" customWidth="1"/>
    <col min="26" max="26" width="17.85546875" style="65" hidden="1" customWidth="1"/>
    <col min="27" max="27" width="0.85546875" style="6" hidden="1" customWidth="1"/>
    <col min="28" max="28" width="18" style="65" hidden="1" customWidth="1"/>
    <col min="29" max="29" width="0.85546875" style="6" hidden="1" customWidth="1"/>
    <col min="30" max="30" width="18.28515625" style="65" hidden="1" customWidth="1"/>
    <col min="31" max="31" width="0.85546875" style="6" hidden="1" customWidth="1"/>
    <col min="32" max="32" width="17.85546875" style="6" hidden="1" customWidth="1"/>
    <col min="33" max="33" width="0.85546875" style="6" hidden="1" customWidth="1"/>
    <col min="34" max="34" width="17.28515625" style="6" hidden="1" customWidth="1"/>
    <col min="35" max="35" width="1" style="6" hidden="1" customWidth="1"/>
    <col min="36" max="36" width="17.85546875" style="6" hidden="1" customWidth="1"/>
    <col min="37" max="37" width="0.85546875" style="6" hidden="1" customWidth="1"/>
    <col min="38" max="38" width="0.140625" style="6" hidden="1" customWidth="1"/>
    <col min="39" max="39" width="0.85546875" style="6" hidden="1" customWidth="1"/>
    <col min="40" max="40" width="18.28515625" style="6" hidden="1" customWidth="1"/>
    <col min="41" max="41" width="1.140625" style="6" hidden="1" customWidth="1"/>
    <col min="42" max="42" width="17.85546875" style="6" hidden="1" customWidth="1"/>
    <col min="43" max="43" width="0.85546875" style="6" hidden="1" customWidth="1"/>
    <col min="44" max="44" width="17.85546875" style="6" hidden="1" customWidth="1"/>
    <col min="45" max="45" width="0.85546875" style="6" hidden="1" customWidth="1"/>
    <col min="46" max="46" width="17.85546875" style="6" hidden="1" customWidth="1"/>
    <col min="47" max="47" width="0.85546875" style="6" hidden="1" customWidth="1"/>
    <col min="48" max="48" width="17.28515625" style="6" hidden="1" customWidth="1"/>
    <col min="49" max="49" width="0.85546875" style="6" hidden="1" customWidth="1"/>
    <col min="50" max="50" width="17.28515625" style="6" hidden="1" customWidth="1"/>
    <col min="51" max="51" width="0.85546875" style="6" hidden="1" customWidth="1"/>
    <col min="52" max="52" width="17.85546875" style="6" hidden="1" customWidth="1"/>
    <col min="53" max="53" width="0.85546875" style="6" hidden="1" customWidth="1"/>
    <col min="54" max="54" width="17.85546875" style="6" hidden="1" customWidth="1"/>
    <col min="55" max="55" width="0.85546875" style="6" hidden="1" customWidth="1"/>
    <col min="56" max="56" width="17.85546875" style="6" hidden="1" customWidth="1"/>
    <col min="57" max="57" width="0.85546875" style="6" hidden="1" customWidth="1"/>
    <col min="58" max="58" width="17.85546875" style="6" hidden="1" customWidth="1"/>
    <col min="59" max="59" width="0.85546875" style="6" hidden="1" customWidth="1"/>
    <col min="60" max="60" width="17.85546875" style="6" hidden="1" customWidth="1"/>
    <col min="61" max="61" width="0.85546875" style="6" hidden="1" customWidth="1"/>
    <col min="62" max="62" width="16" style="65" hidden="1" customWidth="1"/>
    <col min="63" max="63" width="2.140625" style="4" hidden="1" customWidth="1"/>
    <col min="64" max="64" width="20.85546875" style="6" customWidth="1"/>
    <col min="65" max="65" width="0.85546875" style="4" customWidth="1"/>
    <col min="66" max="66" width="19.140625" style="65" customWidth="1"/>
    <col min="67" max="67" width="0.85546875" style="4" customWidth="1"/>
    <col min="68" max="68" width="24.7109375" style="6" bestFit="1" customWidth="1"/>
    <col min="69" max="69" width="1.7109375" style="6" customWidth="1"/>
    <col min="70" max="70" width="20.85546875" style="6" customWidth="1"/>
    <col min="71" max="71" width="1.7109375" style="6" customWidth="1"/>
    <col min="72" max="72" width="15.85546875" style="6" customWidth="1"/>
    <col min="73" max="73" width="0.85546875" style="4" customWidth="1"/>
    <col min="74" max="74" width="75.85546875" style="4" customWidth="1"/>
    <col min="75" max="16384" width="9.140625" style="4"/>
  </cols>
  <sheetData>
    <row r="1" spans="1:74" s="18" customFormat="1" ht="15.75">
      <c r="A1" s="66" t="str">
        <f ca="1">+Summary!A1</f>
        <v>ENRON CAPITAL &amp; TRADE RESOURCES</v>
      </c>
      <c r="B1" s="3"/>
      <c r="C1" s="119"/>
      <c r="D1" s="122"/>
      <c r="E1" s="123"/>
      <c r="F1" s="122"/>
      <c r="G1" s="123"/>
      <c r="H1" s="122"/>
      <c r="I1" s="123"/>
      <c r="J1" s="123"/>
      <c r="K1" s="122"/>
      <c r="L1" s="136"/>
      <c r="M1" s="122"/>
      <c r="N1" s="124"/>
      <c r="O1" s="122"/>
      <c r="P1" s="124"/>
      <c r="R1" s="68"/>
      <c r="T1" s="81"/>
      <c r="U1" s="96"/>
      <c r="V1" s="81"/>
      <c r="W1" s="68"/>
      <c r="X1" s="81"/>
      <c r="Y1" s="68"/>
      <c r="Z1" s="81"/>
      <c r="AA1" s="68"/>
      <c r="AB1" s="81"/>
      <c r="AC1" s="68"/>
      <c r="AD1" s="81"/>
      <c r="AE1" s="68"/>
      <c r="AF1" s="68"/>
      <c r="AG1" s="68"/>
      <c r="AH1" s="68"/>
      <c r="AI1" s="68"/>
      <c r="AJ1" s="68"/>
      <c r="AK1" s="68"/>
      <c r="AL1" s="68"/>
      <c r="AM1" s="68"/>
      <c r="AN1" s="68"/>
      <c r="AO1" s="68"/>
      <c r="AP1" s="68"/>
      <c r="AQ1" s="68"/>
      <c r="AR1" s="68"/>
      <c r="AS1" s="68"/>
      <c r="AT1" s="68"/>
      <c r="AU1" s="68"/>
      <c r="AV1" s="68"/>
      <c r="AW1" s="68"/>
      <c r="AX1" s="68"/>
      <c r="AY1" s="68"/>
      <c r="AZ1" s="68"/>
      <c r="BA1" s="68"/>
      <c r="BB1" s="68"/>
      <c r="BC1" s="68"/>
      <c r="BD1" s="68"/>
      <c r="BE1" s="68"/>
      <c r="BF1" s="68"/>
      <c r="BG1" s="68"/>
      <c r="BH1" s="68"/>
      <c r="BI1" s="68"/>
      <c r="BJ1" s="81"/>
      <c r="BL1" s="78"/>
      <c r="BN1" s="81"/>
      <c r="BP1" s="78"/>
      <c r="BQ1" s="78"/>
      <c r="BR1" s="78"/>
      <c r="BS1" s="78"/>
      <c r="BT1" s="68"/>
    </row>
    <row r="2" spans="1:74" s="18" customFormat="1" ht="15.75">
      <c r="A2" s="66" t="str">
        <f ca="1">+Summary!A2</f>
        <v>Energy Services</v>
      </c>
      <c r="B2" s="3"/>
      <c r="C2" s="119"/>
      <c r="D2" s="122"/>
      <c r="E2" s="123"/>
      <c r="F2" s="122"/>
      <c r="G2" s="123"/>
      <c r="H2" s="122"/>
      <c r="I2" s="123"/>
      <c r="J2" s="123"/>
      <c r="K2" s="122"/>
      <c r="L2" s="136"/>
      <c r="M2" s="122"/>
      <c r="N2" s="124"/>
      <c r="O2" s="122"/>
      <c r="P2" s="124"/>
      <c r="R2" s="68"/>
      <c r="T2" s="81"/>
      <c r="U2" s="96"/>
      <c r="V2" s="81"/>
      <c r="W2" s="68"/>
      <c r="X2" s="81"/>
      <c r="Y2" s="68"/>
      <c r="Z2" s="81"/>
      <c r="AA2" s="68"/>
      <c r="AB2" s="81"/>
      <c r="AC2" s="68"/>
      <c r="AD2" s="81"/>
      <c r="AE2" s="68"/>
      <c r="AF2" s="68"/>
      <c r="AG2" s="68"/>
      <c r="AH2" s="68"/>
      <c r="AI2" s="68"/>
      <c r="AJ2" s="68"/>
      <c r="AK2" s="68"/>
      <c r="AL2" s="68"/>
      <c r="AM2" s="68"/>
      <c r="AN2" s="68"/>
      <c r="AO2" s="68"/>
      <c r="AP2" s="68"/>
      <c r="AQ2" s="68"/>
      <c r="AR2" s="68"/>
      <c r="AS2" s="68"/>
      <c r="AT2" s="68"/>
      <c r="AU2" s="68"/>
      <c r="AV2" s="68"/>
      <c r="AW2" s="68"/>
      <c r="AX2" s="68"/>
      <c r="AY2" s="68"/>
      <c r="AZ2" s="68"/>
      <c r="BA2" s="68"/>
      <c r="BB2" s="68"/>
      <c r="BC2" s="68"/>
      <c r="BD2" s="68"/>
      <c r="BE2" s="68"/>
      <c r="BF2" s="68"/>
      <c r="BG2" s="68"/>
      <c r="BH2" s="68"/>
      <c r="BI2" s="68"/>
      <c r="BJ2" s="81"/>
      <c r="BL2" s="68"/>
      <c r="BN2" s="81"/>
      <c r="BP2" s="68"/>
      <c r="BQ2" s="68"/>
      <c r="BR2" s="68"/>
      <c r="BS2" s="68"/>
      <c r="BT2" s="106" t="str">
        <f ca="1">CELL("filename")</f>
        <v>O:\Fin_Ops\Engysvc\PowerPlants\2000 Plants\Weekly Report\[2000 Weekly Report - 050300.xls]Wilton</v>
      </c>
    </row>
    <row r="3" spans="1:74" s="18" customFormat="1" ht="15.75">
      <c r="A3" s="99" t="s">
        <v>194</v>
      </c>
      <c r="B3" s="3"/>
      <c r="C3" s="119"/>
      <c r="D3" s="122"/>
      <c r="E3" s="123"/>
      <c r="F3" s="122"/>
      <c r="G3" s="123"/>
      <c r="H3" s="122"/>
      <c r="I3" s="123"/>
      <c r="J3" s="123"/>
      <c r="K3" s="122"/>
      <c r="L3" s="137"/>
      <c r="M3" s="122"/>
      <c r="N3" s="125">
        <v>510</v>
      </c>
      <c r="O3" s="122"/>
      <c r="P3" s="126" t="s">
        <v>47</v>
      </c>
      <c r="R3" s="68"/>
      <c r="T3" s="81"/>
      <c r="U3" s="96"/>
      <c r="V3" s="81"/>
      <c r="W3" s="68"/>
      <c r="X3" s="81"/>
      <c r="Y3" s="68"/>
      <c r="Z3" s="81"/>
      <c r="AA3" s="68"/>
      <c r="AB3" s="81"/>
      <c r="AC3" s="68"/>
      <c r="AD3" s="81"/>
      <c r="AE3" s="68"/>
      <c r="AF3" s="68"/>
      <c r="AG3" s="68"/>
      <c r="AH3" s="68"/>
      <c r="AI3" s="68"/>
      <c r="AJ3" s="68"/>
      <c r="AK3" s="68"/>
      <c r="AL3" s="68"/>
      <c r="AM3" s="68"/>
      <c r="AN3" s="68"/>
      <c r="AO3" s="68"/>
      <c r="AP3" s="68"/>
      <c r="AQ3" s="68"/>
      <c r="AR3" s="68"/>
      <c r="AS3" s="68"/>
      <c r="AT3" s="68"/>
      <c r="AU3" s="68"/>
      <c r="AV3" s="68"/>
      <c r="AW3" s="68"/>
      <c r="AX3" s="68"/>
      <c r="AY3" s="68"/>
      <c r="AZ3" s="68"/>
      <c r="BA3" s="68"/>
      <c r="BB3" s="68"/>
      <c r="BC3" s="68"/>
      <c r="BD3" s="68"/>
      <c r="BE3" s="68"/>
      <c r="BF3" s="68"/>
      <c r="BG3" s="68"/>
      <c r="BH3" s="68"/>
      <c r="BI3" s="68"/>
      <c r="BJ3" s="81"/>
      <c r="BL3" s="23"/>
      <c r="BN3" s="81"/>
      <c r="BP3" s="23">
        <f ca="1">NOW()</f>
        <v>36651.54237210648</v>
      </c>
      <c r="BR3" s="23"/>
      <c r="BT3" s="78" t="str">
        <f ca="1">Summary!A5</f>
        <v>Revision # 56</v>
      </c>
      <c r="BV3" s="18" t="str">
        <f ca="1">Summary!A5</f>
        <v>Revision # 56</v>
      </c>
    </row>
    <row r="4" spans="1:74" s="18" customFormat="1" ht="15.75">
      <c r="A4" s="94"/>
      <c r="B4" s="19">
        <f ca="1">Summary!C15</f>
        <v>470</v>
      </c>
      <c r="C4"/>
      <c r="G4" s="67"/>
      <c r="J4" s="478" t="s">
        <v>47</v>
      </c>
      <c r="L4" s="74"/>
      <c r="N4" s="69"/>
      <c r="O4" s="129" t="s">
        <v>561</v>
      </c>
      <c r="P4" s="69"/>
      <c r="R4" s="68"/>
      <c r="T4" s="81"/>
      <c r="U4" s="96"/>
      <c r="V4" s="82" t="s">
        <v>122</v>
      </c>
      <c r="W4" s="69"/>
      <c r="X4" s="82" t="s">
        <v>122</v>
      </c>
      <c r="Y4" s="69"/>
      <c r="Z4" s="82" t="s">
        <v>122</v>
      </c>
      <c r="AA4" s="69"/>
      <c r="AB4" s="82" t="s">
        <v>122</v>
      </c>
      <c r="AC4" s="69"/>
      <c r="AD4" s="82" t="s">
        <v>122</v>
      </c>
      <c r="AE4" s="69"/>
      <c r="AF4" s="82" t="s">
        <v>122</v>
      </c>
      <c r="AG4" s="69"/>
      <c r="AH4" s="82" t="s">
        <v>122</v>
      </c>
      <c r="AI4" s="69"/>
      <c r="AJ4" s="82" t="s">
        <v>122</v>
      </c>
      <c r="AK4" s="69"/>
      <c r="AL4" s="82" t="s">
        <v>122</v>
      </c>
      <c r="AM4" s="69"/>
      <c r="AN4" s="82" t="s">
        <v>122</v>
      </c>
      <c r="AO4" s="69"/>
      <c r="AP4" s="82" t="s">
        <v>122</v>
      </c>
      <c r="AQ4" s="69"/>
      <c r="AR4" s="82" t="s">
        <v>122</v>
      </c>
      <c r="AS4" s="69"/>
      <c r="AT4" s="82" t="s">
        <v>122</v>
      </c>
      <c r="AU4" s="82"/>
      <c r="AV4" s="82" t="s">
        <v>122</v>
      </c>
      <c r="AW4" s="82"/>
      <c r="AX4" s="82" t="s">
        <v>122</v>
      </c>
      <c r="AY4" s="82"/>
      <c r="AZ4" s="82" t="s">
        <v>122</v>
      </c>
      <c r="BA4" s="82"/>
      <c r="BB4" s="82" t="s">
        <v>122</v>
      </c>
      <c r="BC4" s="82"/>
      <c r="BD4" s="82" t="s">
        <v>122</v>
      </c>
      <c r="BE4" s="82"/>
      <c r="BF4" s="82" t="s">
        <v>122</v>
      </c>
      <c r="BG4" s="82"/>
      <c r="BH4" s="82" t="s">
        <v>122</v>
      </c>
      <c r="BI4" s="82"/>
      <c r="BJ4" s="82" t="s">
        <v>122</v>
      </c>
      <c r="BL4" s="71"/>
      <c r="BN4" s="70" t="s">
        <v>129</v>
      </c>
      <c r="BP4" s="71"/>
      <c r="BR4" s="71"/>
      <c r="BT4" s="71"/>
    </row>
    <row r="5" spans="1:74" s="18" customFormat="1" ht="15.75">
      <c r="A5" s="91" t="s">
        <v>560</v>
      </c>
      <c r="G5" s="67"/>
      <c r="J5" s="67"/>
      <c r="L5" s="138" t="s">
        <v>201</v>
      </c>
      <c r="N5" s="70" t="s">
        <v>0</v>
      </c>
      <c r="O5" s="129"/>
      <c r="P5" s="70" t="s">
        <v>130</v>
      </c>
      <c r="R5" s="71" t="s">
        <v>0</v>
      </c>
      <c r="T5" s="82" t="s">
        <v>44</v>
      </c>
      <c r="U5" s="96"/>
      <c r="V5" s="82" t="s">
        <v>123</v>
      </c>
      <c r="W5" s="69"/>
      <c r="X5" s="82" t="s">
        <v>123</v>
      </c>
      <c r="Y5" s="69"/>
      <c r="Z5" s="82" t="s">
        <v>123</v>
      </c>
      <c r="AA5" s="69"/>
      <c r="AB5" s="82" t="s">
        <v>123</v>
      </c>
      <c r="AC5" s="69"/>
      <c r="AD5" s="82" t="s">
        <v>123</v>
      </c>
      <c r="AE5" s="69"/>
      <c r="AF5" s="82" t="s">
        <v>123</v>
      </c>
      <c r="AG5" s="69"/>
      <c r="AH5" s="82" t="s">
        <v>123</v>
      </c>
      <c r="AI5" s="69"/>
      <c r="AJ5" s="82" t="s">
        <v>123</v>
      </c>
      <c r="AK5" s="69"/>
      <c r="AL5" s="82" t="s">
        <v>123</v>
      </c>
      <c r="AM5" s="69"/>
      <c r="AN5" s="82" t="s">
        <v>123</v>
      </c>
      <c r="AO5" s="69"/>
      <c r="AP5" s="82" t="s">
        <v>123</v>
      </c>
      <c r="AQ5" s="69"/>
      <c r="AR5" s="82" t="s">
        <v>123</v>
      </c>
      <c r="AS5" s="69"/>
      <c r="AT5" s="82" t="s">
        <v>123</v>
      </c>
      <c r="AU5" s="82"/>
      <c r="AV5" s="82" t="s">
        <v>123</v>
      </c>
      <c r="AW5" s="82"/>
      <c r="AX5" s="82" t="s">
        <v>123</v>
      </c>
      <c r="AY5" s="82"/>
      <c r="AZ5" s="82" t="s">
        <v>123</v>
      </c>
      <c r="BA5" s="82"/>
      <c r="BB5" s="82" t="s">
        <v>123</v>
      </c>
      <c r="BC5" s="82"/>
      <c r="BD5" s="82" t="s">
        <v>123</v>
      </c>
      <c r="BE5" s="82"/>
      <c r="BF5" s="82" t="s">
        <v>123</v>
      </c>
      <c r="BG5" s="82"/>
      <c r="BH5" s="82" t="s">
        <v>123</v>
      </c>
      <c r="BI5" s="82"/>
      <c r="BJ5" s="82" t="s">
        <v>123</v>
      </c>
      <c r="BL5" s="71" t="s">
        <v>44</v>
      </c>
      <c r="BN5" s="70" t="s">
        <v>130</v>
      </c>
      <c r="BP5" s="71" t="s">
        <v>42</v>
      </c>
      <c r="BR5" s="71" t="s">
        <v>144</v>
      </c>
      <c r="BT5" s="71"/>
    </row>
    <row r="6" spans="1:74" s="18" customFormat="1" ht="15.75">
      <c r="A6" s="91"/>
      <c r="C6" s="76" t="s">
        <v>173</v>
      </c>
      <c r="E6" s="76" t="s">
        <v>1</v>
      </c>
      <c r="G6" s="76" t="s">
        <v>2</v>
      </c>
      <c r="I6" s="76" t="s">
        <v>3</v>
      </c>
      <c r="J6" s="155"/>
      <c r="L6" s="73" t="s">
        <v>202</v>
      </c>
      <c r="N6" s="130" t="s">
        <v>186</v>
      </c>
      <c r="O6" s="129"/>
      <c r="P6" s="130" t="s">
        <v>131</v>
      </c>
      <c r="R6" s="72" t="s">
        <v>43</v>
      </c>
      <c r="T6" s="83">
        <v>36160</v>
      </c>
      <c r="U6" s="96"/>
      <c r="V6" s="83">
        <v>36191</v>
      </c>
      <c r="W6" s="74"/>
      <c r="X6" s="83">
        <v>36219</v>
      </c>
      <c r="Y6" s="74"/>
      <c r="Z6" s="83">
        <v>36250</v>
      </c>
      <c r="AA6" s="74"/>
      <c r="AB6" s="83">
        <v>36280</v>
      </c>
      <c r="AC6" s="74"/>
      <c r="AD6" s="83">
        <v>36311</v>
      </c>
      <c r="AE6" s="74"/>
      <c r="AF6" s="83">
        <v>36341</v>
      </c>
      <c r="AG6" s="74"/>
      <c r="AH6" s="83">
        <v>36372</v>
      </c>
      <c r="AI6" s="74"/>
      <c r="AJ6" s="83">
        <v>36403</v>
      </c>
      <c r="AK6" s="74"/>
      <c r="AL6" s="83">
        <v>36433</v>
      </c>
      <c r="AM6" s="74"/>
      <c r="AN6" s="83">
        <v>36464</v>
      </c>
      <c r="AO6" s="74"/>
      <c r="AP6" s="83">
        <v>36494</v>
      </c>
      <c r="AQ6" s="74"/>
      <c r="AR6" s="83">
        <v>36525</v>
      </c>
      <c r="AS6" s="74"/>
      <c r="AT6" s="83">
        <v>36556</v>
      </c>
      <c r="AU6" s="127"/>
      <c r="AV6" s="83">
        <v>36585</v>
      </c>
      <c r="AW6" s="127"/>
      <c r="AX6" s="83">
        <v>36616</v>
      </c>
      <c r="AY6" s="127"/>
      <c r="AZ6" s="83">
        <v>36646</v>
      </c>
      <c r="BA6" s="127"/>
      <c r="BB6" s="83">
        <v>36677</v>
      </c>
      <c r="BC6" s="127"/>
      <c r="BD6" s="83">
        <v>36707</v>
      </c>
      <c r="BE6" s="127"/>
      <c r="BF6" s="83">
        <v>36738</v>
      </c>
      <c r="BG6" s="127"/>
      <c r="BH6" s="83">
        <v>36769</v>
      </c>
      <c r="BI6" s="127"/>
      <c r="BJ6" s="83">
        <v>36799</v>
      </c>
      <c r="BL6" s="75" t="s">
        <v>126</v>
      </c>
      <c r="BN6" s="73" t="s">
        <v>131</v>
      </c>
      <c r="BP6" s="75" t="s">
        <v>38</v>
      </c>
      <c r="BR6" s="75" t="s">
        <v>145</v>
      </c>
      <c r="BT6" s="75" t="s">
        <v>39</v>
      </c>
      <c r="BV6" s="75" t="s">
        <v>4</v>
      </c>
    </row>
    <row r="7" spans="1:74" s="18" customFormat="1" ht="15.75">
      <c r="A7" s="91"/>
      <c r="B7" s="1"/>
      <c r="C7" s="2"/>
      <c r="G7" s="67"/>
      <c r="J7" s="67"/>
      <c r="L7" s="139"/>
      <c r="N7" s="82" t="e">
        <f ca="1">+Summary!#REF!</f>
        <v>#REF!</v>
      </c>
      <c r="O7" s="129"/>
      <c r="P7" s="69"/>
      <c r="R7" s="82" t="str">
        <f ca="1">+Summary!E9</f>
        <v>as of 7/22/99</v>
      </c>
      <c r="T7" s="82" t="str">
        <f ca="1">+Summary!$O$4</f>
        <v xml:space="preserve"> As of 4/28/00</v>
      </c>
      <c r="U7" s="96"/>
      <c r="V7" s="82" t="str">
        <f ca="1">+Summary!$O$4</f>
        <v xml:space="preserve"> As of 4/28/00</v>
      </c>
      <c r="W7" s="69"/>
      <c r="X7" s="82" t="str">
        <f ca="1">+Summary!$O$4</f>
        <v xml:space="preserve"> As of 4/28/00</v>
      </c>
      <c r="Y7" s="69"/>
      <c r="Z7" s="82" t="str">
        <f ca="1">+Summary!$O$4</f>
        <v xml:space="preserve"> As of 4/28/00</v>
      </c>
      <c r="AA7" s="69"/>
      <c r="AB7" s="82" t="str">
        <f ca="1">+Summary!$O$4</f>
        <v xml:space="preserve"> As of 4/28/00</v>
      </c>
      <c r="AC7" s="69"/>
      <c r="AD7" s="82" t="str">
        <f ca="1">+Summary!$O$4</f>
        <v xml:space="preserve"> As of 4/28/00</v>
      </c>
      <c r="AE7" s="69"/>
      <c r="AF7" s="82" t="str">
        <f ca="1">+Summary!$O$4</f>
        <v xml:space="preserve"> As of 4/28/00</v>
      </c>
      <c r="AG7" s="69"/>
      <c r="AH7" s="82" t="str">
        <f ca="1">+Summary!$O$4</f>
        <v xml:space="preserve"> As of 4/28/00</v>
      </c>
      <c r="AI7" s="69"/>
      <c r="AJ7" s="82" t="str">
        <f ca="1">+Summary!$O$4</f>
        <v xml:space="preserve"> As of 4/28/00</v>
      </c>
      <c r="AK7" s="69"/>
      <c r="AL7" s="82" t="str">
        <f ca="1">+Summary!$O$4</f>
        <v xml:space="preserve"> As of 4/28/00</v>
      </c>
      <c r="AM7" s="69"/>
      <c r="AN7" s="82" t="str">
        <f ca="1">+Summary!$O$4</f>
        <v xml:space="preserve"> As of 4/28/00</v>
      </c>
      <c r="AO7" s="69"/>
      <c r="AP7" s="82" t="str">
        <f ca="1">+Summary!$O$4</f>
        <v xml:space="preserve"> As of 4/28/00</v>
      </c>
      <c r="AQ7" s="69"/>
      <c r="AR7" s="82" t="str">
        <f ca="1">+Summary!$O$4</f>
        <v xml:space="preserve"> As of 4/28/00</v>
      </c>
      <c r="AS7" s="69"/>
      <c r="AT7" s="82" t="str">
        <f ca="1">+Summary!$O$4</f>
        <v xml:space="preserve"> As of 4/28/00</v>
      </c>
      <c r="AU7" s="82"/>
      <c r="AV7" s="82" t="str">
        <f ca="1">+Summary!$O$4</f>
        <v xml:space="preserve"> As of 4/28/00</v>
      </c>
      <c r="AW7" s="82"/>
      <c r="AX7" s="82" t="str">
        <f ca="1">+Summary!$O$4</f>
        <v xml:space="preserve"> As of 4/28/00</v>
      </c>
      <c r="AY7" s="82"/>
      <c r="AZ7" s="82" t="str">
        <f ca="1">+Summary!$O$4</f>
        <v xml:space="preserve"> As of 4/28/00</v>
      </c>
      <c r="BA7" s="82"/>
      <c r="BB7" s="82" t="str">
        <f ca="1">+Summary!$O$4</f>
        <v xml:space="preserve"> As of 4/28/00</v>
      </c>
      <c r="BC7" s="82"/>
      <c r="BD7" s="82" t="str">
        <f ca="1">+Summary!$O$4</f>
        <v xml:space="preserve"> As of 4/28/00</v>
      </c>
      <c r="BE7" s="82"/>
      <c r="BF7" s="82" t="str">
        <f ca="1">+Summary!$O$4</f>
        <v xml:space="preserve"> As of 4/28/00</v>
      </c>
      <c r="BG7" s="82"/>
      <c r="BH7" s="82" t="str">
        <f ca="1">+Summary!$O$4</f>
        <v xml:space="preserve"> As of 4/28/00</v>
      </c>
      <c r="BI7" s="82"/>
      <c r="BJ7" s="82" t="str">
        <f ca="1">+Summary!$O$4</f>
        <v xml:space="preserve"> As of 4/28/00</v>
      </c>
      <c r="BL7" s="71" t="str">
        <f ca="1">+Summary!$O$4</f>
        <v xml:space="preserve"> As of 4/28/00</v>
      </c>
      <c r="BN7" s="64" t="str">
        <f ca="1">+Summary!$O$4</f>
        <v xml:space="preserve"> As of 4/28/00</v>
      </c>
      <c r="BP7" s="71"/>
      <c r="BR7" s="71"/>
      <c r="BT7" s="71"/>
    </row>
    <row r="8" spans="1:74">
      <c r="A8" s="92" t="s">
        <v>5</v>
      </c>
      <c r="B8" s="17"/>
      <c r="C8" s="55"/>
      <c r="E8" s="4"/>
      <c r="G8" s="4"/>
      <c r="I8" s="4"/>
      <c r="L8" s="140"/>
      <c r="M8" s="6"/>
      <c r="O8" s="6"/>
      <c r="Q8" s="6"/>
      <c r="S8" s="6"/>
      <c r="T8" s="22"/>
      <c r="U8" s="6"/>
      <c r="V8" s="22"/>
      <c r="X8" s="22"/>
      <c r="Z8" s="22"/>
      <c r="AB8" s="22"/>
      <c r="AD8" s="22"/>
      <c r="AF8" s="22"/>
      <c r="AH8" s="22"/>
      <c r="AJ8" s="22"/>
      <c r="AL8" s="22"/>
      <c r="AN8" s="22"/>
      <c r="AP8" s="22"/>
      <c r="AR8" s="22"/>
      <c r="AT8" s="22"/>
      <c r="AU8" s="22"/>
      <c r="AV8" s="22"/>
      <c r="AW8" s="22"/>
      <c r="AX8" s="22"/>
      <c r="AY8" s="22"/>
      <c r="AZ8" s="22"/>
      <c r="BA8" s="22"/>
      <c r="BB8" s="22"/>
      <c r="BC8" s="22"/>
      <c r="BD8" s="22"/>
      <c r="BE8" s="22"/>
      <c r="BF8" s="22"/>
      <c r="BG8" s="22"/>
      <c r="BH8" s="22"/>
      <c r="BI8" s="22"/>
      <c r="BJ8" s="22"/>
      <c r="BK8" s="6"/>
      <c r="BM8" s="6"/>
      <c r="BN8" s="22"/>
      <c r="BO8" s="6"/>
      <c r="BU8" s="6"/>
    </row>
    <row r="9" spans="1:74">
      <c r="A9" s="93"/>
      <c r="B9" s="17" t="s">
        <v>264</v>
      </c>
      <c r="C9"/>
      <c r="D9"/>
      <c r="E9"/>
      <c r="F9"/>
      <c r="G9"/>
      <c r="H9"/>
      <c r="I9"/>
      <c r="J9" s="49" t="s">
        <v>0</v>
      </c>
      <c r="K9"/>
      <c r="L9" s="134" t="s">
        <v>202</v>
      </c>
      <c r="M9" s="6"/>
      <c r="N9" s="6">
        <v>0</v>
      </c>
      <c r="O9" s="6"/>
      <c r="P9" s="6">
        <v>0</v>
      </c>
      <c r="Q9" s="6"/>
      <c r="R9" s="6">
        <v>85821500</v>
      </c>
      <c r="S9" s="6"/>
      <c r="T9" s="6">
        <v>16673400</v>
      </c>
      <c r="U9" s="6"/>
      <c r="V9" s="6">
        <v>43401650</v>
      </c>
      <c r="X9" s="6">
        <v>4291075</v>
      </c>
      <c r="Z9" s="6"/>
      <c r="AB9" s="6">
        <v>4291075</v>
      </c>
      <c r="AD9" s="6">
        <v>8617667</v>
      </c>
      <c r="AF9" s="6">
        <v>0</v>
      </c>
      <c r="AH9" s="6">
        <v>0</v>
      </c>
      <c r="AJ9" s="6">
        <v>318420.90000000002</v>
      </c>
      <c r="AL9" s="6">
        <v>0</v>
      </c>
      <c r="AN9" s="6">
        <v>0</v>
      </c>
      <c r="AP9" s="6">
        <v>39600</v>
      </c>
      <c r="AR9" s="6">
        <v>1077741.26</v>
      </c>
      <c r="AT9" s="6">
        <v>1077741.26</v>
      </c>
      <c r="AV9" s="6">
        <f>1077741.26*2</f>
        <v>2155482.52</v>
      </c>
      <c r="AX9" s="6">
        <v>0</v>
      </c>
      <c r="AZ9" s="6">
        <v>0</v>
      </c>
      <c r="BB9" s="6">
        <v>0</v>
      </c>
      <c r="BD9" s="6">
        <v>0</v>
      </c>
      <c r="BF9" s="6">
        <v>0</v>
      </c>
      <c r="BH9" s="6">
        <v>0</v>
      </c>
      <c r="BJ9" s="6">
        <v>0</v>
      </c>
      <c r="BK9" s="6"/>
      <c r="BL9" s="6">
        <f>SUM(T9:BK9)</f>
        <v>81943852.940000013</v>
      </c>
      <c r="BM9" s="6"/>
      <c r="BN9" s="6">
        <f>-100000+353801-22200+66200</f>
        <v>297801</v>
      </c>
      <c r="BO9" s="6"/>
      <c r="BP9" s="6">
        <f>IF(+R9-BL9+BN9&gt;0,R9-BL9+BN9,0)</f>
        <v>4175448.0599999875</v>
      </c>
      <c r="BR9" s="6">
        <f>+BL9+BP9</f>
        <v>86119301</v>
      </c>
      <c r="BT9" s="6">
        <f>+R9-BR9</f>
        <v>-297801</v>
      </c>
      <c r="BU9" s="6"/>
    </row>
    <row r="10" spans="1:74">
      <c r="A10" s="93"/>
      <c r="B10" s="17" t="s">
        <v>121</v>
      </c>
      <c r="C10"/>
      <c r="D10"/>
      <c r="E10"/>
      <c r="F10"/>
      <c r="G10"/>
      <c r="H10"/>
      <c r="I10"/>
      <c r="J10" s="49" t="s">
        <v>0</v>
      </c>
      <c r="K10"/>
      <c r="L10" s="134" t="s">
        <v>202</v>
      </c>
      <c r="M10" s="6"/>
      <c r="N10" s="6">
        <v>93330000</v>
      </c>
      <c r="O10" s="6"/>
      <c r="P10" s="6">
        <v>0</v>
      </c>
      <c r="Q10" s="6"/>
      <c r="R10" s="6">
        <v>100000</v>
      </c>
      <c r="S10" s="6"/>
      <c r="T10" s="6"/>
      <c r="U10" s="6"/>
      <c r="V10" s="6"/>
      <c r="X10" s="6"/>
      <c r="Z10" s="6"/>
      <c r="AB10" s="6"/>
      <c r="AD10" s="6"/>
      <c r="AF10" s="6">
        <v>0</v>
      </c>
      <c r="AH10" s="6">
        <v>0</v>
      </c>
      <c r="AJ10" s="6">
        <v>0</v>
      </c>
      <c r="AL10" s="6">
        <v>0</v>
      </c>
      <c r="AN10" s="6">
        <v>0</v>
      </c>
      <c r="AP10" s="6">
        <v>0</v>
      </c>
      <c r="AR10" s="6">
        <v>0</v>
      </c>
      <c r="AT10" s="6">
        <v>0</v>
      </c>
      <c r="AV10" s="6">
        <v>0</v>
      </c>
      <c r="AX10" s="6">
        <v>0</v>
      </c>
      <c r="AZ10" s="6">
        <v>0</v>
      </c>
      <c r="BB10" s="6">
        <v>0</v>
      </c>
      <c r="BD10" s="6">
        <v>0</v>
      </c>
      <c r="BF10" s="6">
        <v>0</v>
      </c>
      <c r="BH10" s="6">
        <v>0</v>
      </c>
      <c r="BJ10" s="6">
        <v>0</v>
      </c>
      <c r="BK10" s="6"/>
      <c r="BL10" s="6">
        <f>SUM(T10:BK10)</f>
        <v>0</v>
      </c>
      <c r="BM10" s="6"/>
      <c r="BN10" s="6">
        <v>0</v>
      </c>
      <c r="BO10" s="6"/>
      <c r="BP10" s="6">
        <f>IF(+R10-BL10+BN10&gt;0,R10-BL10+BN10,0)</f>
        <v>100000</v>
      </c>
      <c r="BR10" s="6">
        <f>+BL10+BP10</f>
        <v>100000</v>
      </c>
      <c r="BT10" s="6">
        <f>+R10-BR10</f>
        <v>0</v>
      </c>
      <c r="BU10" s="6"/>
    </row>
    <row r="11" spans="1:74">
      <c r="A11" s="93"/>
      <c r="B11" s="17"/>
      <c r="C11"/>
      <c r="D11"/>
      <c r="E11"/>
      <c r="F11"/>
      <c r="G11"/>
      <c r="H11"/>
      <c r="I11"/>
      <c r="J11" s="49"/>
      <c r="K11"/>
      <c r="L11" s="134"/>
      <c r="M11" s="6"/>
      <c r="N11" s="12"/>
      <c r="O11" s="6"/>
      <c r="P11" s="12"/>
      <c r="Q11" s="6"/>
      <c r="R11" s="12"/>
      <c r="S11" s="6"/>
      <c r="T11" s="12"/>
      <c r="U11" s="6"/>
      <c r="V11" s="12"/>
      <c r="X11" s="12"/>
      <c r="Z11" s="12"/>
      <c r="AB11" s="12"/>
      <c r="AD11" s="12"/>
      <c r="AF11" s="12"/>
      <c r="AH11" s="12"/>
      <c r="AJ11" s="12"/>
      <c r="AL11" s="12"/>
      <c r="AN11" s="12"/>
      <c r="AP11" s="12"/>
      <c r="AR11" s="12"/>
      <c r="AT11" s="12"/>
      <c r="AU11" s="12"/>
      <c r="AV11" s="12"/>
      <c r="AW11" s="12"/>
      <c r="AX11" s="12"/>
      <c r="AY11" s="12"/>
      <c r="AZ11" s="12"/>
      <c r="BA11" s="12"/>
      <c r="BB11" s="12"/>
      <c r="BC11" s="12"/>
      <c r="BD11" s="12"/>
      <c r="BE11" s="12"/>
      <c r="BF11" s="12"/>
      <c r="BG11" s="12"/>
      <c r="BH11" s="12"/>
      <c r="BI11" s="12"/>
      <c r="BJ11" s="12"/>
      <c r="BK11" s="6"/>
      <c r="BL11" s="12"/>
      <c r="BM11" s="6"/>
      <c r="BN11" s="12"/>
      <c r="BO11" s="6"/>
      <c r="BP11" s="12"/>
      <c r="BR11" s="12"/>
      <c r="BT11" s="6">
        <f>+R11-BR11</f>
        <v>0</v>
      </c>
      <c r="BU11" s="6"/>
    </row>
    <row r="12" spans="1:74">
      <c r="A12" s="93"/>
      <c r="B12" s="17" t="s">
        <v>195</v>
      </c>
      <c r="C12"/>
      <c r="D12"/>
      <c r="E12"/>
      <c r="F12"/>
      <c r="G12"/>
      <c r="H12"/>
      <c r="I12"/>
      <c r="J12" s="49"/>
      <c r="K12"/>
      <c r="L12" s="134"/>
      <c r="M12" s="6"/>
      <c r="N12" s="101">
        <f>SUM(N9:N11)</f>
        <v>93330000</v>
      </c>
      <c r="O12" s="6"/>
      <c r="P12" s="101">
        <f>SUM(P9:P11)</f>
        <v>0</v>
      </c>
      <c r="Q12" s="6"/>
      <c r="R12" s="101">
        <f>SUM(R9:R11)</f>
        <v>85921500</v>
      </c>
      <c r="S12" s="6"/>
      <c r="T12" s="101">
        <f>SUM(T9:T11)</f>
        <v>16673400</v>
      </c>
      <c r="U12" s="6"/>
      <c r="V12" s="101">
        <f>SUM(V9:V11)</f>
        <v>43401650</v>
      </c>
      <c r="X12" s="101">
        <f>SUM(X9:X11)</f>
        <v>4291075</v>
      </c>
      <c r="Z12" s="101">
        <f>SUM(Z9:Z11)</f>
        <v>0</v>
      </c>
      <c r="AB12" s="101">
        <f>SUM(AB9:AB11)</f>
        <v>4291075</v>
      </c>
      <c r="AD12" s="101">
        <f>SUM(AD9:AD11)</f>
        <v>8617667</v>
      </c>
      <c r="AF12" s="101">
        <f>SUM(AF9:AF11)</f>
        <v>0</v>
      </c>
      <c r="AH12" s="101">
        <f>SUM(AH9:AH11)</f>
        <v>0</v>
      </c>
      <c r="AJ12" s="101">
        <f>SUM(AJ9:AJ11)</f>
        <v>318420.90000000002</v>
      </c>
      <c r="AL12" s="101">
        <f>SUM(AL9:AL11)</f>
        <v>0</v>
      </c>
      <c r="AN12" s="101">
        <f>SUM(AN9:AN11)</f>
        <v>0</v>
      </c>
      <c r="AP12" s="101">
        <f>SUM(AP9:AP11)</f>
        <v>39600</v>
      </c>
      <c r="AR12" s="101">
        <f>SUM(AR9:AR11)</f>
        <v>1077741.26</v>
      </c>
      <c r="AT12" s="101">
        <f>SUM(AT9:AT11)</f>
        <v>1077741.26</v>
      </c>
      <c r="AU12" s="12"/>
      <c r="AV12" s="101">
        <f>SUM(AV9:AV11)</f>
        <v>2155482.52</v>
      </c>
      <c r="AW12" s="12"/>
      <c r="AX12" s="101">
        <f>SUM(AX9:AX11)</f>
        <v>0</v>
      </c>
      <c r="AY12" s="12"/>
      <c r="AZ12" s="101">
        <f>SUM(AZ9:AZ11)</f>
        <v>0</v>
      </c>
      <c r="BA12" s="12"/>
      <c r="BB12" s="101">
        <f>SUM(BB9:BB11)</f>
        <v>0</v>
      </c>
      <c r="BC12" s="12"/>
      <c r="BD12" s="101">
        <f>SUM(BD9:BD11)</f>
        <v>0</v>
      </c>
      <c r="BE12" s="12"/>
      <c r="BF12" s="101">
        <f>SUM(BF9:BF11)</f>
        <v>0</v>
      </c>
      <c r="BG12" s="12"/>
      <c r="BH12" s="101">
        <f>SUM(BH9:BH11)</f>
        <v>0</v>
      </c>
      <c r="BI12" s="12"/>
      <c r="BJ12" s="101">
        <f>SUM(BJ9:BJ11)</f>
        <v>0</v>
      </c>
      <c r="BK12" s="6"/>
      <c r="BL12" s="101">
        <f>SUM(BL9:BL11)</f>
        <v>81943852.940000013</v>
      </c>
      <c r="BM12" s="6"/>
      <c r="BN12" s="101">
        <f>SUM(BN9:BN11)</f>
        <v>297801</v>
      </c>
      <c r="BO12" s="6"/>
      <c r="BP12" s="101">
        <f>SUM(BP9:BP11)</f>
        <v>4275448.0599999875</v>
      </c>
      <c r="BR12" s="101">
        <f>SUM(BR9:BR11)</f>
        <v>86219301</v>
      </c>
      <c r="BT12" s="101">
        <f>SUM(BT9:BT11)</f>
        <v>-297801</v>
      </c>
      <c r="BU12" s="6"/>
    </row>
    <row r="13" spans="1:74">
      <c r="A13" s="93"/>
      <c r="B13" s="17"/>
      <c r="C13"/>
      <c r="D13"/>
      <c r="E13"/>
      <c r="F13"/>
      <c r="G13"/>
      <c r="H13"/>
      <c r="I13"/>
      <c r="J13" s="49"/>
      <c r="K13"/>
      <c r="L13" s="134"/>
      <c r="M13" s="6"/>
      <c r="O13" s="6"/>
      <c r="Q13" s="6"/>
      <c r="S13" s="6"/>
      <c r="T13" s="6"/>
      <c r="U13" s="6"/>
      <c r="V13" s="6"/>
      <c r="X13" s="6"/>
      <c r="Z13" s="6"/>
      <c r="AB13" s="6"/>
      <c r="AD13" s="6"/>
      <c r="BJ13" s="6"/>
      <c r="BK13" s="6"/>
      <c r="BM13" s="6"/>
      <c r="BN13" s="6"/>
      <c r="BO13" s="6"/>
      <c r="BU13" s="6"/>
    </row>
    <row r="14" spans="1:74" hidden="1">
      <c r="A14" s="93"/>
      <c r="B14" s="17" t="s">
        <v>26</v>
      </c>
      <c r="C14"/>
      <c r="D14"/>
      <c r="E14"/>
      <c r="F14"/>
      <c r="G14"/>
      <c r="H14"/>
      <c r="I14"/>
      <c r="J14" s="49"/>
      <c r="K14"/>
      <c r="L14" s="134" t="s">
        <v>202</v>
      </c>
      <c r="M14" s="6"/>
      <c r="N14" s="6">
        <v>0</v>
      </c>
      <c r="O14" s="6"/>
      <c r="P14" s="6">
        <v>0</v>
      </c>
      <c r="Q14" s="6"/>
      <c r="R14" s="6">
        <f>+N14+P14</f>
        <v>0</v>
      </c>
      <c r="S14" s="6"/>
      <c r="T14" s="6">
        <v>0</v>
      </c>
      <c r="U14" s="6"/>
      <c r="V14" s="6">
        <v>0</v>
      </c>
      <c r="X14" s="6">
        <v>0</v>
      </c>
      <c r="Z14" s="6">
        <v>0</v>
      </c>
      <c r="AB14" s="6">
        <v>0</v>
      </c>
      <c r="AD14" s="6">
        <v>0</v>
      </c>
      <c r="AF14" s="6">
        <v>0</v>
      </c>
      <c r="AH14" s="6">
        <v>0</v>
      </c>
      <c r="AJ14" s="6">
        <v>0</v>
      </c>
      <c r="AL14" s="6">
        <v>0</v>
      </c>
      <c r="AN14" s="6">
        <v>0</v>
      </c>
      <c r="AP14" s="6">
        <v>0</v>
      </c>
      <c r="AR14" s="6">
        <v>0</v>
      </c>
      <c r="AT14" s="6">
        <v>0</v>
      </c>
      <c r="AV14" s="6">
        <v>0</v>
      </c>
      <c r="AX14" s="6">
        <v>0</v>
      </c>
      <c r="AZ14" s="6">
        <v>0</v>
      </c>
      <c r="BB14" s="6">
        <v>0</v>
      </c>
      <c r="BD14" s="6">
        <v>0</v>
      </c>
      <c r="BF14" s="6">
        <v>0</v>
      </c>
      <c r="BH14" s="6">
        <v>0</v>
      </c>
      <c r="BJ14" s="6">
        <v>0</v>
      </c>
      <c r="BK14" s="6"/>
      <c r="BL14" s="6">
        <f>SUM(T14:BK14)</f>
        <v>0</v>
      </c>
      <c r="BM14" s="6"/>
      <c r="BN14" s="6">
        <v>0</v>
      </c>
      <c r="BO14" s="6"/>
      <c r="BP14" s="6">
        <f>+R14-BL14+BN14</f>
        <v>0</v>
      </c>
      <c r="BR14" s="6">
        <f t="shared" ref="BR14:BR31" si="0">+BL14+BP14</f>
        <v>0</v>
      </c>
      <c r="BT14" s="6">
        <f t="shared" ref="BT14:BT31" si="1">+R14-BR14</f>
        <v>0</v>
      </c>
      <c r="BU14" s="6"/>
    </row>
    <row r="15" spans="1:74">
      <c r="A15" s="57"/>
      <c r="B15" s="17" t="s">
        <v>221</v>
      </c>
      <c r="C15"/>
      <c r="D15"/>
      <c r="E15"/>
      <c r="F15"/>
      <c r="G15"/>
      <c r="H15"/>
      <c r="I15"/>
      <c r="J15" s="49" t="s">
        <v>0</v>
      </c>
      <c r="K15"/>
      <c r="L15" s="134" t="s">
        <v>202</v>
      </c>
      <c r="M15" s="6"/>
      <c r="N15" s="6">
        <v>0</v>
      </c>
      <c r="O15" s="6"/>
      <c r="P15" s="6">
        <v>0</v>
      </c>
      <c r="Q15" s="6"/>
      <c r="R15" s="6">
        <v>3949654</v>
      </c>
      <c r="S15" s="6"/>
      <c r="T15" s="6">
        <v>0</v>
      </c>
      <c r="U15" s="6"/>
      <c r="V15" s="6"/>
      <c r="X15" s="6">
        <v>0</v>
      </c>
      <c r="Z15" s="6">
        <v>0</v>
      </c>
      <c r="AB15" s="6">
        <v>0</v>
      </c>
      <c r="AD15" s="6">
        <v>0</v>
      </c>
      <c r="AF15" s="6">
        <v>0</v>
      </c>
      <c r="AH15" s="6">
        <v>197482.7</v>
      </c>
      <c r="AJ15" s="6">
        <v>0</v>
      </c>
      <c r="AL15" s="6">
        <v>935</v>
      </c>
      <c r="AN15" s="6">
        <v>595253.1</v>
      </c>
      <c r="AP15" s="6">
        <v>0</v>
      </c>
      <c r="AR15" s="6">
        <v>1190506.2</v>
      </c>
      <c r="AT15" s="6">
        <v>1190506.2</v>
      </c>
      <c r="AV15" s="6">
        <v>0</v>
      </c>
      <c r="AX15" s="6">
        <f>1587342-975006</f>
        <v>612336</v>
      </c>
      <c r="AZ15" s="6">
        <v>0</v>
      </c>
      <c r="BB15" s="6">
        <v>0</v>
      </c>
      <c r="BD15" s="6">
        <v>0</v>
      </c>
      <c r="BF15" s="6">
        <v>0</v>
      </c>
      <c r="BH15" s="6">
        <v>0</v>
      </c>
      <c r="BJ15" s="6">
        <v>0</v>
      </c>
      <c r="BK15" s="6"/>
      <c r="BL15" s="6">
        <f>SUM(T15:BK15)</f>
        <v>3787019.2</v>
      </c>
      <c r="BM15" s="6"/>
      <c r="BN15" s="6">
        <f>3968354-3949654+215500</f>
        <v>234200</v>
      </c>
      <c r="BO15" s="6"/>
      <c r="BP15" s="6">
        <f t="shared" ref="BP15:BP31" si="2">IF(+R15-BL15+BN15&gt;0,R15-BL15+BN15,0)</f>
        <v>396834.79999999981</v>
      </c>
      <c r="BR15" s="6">
        <f t="shared" si="0"/>
        <v>4183854</v>
      </c>
      <c r="BT15" s="6">
        <f t="shared" si="1"/>
        <v>-234200</v>
      </c>
      <c r="BU15" s="6"/>
    </row>
    <row r="16" spans="1:74">
      <c r="A16" s="57"/>
      <c r="B16" s="17" t="s">
        <v>281</v>
      </c>
      <c r="C16"/>
      <c r="D16"/>
      <c r="E16"/>
      <c r="F16"/>
      <c r="G16"/>
      <c r="H16"/>
      <c r="I16"/>
      <c r="J16" s="49"/>
      <c r="K16"/>
      <c r="L16" s="134"/>
      <c r="M16" s="6"/>
      <c r="O16" s="6"/>
      <c r="Q16" s="6"/>
      <c r="R16" s="6">
        <v>412400</v>
      </c>
      <c r="S16" s="6"/>
      <c r="T16" s="6"/>
      <c r="U16" s="6"/>
      <c r="V16" s="6"/>
      <c r="X16" s="6"/>
      <c r="Z16" s="6"/>
      <c r="AB16" s="6"/>
      <c r="AD16" s="6"/>
      <c r="AH16" s="6">
        <v>62400</v>
      </c>
      <c r="AJ16" s="6">
        <v>350000</v>
      </c>
      <c r="AN16" s="6">
        <v>59780</v>
      </c>
      <c r="BJ16" s="6"/>
      <c r="BK16" s="6"/>
      <c r="BL16" s="6">
        <f>SUM(T16:BK16)</f>
        <v>472180</v>
      </c>
      <c r="BM16" s="6"/>
      <c r="BN16" s="6">
        <v>59780</v>
      </c>
      <c r="BO16" s="6"/>
      <c r="BP16" s="6">
        <f t="shared" si="2"/>
        <v>0</v>
      </c>
      <c r="BR16" s="6">
        <f t="shared" si="0"/>
        <v>472180</v>
      </c>
      <c r="BT16" s="6">
        <f t="shared" si="1"/>
        <v>-59780</v>
      </c>
      <c r="BU16" s="6"/>
    </row>
    <row r="17" spans="1:73">
      <c r="A17" s="57"/>
      <c r="B17" s="17" t="s">
        <v>224</v>
      </c>
      <c r="C17"/>
      <c r="D17"/>
      <c r="E17"/>
      <c r="F17"/>
      <c r="G17"/>
      <c r="H17"/>
      <c r="I17"/>
      <c r="J17" s="49" t="s">
        <v>0</v>
      </c>
      <c r="K17"/>
      <c r="L17" s="134" t="s">
        <v>202</v>
      </c>
      <c r="M17" s="6"/>
      <c r="O17" s="6"/>
      <c r="Q17" s="6"/>
      <c r="S17" s="6"/>
      <c r="T17" s="6"/>
      <c r="U17" s="6"/>
      <c r="V17" s="6"/>
      <c r="X17" s="6"/>
      <c r="Z17" s="6"/>
      <c r="AB17" s="6"/>
      <c r="AD17" s="6"/>
      <c r="BJ17" s="6"/>
      <c r="BK17" s="6"/>
      <c r="BL17" s="6">
        <f t="shared" ref="BL17:BL30" si="3">SUM(T17:BK17)</f>
        <v>0</v>
      </c>
      <c r="BM17" s="6"/>
      <c r="BN17" s="6"/>
      <c r="BO17" s="6"/>
      <c r="BP17" s="6">
        <f t="shared" si="2"/>
        <v>0</v>
      </c>
      <c r="BR17" s="6">
        <f t="shared" si="0"/>
        <v>0</v>
      </c>
      <c r="BT17" s="6">
        <f t="shared" si="1"/>
        <v>0</v>
      </c>
      <c r="BU17" s="6"/>
    </row>
    <row r="18" spans="1:73">
      <c r="A18" s="57"/>
      <c r="B18" s="17" t="s">
        <v>225</v>
      </c>
      <c r="C18"/>
      <c r="D18"/>
      <c r="E18"/>
      <c r="F18"/>
      <c r="G18"/>
      <c r="H18"/>
      <c r="I18"/>
      <c r="J18" s="49" t="s">
        <v>0</v>
      </c>
      <c r="K18"/>
      <c r="L18" s="134" t="s">
        <v>202</v>
      </c>
      <c r="M18" s="6"/>
      <c r="O18" s="6"/>
      <c r="Q18" s="6"/>
      <c r="S18" s="6"/>
      <c r="T18" s="6"/>
      <c r="U18" s="6"/>
      <c r="V18" s="6"/>
      <c r="X18" s="6"/>
      <c r="Z18" s="6"/>
      <c r="AB18" s="6"/>
      <c r="AD18" s="6"/>
      <c r="BJ18" s="6"/>
      <c r="BK18" s="6"/>
      <c r="BL18" s="6">
        <f t="shared" si="3"/>
        <v>0</v>
      </c>
      <c r="BM18" s="6"/>
      <c r="BN18" s="6"/>
      <c r="BO18" s="6"/>
      <c r="BP18" s="6">
        <f t="shared" si="2"/>
        <v>0</v>
      </c>
      <c r="BR18" s="6">
        <f t="shared" si="0"/>
        <v>0</v>
      </c>
      <c r="BT18" s="6">
        <f t="shared" si="1"/>
        <v>0</v>
      </c>
      <c r="BU18" s="6"/>
    </row>
    <row r="19" spans="1:73">
      <c r="A19" s="57"/>
      <c r="B19" s="17" t="s">
        <v>222</v>
      </c>
      <c r="C19"/>
      <c r="D19"/>
      <c r="E19"/>
      <c r="F19"/>
      <c r="G19"/>
      <c r="H19"/>
      <c r="I19"/>
      <c r="J19" s="49" t="s">
        <v>0</v>
      </c>
      <c r="K19"/>
      <c r="L19" s="134" t="s">
        <v>202</v>
      </c>
      <c r="M19" s="6"/>
      <c r="O19" s="6"/>
      <c r="Q19" s="6"/>
      <c r="S19" s="6"/>
      <c r="T19" s="6"/>
      <c r="U19" s="6"/>
      <c r="V19" s="6"/>
      <c r="X19" s="6"/>
      <c r="Z19" s="6"/>
      <c r="AB19" s="6"/>
      <c r="AD19" s="6"/>
      <c r="BJ19" s="6"/>
      <c r="BK19" s="6"/>
      <c r="BL19" s="6">
        <f t="shared" si="3"/>
        <v>0</v>
      </c>
      <c r="BM19" s="6"/>
      <c r="BN19" s="6"/>
      <c r="BO19" s="6"/>
      <c r="BP19" s="6">
        <f t="shared" si="2"/>
        <v>0</v>
      </c>
      <c r="BR19" s="6">
        <f t="shared" si="0"/>
        <v>0</v>
      </c>
      <c r="BT19" s="6">
        <f t="shared" si="1"/>
        <v>0</v>
      </c>
      <c r="BU19" s="6"/>
    </row>
    <row r="20" spans="1:73">
      <c r="A20" s="57"/>
      <c r="B20" s="17" t="s">
        <v>223</v>
      </c>
      <c r="C20"/>
      <c r="D20"/>
      <c r="E20"/>
      <c r="F20"/>
      <c r="G20"/>
      <c r="H20"/>
      <c r="I20"/>
      <c r="J20" s="49" t="s">
        <v>0</v>
      </c>
      <c r="K20"/>
      <c r="L20" s="134" t="s">
        <v>202</v>
      </c>
      <c r="M20" s="6"/>
      <c r="O20" s="6"/>
      <c r="Q20" s="6"/>
      <c r="R20" s="6">
        <v>0</v>
      </c>
      <c r="S20" s="6"/>
      <c r="T20" s="6"/>
      <c r="U20" s="6"/>
      <c r="V20" s="6"/>
      <c r="X20" s="6"/>
      <c r="Z20" s="6"/>
      <c r="AB20" s="6"/>
      <c r="AD20" s="6"/>
      <c r="BJ20" s="6"/>
      <c r="BK20" s="6"/>
      <c r="BL20" s="6">
        <f t="shared" si="3"/>
        <v>0</v>
      </c>
      <c r="BM20" s="6"/>
      <c r="BN20" s="6"/>
      <c r="BO20" s="6"/>
      <c r="BP20" s="6">
        <f t="shared" si="2"/>
        <v>0</v>
      </c>
      <c r="BR20" s="6">
        <f t="shared" si="0"/>
        <v>0</v>
      </c>
      <c r="BT20" s="6">
        <f t="shared" si="1"/>
        <v>0</v>
      </c>
      <c r="BU20" s="6"/>
    </row>
    <row r="21" spans="1:73" hidden="1">
      <c r="A21" s="57"/>
      <c r="B21" s="17"/>
      <c r="C21"/>
      <c r="D21"/>
      <c r="E21"/>
      <c r="F21"/>
      <c r="G21"/>
      <c r="H21"/>
      <c r="I21"/>
      <c r="J21" s="49" t="s">
        <v>0</v>
      </c>
      <c r="K21"/>
      <c r="L21" s="134"/>
      <c r="M21" s="6"/>
      <c r="O21" s="6"/>
      <c r="Q21" s="6"/>
      <c r="S21" s="6"/>
      <c r="T21" s="6"/>
      <c r="U21" s="6"/>
      <c r="V21" s="6"/>
      <c r="X21" s="6"/>
      <c r="Z21" s="6"/>
      <c r="AB21" s="6"/>
      <c r="AD21" s="6"/>
      <c r="BJ21" s="6"/>
      <c r="BK21" s="6"/>
      <c r="BL21" s="6">
        <f t="shared" si="3"/>
        <v>0</v>
      </c>
      <c r="BM21" s="6"/>
      <c r="BN21" s="6"/>
      <c r="BO21" s="6"/>
      <c r="BP21" s="6">
        <f t="shared" si="2"/>
        <v>0</v>
      </c>
      <c r="BR21" s="6">
        <f t="shared" si="0"/>
        <v>0</v>
      </c>
      <c r="BT21" s="6">
        <f t="shared" si="1"/>
        <v>0</v>
      </c>
      <c r="BU21" s="6"/>
    </row>
    <row r="22" spans="1:73" hidden="1">
      <c r="A22" s="57"/>
      <c r="B22" s="17" t="s">
        <v>7</v>
      </c>
      <c r="C22"/>
      <c r="D22"/>
      <c r="E22"/>
      <c r="F22"/>
      <c r="G22"/>
      <c r="H22"/>
      <c r="I22"/>
      <c r="J22" s="49" t="s">
        <v>0</v>
      </c>
      <c r="K22"/>
      <c r="L22" s="134" t="s">
        <v>202</v>
      </c>
      <c r="M22" s="6"/>
      <c r="N22" s="6">
        <v>0</v>
      </c>
      <c r="O22" s="6"/>
      <c r="P22" s="6">
        <v>0</v>
      </c>
      <c r="Q22" s="6"/>
      <c r="R22" s="6">
        <f t="shared" ref="R22:R29" si="4">+N22+P22</f>
        <v>0</v>
      </c>
      <c r="S22" s="6"/>
      <c r="T22" s="6">
        <v>0</v>
      </c>
      <c r="U22" s="6"/>
      <c r="V22" s="6">
        <v>0</v>
      </c>
      <c r="X22" s="6">
        <v>0</v>
      </c>
      <c r="Z22" s="6">
        <v>0</v>
      </c>
      <c r="AB22" s="6">
        <v>0</v>
      </c>
      <c r="AD22" s="6">
        <v>0</v>
      </c>
      <c r="AF22" s="6">
        <v>0</v>
      </c>
      <c r="AH22" s="6">
        <v>0</v>
      </c>
      <c r="AJ22" s="6">
        <v>0</v>
      </c>
      <c r="AL22" s="6">
        <v>0</v>
      </c>
      <c r="AN22" s="6">
        <v>0</v>
      </c>
      <c r="AP22" s="6">
        <v>0</v>
      </c>
      <c r="AR22" s="6">
        <v>0</v>
      </c>
      <c r="AT22" s="6">
        <v>0</v>
      </c>
      <c r="AV22" s="6">
        <v>0</v>
      </c>
      <c r="AX22" s="6">
        <v>0</v>
      </c>
      <c r="AZ22" s="6">
        <v>0</v>
      </c>
      <c r="BB22" s="6">
        <v>0</v>
      </c>
      <c r="BD22" s="6">
        <v>0</v>
      </c>
      <c r="BF22" s="6">
        <v>0</v>
      </c>
      <c r="BH22" s="6">
        <v>0</v>
      </c>
      <c r="BJ22" s="6">
        <v>0</v>
      </c>
      <c r="BK22" s="6"/>
      <c r="BL22" s="6">
        <f t="shared" si="3"/>
        <v>0</v>
      </c>
      <c r="BM22" s="6"/>
      <c r="BN22" s="6">
        <v>0</v>
      </c>
      <c r="BO22" s="6"/>
      <c r="BP22" s="6">
        <f t="shared" si="2"/>
        <v>0</v>
      </c>
      <c r="BR22" s="6">
        <f t="shared" si="0"/>
        <v>0</v>
      </c>
      <c r="BT22" s="6">
        <f t="shared" si="1"/>
        <v>0</v>
      </c>
      <c r="BU22" s="6"/>
    </row>
    <row r="23" spans="1:73" hidden="1">
      <c r="A23" s="57"/>
      <c r="B23" s="17" t="s">
        <v>8</v>
      </c>
      <c r="C23"/>
      <c r="D23"/>
      <c r="E23"/>
      <c r="F23"/>
      <c r="G23"/>
      <c r="H23"/>
      <c r="I23"/>
      <c r="J23" s="49" t="s">
        <v>0</v>
      </c>
      <c r="K23"/>
      <c r="L23" s="134" t="s">
        <v>202</v>
      </c>
      <c r="M23" s="6"/>
      <c r="N23" s="6">
        <v>0</v>
      </c>
      <c r="O23" s="6"/>
      <c r="P23" s="6">
        <v>0</v>
      </c>
      <c r="Q23" s="6"/>
      <c r="R23" s="6">
        <f t="shared" si="4"/>
        <v>0</v>
      </c>
      <c r="S23" s="6"/>
      <c r="T23" s="6">
        <v>0</v>
      </c>
      <c r="U23" s="6"/>
      <c r="V23" s="6">
        <v>0</v>
      </c>
      <c r="X23" s="6">
        <v>0</v>
      </c>
      <c r="Z23" s="6">
        <v>0</v>
      </c>
      <c r="AB23" s="6">
        <v>0</v>
      </c>
      <c r="AD23" s="6">
        <v>0</v>
      </c>
      <c r="AF23" s="6">
        <v>0</v>
      </c>
      <c r="AH23" s="6">
        <v>0</v>
      </c>
      <c r="AJ23" s="6">
        <v>0</v>
      </c>
      <c r="AL23" s="6">
        <v>0</v>
      </c>
      <c r="AN23" s="6">
        <v>0</v>
      </c>
      <c r="AP23" s="6">
        <v>0</v>
      </c>
      <c r="AR23" s="6">
        <v>0</v>
      </c>
      <c r="AT23" s="6">
        <v>0</v>
      </c>
      <c r="AV23" s="6">
        <v>0</v>
      </c>
      <c r="AX23" s="6">
        <v>0</v>
      </c>
      <c r="AZ23" s="6">
        <v>0</v>
      </c>
      <c r="BB23" s="6">
        <v>0</v>
      </c>
      <c r="BD23" s="6">
        <v>0</v>
      </c>
      <c r="BF23" s="6">
        <v>0</v>
      </c>
      <c r="BH23" s="6">
        <v>0</v>
      </c>
      <c r="BJ23" s="6">
        <v>0</v>
      </c>
      <c r="BK23" s="6"/>
      <c r="BL23" s="6">
        <f t="shared" si="3"/>
        <v>0</v>
      </c>
      <c r="BM23" s="6"/>
      <c r="BN23" s="6">
        <v>0</v>
      </c>
      <c r="BO23" s="6"/>
      <c r="BP23" s="6">
        <f t="shared" si="2"/>
        <v>0</v>
      </c>
      <c r="BR23" s="6">
        <f t="shared" si="0"/>
        <v>0</v>
      </c>
      <c r="BT23" s="6">
        <f t="shared" si="1"/>
        <v>0</v>
      </c>
      <c r="BU23" s="6"/>
    </row>
    <row r="24" spans="1:73" hidden="1">
      <c r="A24" s="57"/>
      <c r="B24" s="17" t="s">
        <v>9</v>
      </c>
      <c r="C24"/>
      <c r="D24"/>
      <c r="E24"/>
      <c r="F24"/>
      <c r="G24"/>
      <c r="H24"/>
      <c r="I24"/>
      <c r="J24" s="49" t="s">
        <v>0</v>
      </c>
      <c r="K24"/>
      <c r="L24" s="134" t="s">
        <v>202</v>
      </c>
      <c r="M24" s="6"/>
      <c r="N24" s="6">
        <v>0</v>
      </c>
      <c r="O24" s="6"/>
      <c r="P24" s="6">
        <v>0</v>
      </c>
      <c r="Q24" s="6"/>
      <c r="R24" s="6">
        <f t="shared" si="4"/>
        <v>0</v>
      </c>
      <c r="S24" s="6"/>
      <c r="T24" s="6">
        <v>0</v>
      </c>
      <c r="U24" s="6"/>
      <c r="V24" s="6">
        <v>0</v>
      </c>
      <c r="X24" s="6">
        <v>0</v>
      </c>
      <c r="Z24" s="6">
        <v>0</v>
      </c>
      <c r="AB24" s="6">
        <v>0</v>
      </c>
      <c r="AD24" s="6">
        <v>0</v>
      </c>
      <c r="AF24" s="6">
        <v>0</v>
      </c>
      <c r="AH24" s="6">
        <v>0</v>
      </c>
      <c r="AJ24" s="6">
        <v>0</v>
      </c>
      <c r="AL24" s="6">
        <v>0</v>
      </c>
      <c r="AN24" s="6">
        <v>0</v>
      </c>
      <c r="AP24" s="6">
        <v>0</v>
      </c>
      <c r="AR24" s="6">
        <v>0</v>
      </c>
      <c r="AT24" s="6">
        <v>0</v>
      </c>
      <c r="AV24" s="6">
        <v>0</v>
      </c>
      <c r="AX24" s="6">
        <v>0</v>
      </c>
      <c r="AZ24" s="6">
        <v>0</v>
      </c>
      <c r="BB24" s="6">
        <v>0</v>
      </c>
      <c r="BD24" s="6">
        <v>0</v>
      </c>
      <c r="BF24" s="6">
        <v>0</v>
      </c>
      <c r="BH24" s="6">
        <v>0</v>
      </c>
      <c r="BJ24" s="6">
        <v>0</v>
      </c>
      <c r="BK24" s="6"/>
      <c r="BL24" s="6">
        <f t="shared" si="3"/>
        <v>0</v>
      </c>
      <c r="BM24" s="6"/>
      <c r="BN24" s="6">
        <v>0</v>
      </c>
      <c r="BO24" s="6"/>
      <c r="BP24" s="6">
        <f t="shared" si="2"/>
        <v>0</v>
      </c>
      <c r="BR24" s="6">
        <f t="shared" si="0"/>
        <v>0</v>
      </c>
      <c r="BT24" s="6">
        <f t="shared" si="1"/>
        <v>0</v>
      </c>
      <c r="BU24" s="6"/>
    </row>
    <row r="25" spans="1:73" hidden="1">
      <c r="A25" s="57"/>
      <c r="B25" s="17" t="s">
        <v>10</v>
      </c>
      <c r="C25"/>
      <c r="D25"/>
      <c r="E25"/>
      <c r="F25"/>
      <c r="G25"/>
      <c r="H25"/>
      <c r="I25"/>
      <c r="J25" s="49" t="s">
        <v>0</v>
      </c>
      <c r="K25"/>
      <c r="L25" s="134" t="s">
        <v>202</v>
      </c>
      <c r="M25" s="6"/>
      <c r="N25" s="6">
        <v>0</v>
      </c>
      <c r="O25" s="6"/>
      <c r="P25" s="6">
        <v>0</v>
      </c>
      <c r="Q25" s="6"/>
      <c r="R25" s="6">
        <f t="shared" si="4"/>
        <v>0</v>
      </c>
      <c r="S25" s="6"/>
      <c r="T25" s="6">
        <v>0</v>
      </c>
      <c r="U25" s="6"/>
      <c r="V25" s="6">
        <v>0</v>
      </c>
      <c r="X25" s="6">
        <v>0</v>
      </c>
      <c r="Z25" s="6">
        <v>0</v>
      </c>
      <c r="AB25" s="6">
        <v>0</v>
      </c>
      <c r="AD25" s="6">
        <v>0</v>
      </c>
      <c r="AF25" s="6">
        <v>0</v>
      </c>
      <c r="AH25" s="6">
        <v>0</v>
      </c>
      <c r="AJ25" s="6">
        <v>0</v>
      </c>
      <c r="AL25" s="6">
        <v>0</v>
      </c>
      <c r="AN25" s="6">
        <v>0</v>
      </c>
      <c r="AP25" s="6">
        <v>0</v>
      </c>
      <c r="AR25" s="6">
        <v>0</v>
      </c>
      <c r="AT25" s="6">
        <v>0</v>
      </c>
      <c r="AV25" s="6">
        <v>0</v>
      </c>
      <c r="AX25" s="6">
        <v>0</v>
      </c>
      <c r="AZ25" s="6">
        <v>0</v>
      </c>
      <c r="BB25" s="6">
        <v>0</v>
      </c>
      <c r="BD25" s="6">
        <v>0</v>
      </c>
      <c r="BF25" s="6">
        <v>0</v>
      </c>
      <c r="BH25" s="6">
        <v>0</v>
      </c>
      <c r="BJ25" s="6">
        <v>0</v>
      </c>
      <c r="BK25" s="6"/>
      <c r="BL25" s="6">
        <f t="shared" si="3"/>
        <v>0</v>
      </c>
      <c r="BM25" s="6"/>
      <c r="BN25" s="6">
        <v>0</v>
      </c>
      <c r="BO25" s="6"/>
      <c r="BP25" s="6">
        <f t="shared" si="2"/>
        <v>0</v>
      </c>
      <c r="BR25" s="6">
        <f t="shared" si="0"/>
        <v>0</v>
      </c>
      <c r="BT25" s="6">
        <f t="shared" si="1"/>
        <v>0</v>
      </c>
      <c r="BU25" s="6"/>
    </row>
    <row r="26" spans="1:73" hidden="1">
      <c r="A26" s="57"/>
      <c r="B26" s="17" t="s">
        <v>11</v>
      </c>
      <c r="C26"/>
      <c r="D26"/>
      <c r="E26"/>
      <c r="F26"/>
      <c r="G26"/>
      <c r="H26"/>
      <c r="I26"/>
      <c r="J26" s="49" t="s">
        <v>0</v>
      </c>
      <c r="K26"/>
      <c r="L26" s="134" t="s">
        <v>202</v>
      </c>
      <c r="M26" s="6"/>
      <c r="N26" s="6">
        <v>0</v>
      </c>
      <c r="O26" s="6"/>
      <c r="P26" s="6">
        <v>0</v>
      </c>
      <c r="Q26" s="6"/>
      <c r="R26" s="6">
        <f t="shared" si="4"/>
        <v>0</v>
      </c>
      <c r="S26" s="6"/>
      <c r="T26" s="6">
        <v>0</v>
      </c>
      <c r="U26" s="6"/>
      <c r="V26" s="6">
        <v>0</v>
      </c>
      <c r="X26" s="6">
        <v>0</v>
      </c>
      <c r="Z26" s="6">
        <v>0</v>
      </c>
      <c r="AB26" s="6">
        <v>0</v>
      </c>
      <c r="AD26" s="6">
        <v>0</v>
      </c>
      <c r="AF26" s="6">
        <v>0</v>
      </c>
      <c r="AH26" s="6">
        <v>0</v>
      </c>
      <c r="AJ26" s="6">
        <v>0</v>
      </c>
      <c r="AL26" s="6">
        <v>0</v>
      </c>
      <c r="AN26" s="6">
        <v>0</v>
      </c>
      <c r="AP26" s="6">
        <v>0</v>
      </c>
      <c r="AR26" s="6">
        <v>0</v>
      </c>
      <c r="AT26" s="6">
        <v>0</v>
      </c>
      <c r="AV26" s="6">
        <v>0</v>
      </c>
      <c r="AX26" s="6">
        <v>0</v>
      </c>
      <c r="AZ26" s="6">
        <v>0</v>
      </c>
      <c r="BB26" s="6">
        <v>0</v>
      </c>
      <c r="BD26" s="6">
        <v>0</v>
      </c>
      <c r="BF26" s="6">
        <v>0</v>
      </c>
      <c r="BH26" s="6">
        <v>0</v>
      </c>
      <c r="BJ26" s="6">
        <v>0</v>
      </c>
      <c r="BK26" s="6"/>
      <c r="BL26" s="6">
        <f t="shared" si="3"/>
        <v>0</v>
      </c>
      <c r="BM26" s="6"/>
      <c r="BN26" s="6">
        <v>0</v>
      </c>
      <c r="BO26" s="6"/>
      <c r="BP26" s="6">
        <f t="shared" si="2"/>
        <v>0</v>
      </c>
      <c r="BR26" s="6">
        <f t="shared" si="0"/>
        <v>0</v>
      </c>
      <c r="BT26" s="6">
        <f t="shared" si="1"/>
        <v>0</v>
      </c>
      <c r="BU26" s="6"/>
    </row>
    <row r="27" spans="1:73" hidden="1">
      <c r="A27" s="59"/>
      <c r="B27" s="17" t="s">
        <v>12</v>
      </c>
      <c r="C27"/>
      <c r="D27"/>
      <c r="E27"/>
      <c r="F27"/>
      <c r="G27"/>
      <c r="H27"/>
      <c r="I27"/>
      <c r="J27" s="49" t="s">
        <v>0</v>
      </c>
      <c r="K27"/>
      <c r="L27" s="134" t="s">
        <v>202</v>
      </c>
      <c r="M27" s="6"/>
      <c r="N27" s="6">
        <v>0</v>
      </c>
      <c r="O27" s="6"/>
      <c r="P27" s="6">
        <v>0</v>
      </c>
      <c r="Q27" s="6"/>
      <c r="R27" s="6">
        <f t="shared" si="4"/>
        <v>0</v>
      </c>
      <c r="S27" s="6"/>
      <c r="T27" s="6">
        <v>0</v>
      </c>
      <c r="U27" s="6"/>
      <c r="V27" s="6">
        <v>0</v>
      </c>
      <c r="X27" s="6">
        <v>0</v>
      </c>
      <c r="Z27" s="6">
        <v>0</v>
      </c>
      <c r="AB27" s="6">
        <v>0</v>
      </c>
      <c r="AD27" s="6">
        <v>0</v>
      </c>
      <c r="AF27" s="6">
        <v>0</v>
      </c>
      <c r="AH27" s="6">
        <v>0</v>
      </c>
      <c r="AJ27" s="6">
        <v>0</v>
      </c>
      <c r="AL27" s="6">
        <v>0</v>
      </c>
      <c r="AN27" s="6">
        <v>0</v>
      </c>
      <c r="AP27" s="6">
        <v>0</v>
      </c>
      <c r="AR27" s="6">
        <v>0</v>
      </c>
      <c r="AT27" s="6">
        <v>0</v>
      </c>
      <c r="AV27" s="6">
        <v>0</v>
      </c>
      <c r="AX27" s="6">
        <v>0</v>
      </c>
      <c r="AZ27" s="6">
        <v>0</v>
      </c>
      <c r="BB27" s="6">
        <v>0</v>
      </c>
      <c r="BD27" s="6">
        <v>0</v>
      </c>
      <c r="BF27" s="6">
        <v>0</v>
      </c>
      <c r="BH27" s="6">
        <v>0</v>
      </c>
      <c r="BJ27" s="6">
        <v>0</v>
      </c>
      <c r="BK27" s="6"/>
      <c r="BL27" s="6">
        <f t="shared" si="3"/>
        <v>0</v>
      </c>
      <c r="BM27" s="6"/>
      <c r="BN27" s="6">
        <v>0</v>
      </c>
      <c r="BO27" s="6"/>
      <c r="BP27" s="6">
        <f t="shared" si="2"/>
        <v>0</v>
      </c>
      <c r="BR27" s="6">
        <f t="shared" si="0"/>
        <v>0</v>
      </c>
      <c r="BT27" s="6">
        <f t="shared" si="1"/>
        <v>0</v>
      </c>
      <c r="BU27" s="6"/>
    </row>
    <row r="28" spans="1:73" hidden="1">
      <c r="A28" s="59"/>
      <c r="B28" s="17" t="s">
        <v>13</v>
      </c>
      <c r="C28"/>
      <c r="D28"/>
      <c r="E28"/>
      <c r="F28"/>
      <c r="G28"/>
      <c r="H28"/>
      <c r="I28"/>
      <c r="J28" s="49" t="s">
        <v>0</v>
      </c>
      <c r="K28"/>
      <c r="L28" s="134" t="s">
        <v>202</v>
      </c>
      <c r="M28" s="6"/>
      <c r="N28" s="6">
        <v>0</v>
      </c>
      <c r="O28" s="6"/>
      <c r="P28" s="6">
        <v>0</v>
      </c>
      <c r="Q28" s="6"/>
      <c r="R28" s="6">
        <f t="shared" si="4"/>
        <v>0</v>
      </c>
      <c r="S28" s="6"/>
      <c r="T28" s="6">
        <v>0</v>
      </c>
      <c r="U28" s="6"/>
      <c r="V28" s="6">
        <v>0</v>
      </c>
      <c r="X28" s="6">
        <v>0</v>
      </c>
      <c r="Z28" s="6">
        <v>0</v>
      </c>
      <c r="AB28" s="6">
        <v>0</v>
      </c>
      <c r="AD28" s="6">
        <v>0</v>
      </c>
      <c r="AF28" s="6">
        <v>0</v>
      </c>
      <c r="AH28" s="6">
        <v>0</v>
      </c>
      <c r="AJ28" s="6">
        <v>0</v>
      </c>
      <c r="AL28" s="6">
        <v>0</v>
      </c>
      <c r="AN28" s="6">
        <v>0</v>
      </c>
      <c r="AP28" s="6">
        <v>0</v>
      </c>
      <c r="AR28" s="6">
        <v>0</v>
      </c>
      <c r="AT28" s="6">
        <v>0</v>
      </c>
      <c r="AV28" s="6">
        <v>0</v>
      </c>
      <c r="AX28" s="6">
        <v>0</v>
      </c>
      <c r="AZ28" s="6">
        <v>0</v>
      </c>
      <c r="BB28" s="6">
        <v>0</v>
      </c>
      <c r="BD28" s="6">
        <v>0</v>
      </c>
      <c r="BF28" s="6">
        <v>0</v>
      </c>
      <c r="BH28" s="6">
        <v>0</v>
      </c>
      <c r="BJ28" s="6">
        <v>0</v>
      </c>
      <c r="BK28" s="6"/>
      <c r="BL28" s="6">
        <f t="shared" si="3"/>
        <v>0</v>
      </c>
      <c r="BM28" s="6"/>
      <c r="BN28" s="6">
        <v>0</v>
      </c>
      <c r="BO28" s="6"/>
      <c r="BP28" s="6">
        <f t="shared" si="2"/>
        <v>0</v>
      </c>
      <c r="BR28" s="6">
        <f t="shared" si="0"/>
        <v>0</v>
      </c>
      <c r="BT28" s="6">
        <f t="shared" si="1"/>
        <v>0</v>
      </c>
      <c r="BU28" s="6"/>
    </row>
    <row r="29" spans="1:73" s="11" customFormat="1" hidden="1">
      <c r="A29" s="100"/>
      <c r="B29" s="17" t="s">
        <v>14</v>
      </c>
      <c r="C29" s="30"/>
      <c r="D29" s="30"/>
      <c r="E29" s="30"/>
      <c r="F29" s="30"/>
      <c r="G29" s="30"/>
      <c r="H29" s="30"/>
      <c r="I29" s="30"/>
      <c r="J29" s="49" t="s">
        <v>0</v>
      </c>
      <c r="K29" s="30"/>
      <c r="L29" s="134" t="s">
        <v>202</v>
      </c>
      <c r="M29" s="12"/>
      <c r="N29" s="12">
        <v>0</v>
      </c>
      <c r="O29" s="12"/>
      <c r="P29" s="12">
        <v>0</v>
      </c>
      <c r="Q29" s="12"/>
      <c r="R29" s="6">
        <f t="shared" si="4"/>
        <v>0</v>
      </c>
      <c r="S29" s="12"/>
      <c r="T29" s="12">
        <v>0</v>
      </c>
      <c r="U29" s="12"/>
      <c r="V29" s="12">
        <v>0</v>
      </c>
      <c r="W29" s="12"/>
      <c r="X29" s="12">
        <v>0</v>
      </c>
      <c r="Y29" s="12"/>
      <c r="Z29" s="12">
        <v>0</v>
      </c>
      <c r="AA29" s="12"/>
      <c r="AB29" s="12">
        <v>0</v>
      </c>
      <c r="AC29" s="12"/>
      <c r="AD29" s="12">
        <v>0</v>
      </c>
      <c r="AE29" s="12"/>
      <c r="AF29" s="12">
        <v>0</v>
      </c>
      <c r="AG29" s="12"/>
      <c r="AH29" s="12">
        <v>0</v>
      </c>
      <c r="AI29" s="12"/>
      <c r="AJ29" s="12">
        <v>0</v>
      </c>
      <c r="AK29" s="12"/>
      <c r="AL29" s="12">
        <v>0</v>
      </c>
      <c r="AM29" s="12"/>
      <c r="AN29" s="12">
        <v>0</v>
      </c>
      <c r="AO29" s="12"/>
      <c r="AP29" s="12">
        <v>0</v>
      </c>
      <c r="AQ29" s="12"/>
      <c r="AR29" s="12">
        <v>0</v>
      </c>
      <c r="AS29" s="12"/>
      <c r="AT29" s="12">
        <v>0</v>
      </c>
      <c r="AU29" s="12"/>
      <c r="AV29" s="12">
        <v>0</v>
      </c>
      <c r="AW29" s="12"/>
      <c r="AX29" s="12">
        <v>0</v>
      </c>
      <c r="AY29" s="12"/>
      <c r="AZ29" s="12">
        <v>0</v>
      </c>
      <c r="BA29" s="12"/>
      <c r="BB29" s="12">
        <v>0</v>
      </c>
      <c r="BC29" s="12"/>
      <c r="BD29" s="12">
        <v>0</v>
      </c>
      <c r="BE29" s="12"/>
      <c r="BF29" s="12">
        <v>0</v>
      </c>
      <c r="BG29" s="12"/>
      <c r="BH29" s="12">
        <v>0</v>
      </c>
      <c r="BI29" s="12"/>
      <c r="BJ29" s="12">
        <v>0</v>
      </c>
      <c r="BK29" s="12"/>
      <c r="BL29" s="6">
        <f t="shared" si="3"/>
        <v>0</v>
      </c>
      <c r="BM29" s="12"/>
      <c r="BN29" s="12">
        <v>0</v>
      </c>
      <c r="BO29" s="12"/>
      <c r="BP29" s="6">
        <f t="shared" si="2"/>
        <v>0</v>
      </c>
      <c r="BQ29" s="12"/>
      <c r="BR29" s="6">
        <f t="shared" si="0"/>
        <v>0</v>
      </c>
      <c r="BS29" s="12"/>
      <c r="BT29" s="6">
        <f t="shared" si="1"/>
        <v>0</v>
      </c>
      <c r="BU29" s="12"/>
    </row>
    <row r="30" spans="1:73">
      <c r="A30" s="57"/>
      <c r="B30" s="17" t="s">
        <v>121</v>
      </c>
      <c r="C30"/>
      <c r="D30"/>
      <c r="E30"/>
      <c r="F30"/>
      <c r="G30"/>
      <c r="H30"/>
      <c r="I30"/>
      <c r="J30" s="49" t="s">
        <v>0</v>
      </c>
      <c r="K30"/>
      <c r="L30" s="134" t="s">
        <v>202</v>
      </c>
      <c r="M30" s="6"/>
      <c r="N30" s="12">
        <v>0</v>
      </c>
      <c r="O30" s="6"/>
      <c r="P30" s="12">
        <v>0</v>
      </c>
      <c r="Q30" s="6"/>
      <c r="R30" s="6">
        <v>0</v>
      </c>
      <c r="S30" s="6"/>
      <c r="T30" s="12">
        <v>0</v>
      </c>
      <c r="U30" s="12"/>
      <c r="V30" s="12">
        <v>0</v>
      </c>
      <c r="W30" s="12"/>
      <c r="X30" s="12">
        <v>0</v>
      </c>
      <c r="Y30" s="12"/>
      <c r="Z30" s="12">
        <v>0</v>
      </c>
      <c r="AA30" s="12"/>
      <c r="AB30" s="12">
        <v>0</v>
      </c>
      <c r="AC30" s="12"/>
      <c r="AD30" s="12"/>
      <c r="AE30" s="12"/>
      <c r="AF30" s="12">
        <v>0</v>
      </c>
      <c r="AG30" s="12"/>
      <c r="AH30" s="12">
        <v>0</v>
      </c>
      <c r="AI30" s="12"/>
      <c r="AJ30" s="12">
        <v>0</v>
      </c>
      <c r="AK30" s="12"/>
      <c r="AL30" s="12">
        <v>0</v>
      </c>
      <c r="AM30" s="12"/>
      <c r="AN30" s="12">
        <v>0</v>
      </c>
      <c r="AO30" s="12"/>
      <c r="AP30" s="12">
        <v>0</v>
      </c>
      <c r="AQ30" s="12"/>
      <c r="AR30" s="12">
        <v>0</v>
      </c>
      <c r="AS30" s="12"/>
      <c r="AT30" s="12">
        <v>0</v>
      </c>
      <c r="AU30" s="12"/>
      <c r="AV30" s="12">
        <v>0</v>
      </c>
      <c r="AW30" s="12"/>
      <c r="AX30" s="12">
        <v>0</v>
      </c>
      <c r="AY30" s="12"/>
      <c r="AZ30" s="12">
        <v>0</v>
      </c>
      <c r="BA30" s="12"/>
      <c r="BB30" s="12">
        <v>0</v>
      </c>
      <c r="BC30" s="12"/>
      <c r="BD30" s="12">
        <v>0</v>
      </c>
      <c r="BE30" s="12"/>
      <c r="BF30" s="12">
        <v>0</v>
      </c>
      <c r="BG30" s="12"/>
      <c r="BH30" s="12">
        <v>0</v>
      </c>
      <c r="BI30" s="12"/>
      <c r="BJ30" s="12">
        <v>0</v>
      </c>
      <c r="BK30" s="6"/>
      <c r="BL30" s="6">
        <f t="shared" si="3"/>
        <v>0</v>
      </c>
      <c r="BM30" s="6"/>
      <c r="BN30" s="12">
        <v>0</v>
      </c>
      <c r="BO30" s="6"/>
      <c r="BP30" s="6">
        <f t="shared" si="2"/>
        <v>0</v>
      </c>
      <c r="BR30" s="6">
        <f t="shared" si="0"/>
        <v>0</v>
      </c>
      <c r="BT30" s="6">
        <f t="shared" si="1"/>
        <v>0</v>
      </c>
      <c r="BU30" s="12"/>
    </row>
    <row r="31" spans="1:73">
      <c r="A31" s="57"/>
      <c r="B31" s="17"/>
      <c r="C31"/>
      <c r="D31"/>
      <c r="E31"/>
      <c r="F31"/>
      <c r="G31"/>
      <c r="H31"/>
      <c r="I31"/>
      <c r="J31" s="49"/>
      <c r="K31"/>
      <c r="L31" s="134"/>
      <c r="M31" s="6"/>
      <c r="N31" s="12"/>
      <c r="O31" s="6"/>
      <c r="P31" s="12"/>
      <c r="Q31" s="6"/>
      <c r="R31" s="12"/>
      <c r="S31" s="6"/>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6"/>
      <c r="BL31" s="12"/>
      <c r="BM31" s="6"/>
      <c r="BN31" s="12"/>
      <c r="BO31" s="6"/>
      <c r="BP31" s="6">
        <f t="shared" si="2"/>
        <v>0</v>
      </c>
      <c r="BR31" s="6">
        <f t="shared" si="0"/>
        <v>0</v>
      </c>
      <c r="BT31" s="6">
        <f t="shared" si="1"/>
        <v>0</v>
      </c>
      <c r="BU31" s="12"/>
    </row>
    <row r="32" spans="1:73">
      <c r="A32" s="57"/>
      <c r="B32" s="17" t="s">
        <v>226</v>
      </c>
      <c r="C32"/>
      <c r="D32"/>
      <c r="E32"/>
      <c r="F32"/>
      <c r="G32"/>
      <c r="H32"/>
      <c r="I32"/>
      <c r="J32" s="49"/>
      <c r="K32"/>
      <c r="L32" s="134"/>
      <c r="M32" s="6"/>
      <c r="N32" s="101">
        <f>SUM(N14:N31)</f>
        <v>0</v>
      </c>
      <c r="O32" s="6"/>
      <c r="P32" s="101">
        <f>SUM(P14:P31)</f>
        <v>0</v>
      </c>
      <c r="Q32" s="6"/>
      <c r="R32" s="101">
        <f>SUM(R14:R31)</f>
        <v>4362054</v>
      </c>
      <c r="S32" s="6"/>
      <c r="T32" s="101">
        <f>SUM(T14:T31)</f>
        <v>0</v>
      </c>
      <c r="U32" s="12"/>
      <c r="V32" s="101">
        <f>SUM(V14:V31)</f>
        <v>0</v>
      </c>
      <c r="W32" s="12"/>
      <c r="X32" s="101">
        <f>SUM(X14:X31)</f>
        <v>0</v>
      </c>
      <c r="Y32" s="12"/>
      <c r="Z32" s="101">
        <f>SUM(Z14:Z31)</f>
        <v>0</v>
      </c>
      <c r="AA32" s="12"/>
      <c r="AB32" s="101">
        <f>SUM(AB14:AB31)</f>
        <v>0</v>
      </c>
      <c r="AC32" s="12"/>
      <c r="AD32" s="101">
        <f>SUM(AD14:AD31)</f>
        <v>0</v>
      </c>
      <c r="AE32" s="12"/>
      <c r="AF32" s="101">
        <f>SUM(AF14:AF31)</f>
        <v>0</v>
      </c>
      <c r="AG32" s="12"/>
      <c r="AH32" s="101">
        <f>SUM(AH14:AH31)</f>
        <v>259882.7</v>
      </c>
      <c r="AI32" s="12"/>
      <c r="AJ32" s="101">
        <f>SUM(AJ14:AJ31)</f>
        <v>350000</v>
      </c>
      <c r="AK32" s="12"/>
      <c r="AL32" s="101">
        <f>SUM(AL14:AL31)</f>
        <v>935</v>
      </c>
      <c r="AM32" s="12"/>
      <c r="AN32" s="101">
        <f>SUM(AN14:AN31)</f>
        <v>655033.1</v>
      </c>
      <c r="AO32" s="12"/>
      <c r="AP32" s="101">
        <f>SUM(AP14:AP31)</f>
        <v>0</v>
      </c>
      <c r="AQ32" s="12"/>
      <c r="AR32" s="101">
        <f>SUM(AR14:AR31)</f>
        <v>1190506.2</v>
      </c>
      <c r="AS32" s="12"/>
      <c r="AT32" s="101">
        <f>SUM(AT14:AT31)</f>
        <v>1190506.2</v>
      </c>
      <c r="AU32" s="12"/>
      <c r="AV32" s="101">
        <f>SUM(AV14:AV31)</f>
        <v>0</v>
      </c>
      <c r="AW32" s="12"/>
      <c r="AX32" s="101">
        <f>SUM(AX14:AX31)</f>
        <v>612336</v>
      </c>
      <c r="AY32" s="12"/>
      <c r="AZ32" s="101">
        <f>SUM(AZ14:AZ31)</f>
        <v>0</v>
      </c>
      <c r="BA32" s="12"/>
      <c r="BB32" s="101">
        <f>SUM(BB14:BB31)</f>
        <v>0</v>
      </c>
      <c r="BC32" s="12"/>
      <c r="BD32" s="101">
        <f>SUM(BD14:BD31)</f>
        <v>0</v>
      </c>
      <c r="BE32" s="12"/>
      <c r="BF32" s="101">
        <f>SUM(BF14:BF31)</f>
        <v>0</v>
      </c>
      <c r="BG32" s="12"/>
      <c r="BH32" s="101">
        <f>SUM(BH14:BH31)</f>
        <v>0</v>
      </c>
      <c r="BI32" s="12"/>
      <c r="BJ32" s="101">
        <f>SUM(BJ14:BJ31)</f>
        <v>0</v>
      </c>
      <c r="BK32" s="6"/>
      <c r="BL32" s="101">
        <f>SUM(BL14:BL31)</f>
        <v>4259199.2</v>
      </c>
      <c r="BM32" s="6"/>
      <c r="BN32" s="101">
        <f>SUM(BN14:BN31)</f>
        <v>293980</v>
      </c>
      <c r="BO32" s="6"/>
      <c r="BP32" s="101">
        <f>SUM(BP14:BP31)</f>
        <v>396834.79999999981</v>
      </c>
      <c r="BR32" s="101">
        <f>SUM(BR14:BR31)</f>
        <v>4656034</v>
      </c>
      <c r="BT32" s="101">
        <f>SUM(BT14:BT31)</f>
        <v>-293980</v>
      </c>
      <c r="BU32" s="12"/>
    </row>
    <row r="33" spans="1:73">
      <c r="A33" s="57"/>
      <c r="B33" s="17"/>
      <c r="C33"/>
      <c r="D33"/>
      <c r="E33"/>
      <c r="F33"/>
      <c r="G33"/>
      <c r="H33"/>
      <c r="I33"/>
      <c r="J33" s="49"/>
      <c r="K33"/>
      <c r="L33" s="134"/>
      <c r="M33" s="6"/>
      <c r="N33" s="12"/>
      <c r="O33" s="6"/>
      <c r="P33" s="12"/>
      <c r="Q33" s="6"/>
      <c r="R33" s="12"/>
      <c r="S33" s="6"/>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6"/>
      <c r="BL33" s="12"/>
      <c r="BM33" s="6"/>
      <c r="BN33" s="12"/>
      <c r="BO33" s="6"/>
      <c r="BP33" s="12"/>
      <c r="BR33" s="12"/>
      <c r="BT33" s="12"/>
      <c r="BU33" s="12"/>
    </row>
    <row r="34" spans="1:73" s="114" customFormat="1">
      <c r="A34" s="112"/>
      <c r="B34" s="113" t="s">
        <v>15</v>
      </c>
      <c r="J34" s="157"/>
      <c r="L34" s="142"/>
      <c r="M34" s="115"/>
      <c r="N34" s="115">
        <f>+N32+N12</f>
        <v>93330000</v>
      </c>
      <c r="O34" s="115"/>
      <c r="P34" s="115">
        <f>+P32+P12</f>
        <v>0</v>
      </c>
      <c r="Q34" s="115"/>
      <c r="R34" s="115">
        <f>+R32+R12</f>
        <v>90283554</v>
      </c>
      <c r="S34" s="115"/>
      <c r="T34" s="115">
        <f>+T32+T12</f>
        <v>16673400</v>
      </c>
      <c r="U34" s="115"/>
      <c r="V34" s="115">
        <f>+V32+V12</f>
        <v>43401650</v>
      </c>
      <c r="W34" s="115"/>
      <c r="X34" s="115">
        <f>+X32+X12</f>
        <v>4291075</v>
      </c>
      <c r="Y34" s="115"/>
      <c r="Z34" s="115">
        <f>+Z32+Z12</f>
        <v>0</v>
      </c>
      <c r="AA34" s="115"/>
      <c r="AB34" s="115">
        <f>+AB32+AB12</f>
        <v>4291075</v>
      </c>
      <c r="AC34" s="115"/>
      <c r="AD34" s="115">
        <f>+AD32+AD12</f>
        <v>8617667</v>
      </c>
      <c r="AE34" s="115"/>
      <c r="AF34" s="115">
        <f>+AF32+AF12</f>
        <v>0</v>
      </c>
      <c r="AG34" s="115"/>
      <c r="AH34" s="115">
        <f>+AH32+AH12</f>
        <v>259882.7</v>
      </c>
      <c r="AI34" s="115"/>
      <c r="AJ34" s="115">
        <f>+AJ32+AJ12</f>
        <v>668420.9</v>
      </c>
      <c r="AK34" s="115"/>
      <c r="AL34" s="115">
        <f>+AL32+AL12</f>
        <v>935</v>
      </c>
      <c r="AM34" s="115"/>
      <c r="AN34" s="115">
        <f>+AN32+AN12</f>
        <v>655033.1</v>
      </c>
      <c r="AO34" s="115"/>
      <c r="AP34" s="115">
        <f>+AP32+AP12</f>
        <v>39600</v>
      </c>
      <c r="AQ34" s="115"/>
      <c r="AR34" s="115">
        <f>+AR32+AR12</f>
        <v>2268247.46</v>
      </c>
      <c r="AS34" s="115"/>
      <c r="AT34" s="115">
        <f>+AT32+AT12</f>
        <v>2268247.46</v>
      </c>
      <c r="AU34" s="115"/>
      <c r="AV34" s="115">
        <f>+AV32+AV12</f>
        <v>2155482.52</v>
      </c>
      <c r="AW34" s="115"/>
      <c r="AX34" s="115">
        <f>+AX32+AX12</f>
        <v>612336</v>
      </c>
      <c r="AY34" s="115"/>
      <c r="AZ34" s="115">
        <f>+AZ32+AZ12</f>
        <v>0</v>
      </c>
      <c r="BA34" s="115"/>
      <c r="BB34" s="115">
        <f>+BB32+BB12</f>
        <v>0</v>
      </c>
      <c r="BC34" s="115"/>
      <c r="BD34" s="115">
        <f>+BD32+BD12</f>
        <v>0</v>
      </c>
      <c r="BE34" s="115"/>
      <c r="BF34" s="115">
        <f>+BF32+BF12</f>
        <v>0</v>
      </c>
      <c r="BG34" s="115"/>
      <c r="BH34" s="115">
        <f>+BH32+BH12</f>
        <v>0</v>
      </c>
      <c r="BI34" s="115"/>
      <c r="BJ34" s="115">
        <f>+BJ32+BJ12</f>
        <v>0</v>
      </c>
      <c r="BK34" s="115"/>
      <c r="BL34" s="115">
        <f>+BL32+BL12</f>
        <v>86203052.140000015</v>
      </c>
      <c r="BM34" s="115"/>
      <c r="BN34" s="115">
        <f>+BN32+BN12</f>
        <v>591781</v>
      </c>
      <c r="BO34" s="115"/>
      <c r="BP34" s="115">
        <f>+BP32+BP12</f>
        <v>4672282.8599999873</v>
      </c>
      <c r="BQ34" s="115"/>
      <c r="BR34" s="115">
        <f>+BR32+BR12</f>
        <v>90875335</v>
      </c>
      <c r="BS34" s="115"/>
      <c r="BT34" s="115">
        <f>+BT32+BT12</f>
        <v>-591781</v>
      </c>
      <c r="BU34" s="115"/>
    </row>
    <row r="35" spans="1:73">
      <c r="A35" s="57"/>
      <c r="B35" s="79"/>
      <c r="C35"/>
      <c r="D35"/>
      <c r="E35"/>
      <c r="F35"/>
      <c r="G35"/>
      <c r="H35"/>
      <c r="I35"/>
      <c r="J35" s="49"/>
      <c r="K35"/>
      <c r="L35" s="134"/>
      <c r="M35" s="6"/>
      <c r="O35" s="6"/>
      <c r="Q35" s="6"/>
      <c r="S35" s="6"/>
      <c r="T35" s="6"/>
      <c r="U35" s="6"/>
      <c r="V35" s="6"/>
      <c r="X35" s="6"/>
      <c r="Z35" s="6"/>
      <c r="AB35" s="6"/>
      <c r="AD35" s="6"/>
      <c r="BJ35" s="6"/>
      <c r="BK35" s="6"/>
      <c r="BM35" s="6"/>
      <c r="BN35" s="6"/>
      <c r="BO35" s="6"/>
      <c r="BU35" s="6"/>
    </row>
    <row r="36" spans="1:73">
      <c r="A36" s="57"/>
      <c r="B36" s="17"/>
      <c r="C36"/>
      <c r="D36"/>
      <c r="E36"/>
      <c r="F36"/>
      <c r="G36"/>
      <c r="H36"/>
      <c r="I36"/>
      <c r="J36" s="49"/>
      <c r="K36"/>
      <c r="L36" s="134"/>
      <c r="M36" s="6"/>
      <c r="O36" s="6"/>
      <c r="Q36" s="6"/>
      <c r="S36" s="6"/>
      <c r="T36" s="6"/>
      <c r="U36" s="6"/>
      <c r="V36" s="6"/>
      <c r="X36" s="6"/>
      <c r="Z36" s="6"/>
      <c r="AB36" s="6"/>
      <c r="AD36" s="6"/>
      <c r="BJ36" s="6"/>
      <c r="BK36" s="6"/>
      <c r="BM36" s="6"/>
      <c r="BN36" s="6"/>
      <c r="BO36" s="6"/>
      <c r="BU36" s="6"/>
    </row>
    <row r="37" spans="1:73">
      <c r="A37" s="56" t="s">
        <v>234</v>
      </c>
      <c r="B37" s="17"/>
      <c r="C37"/>
      <c r="D37"/>
      <c r="E37"/>
      <c r="F37"/>
      <c r="G37"/>
      <c r="H37"/>
      <c r="I37"/>
      <c r="J37" s="49"/>
      <c r="K37"/>
      <c r="L37" s="134"/>
      <c r="M37" s="6"/>
      <c r="O37" s="6"/>
      <c r="Q37" s="6"/>
      <c r="S37" s="6"/>
      <c r="T37" s="6"/>
      <c r="U37" s="6"/>
      <c r="V37" s="6"/>
      <c r="X37" s="6"/>
      <c r="Z37" s="6"/>
      <c r="AB37" s="6"/>
      <c r="AD37" s="6"/>
      <c r="AI37"/>
      <c r="AK37"/>
      <c r="AM37"/>
      <c r="BJ37" s="6"/>
      <c r="BK37" s="6"/>
      <c r="BM37" s="6"/>
      <c r="BN37" s="6"/>
      <c r="BO37" s="6"/>
      <c r="BU37" s="6"/>
    </row>
    <row r="38" spans="1:73">
      <c r="A38" s="57"/>
      <c r="B38" s="17"/>
      <c r="C38"/>
      <c r="D38"/>
      <c r="E38"/>
      <c r="F38"/>
      <c r="G38"/>
      <c r="H38"/>
      <c r="I38"/>
      <c r="J38" s="49"/>
      <c r="K38"/>
      <c r="L38" s="134"/>
      <c r="M38" s="6"/>
      <c r="O38" s="6"/>
      <c r="Q38" s="6"/>
      <c r="S38" s="6"/>
      <c r="T38" s="6">
        <v>0</v>
      </c>
      <c r="U38" s="6"/>
      <c r="V38" s="6">
        <v>0</v>
      </c>
      <c r="X38" s="6">
        <v>0</v>
      </c>
      <c r="Z38" s="6">
        <v>0</v>
      </c>
      <c r="AB38" s="6">
        <v>0</v>
      </c>
      <c r="AD38" s="6">
        <v>0</v>
      </c>
      <c r="AF38" s="6">
        <v>0</v>
      </c>
      <c r="AH38" s="6">
        <v>0</v>
      </c>
      <c r="AI38"/>
      <c r="AJ38" s="6">
        <v>0</v>
      </c>
      <c r="AK38"/>
      <c r="AL38" s="6">
        <v>0</v>
      </c>
      <c r="AM38"/>
      <c r="AN38" s="6">
        <v>0</v>
      </c>
      <c r="AP38" s="6">
        <v>0</v>
      </c>
      <c r="AR38" s="6">
        <v>0</v>
      </c>
      <c r="AT38" s="6">
        <v>0</v>
      </c>
      <c r="AV38" s="6">
        <v>0</v>
      </c>
      <c r="AX38" s="6">
        <v>0</v>
      </c>
      <c r="AZ38" s="6">
        <v>0</v>
      </c>
      <c r="BB38" s="6">
        <v>0</v>
      </c>
      <c r="BD38" s="6">
        <v>0</v>
      </c>
      <c r="BF38" s="6">
        <v>0</v>
      </c>
      <c r="BH38" s="6">
        <v>0</v>
      </c>
      <c r="BJ38" s="6">
        <v>0</v>
      </c>
      <c r="BK38" s="6"/>
      <c r="BM38" s="6"/>
      <c r="BN38" s="6"/>
      <c r="BO38" s="6"/>
      <c r="BU38" s="6"/>
    </row>
    <row r="39" spans="1:73">
      <c r="A39" s="57"/>
      <c r="B39" s="232" t="s">
        <v>299</v>
      </c>
      <c r="C39"/>
      <c r="D39"/>
      <c r="E39"/>
      <c r="F39"/>
      <c r="G39"/>
      <c r="H39"/>
      <c r="I39"/>
      <c r="J39" s="49"/>
      <c r="K39"/>
      <c r="L39" s="134"/>
      <c r="M39" s="6"/>
      <c r="O39" s="6"/>
      <c r="Q39" s="6"/>
      <c r="S39" s="6"/>
      <c r="T39" s="6"/>
      <c r="U39" s="6"/>
      <c r="V39" s="6"/>
      <c r="X39" s="6"/>
      <c r="Z39" s="6"/>
      <c r="AB39" s="6"/>
      <c r="AD39" s="6"/>
      <c r="AI39"/>
      <c r="AK39"/>
      <c r="AM39"/>
      <c r="BJ39" s="6"/>
      <c r="BK39" s="6"/>
      <c r="BM39" s="6"/>
      <c r="BN39" s="6"/>
      <c r="BO39" s="6"/>
      <c r="BU39" s="6"/>
    </row>
    <row r="40" spans="1:73">
      <c r="A40" s="57"/>
      <c r="B40" s="233" t="s">
        <v>297</v>
      </c>
      <c r="C40"/>
      <c r="D40"/>
      <c r="E40"/>
      <c r="F40"/>
      <c r="G40"/>
      <c r="H40"/>
      <c r="I40"/>
      <c r="J40" s="49" t="s">
        <v>229</v>
      </c>
      <c r="K40"/>
      <c r="L40" s="134" t="s">
        <v>202</v>
      </c>
      <c r="M40" s="6"/>
      <c r="O40" s="6"/>
      <c r="Q40" s="6"/>
      <c r="R40" s="235">
        <v>1132854</v>
      </c>
      <c r="S40" s="6"/>
      <c r="T40" s="6"/>
      <c r="U40" s="6"/>
      <c r="V40" s="6"/>
      <c r="X40" s="6"/>
      <c r="Z40" s="6"/>
      <c r="AB40" s="6"/>
      <c r="AD40" s="6"/>
      <c r="AI40"/>
      <c r="AK40"/>
      <c r="AM40"/>
      <c r="AP40" s="6">
        <v>19960</v>
      </c>
      <c r="AT40" s="6">
        <f>128593-19960</f>
        <v>108633</v>
      </c>
      <c r="AX40" s="6">
        <f>434961-128593</f>
        <v>306368</v>
      </c>
      <c r="BJ40" s="6"/>
      <c r="BK40" s="6"/>
      <c r="BL40" s="6">
        <f t="shared" ref="BL40:BL47" si="5">SUM(T40:BK40)</f>
        <v>434961</v>
      </c>
      <c r="BM40" s="6"/>
      <c r="BN40" s="6">
        <f>1164271-1132835</f>
        <v>31436</v>
      </c>
      <c r="BO40" s="6"/>
      <c r="BP40" s="6">
        <f t="shared" ref="BP40:BP47" si="6">IF(+R40-BL40+BN40&gt;0,R40-BL40+BN40,0)</f>
        <v>729329</v>
      </c>
      <c r="BR40" s="6">
        <f t="shared" ref="BR40:BR47" si="7">+BL40+BP40</f>
        <v>1164290</v>
      </c>
      <c r="BT40" s="6">
        <f>+R40-BR40</f>
        <v>-31436</v>
      </c>
      <c r="BU40" s="6"/>
    </row>
    <row r="41" spans="1:73">
      <c r="A41" s="57"/>
      <c r="B41" s="233" t="s">
        <v>534</v>
      </c>
      <c r="C41"/>
      <c r="D41"/>
      <c r="E41"/>
      <c r="F41"/>
      <c r="G41"/>
      <c r="H41"/>
      <c r="I41"/>
      <c r="J41" s="49" t="s">
        <v>229</v>
      </c>
      <c r="K41"/>
      <c r="L41" s="134" t="s">
        <v>202</v>
      </c>
      <c r="M41" s="6"/>
      <c r="O41" s="6"/>
      <c r="Q41" s="6"/>
      <c r="R41" s="235">
        <v>1580972</v>
      </c>
      <c r="S41" s="6"/>
      <c r="T41" s="6"/>
      <c r="U41" s="6"/>
      <c r="V41" s="6"/>
      <c r="X41" s="6"/>
      <c r="Z41" s="6"/>
      <c r="AB41" s="6"/>
      <c r="AD41" s="6"/>
      <c r="AI41"/>
      <c r="AK41"/>
      <c r="AM41"/>
      <c r="AP41" s="6">
        <f>77323+10575</f>
        <v>87898</v>
      </c>
      <c r="AT41" s="6">
        <f>399600-77323+12402</f>
        <v>334679</v>
      </c>
      <c r="AX41" s="6">
        <f>717041-422577</f>
        <v>294464</v>
      </c>
      <c r="BJ41" s="6"/>
      <c r="BK41" s="6"/>
      <c r="BL41" s="6">
        <f t="shared" si="5"/>
        <v>717041</v>
      </c>
      <c r="BM41" s="6"/>
      <c r="BN41" s="6">
        <f>2003210-1580972</f>
        <v>422238</v>
      </c>
      <c r="BO41" s="6"/>
      <c r="BP41" s="6">
        <f t="shared" si="6"/>
        <v>1286169</v>
      </c>
      <c r="BR41" s="6">
        <f t="shared" si="7"/>
        <v>2003210</v>
      </c>
      <c r="BT41" s="6">
        <f t="shared" ref="BT41:BT46" si="8">+R41-BR41</f>
        <v>-422238</v>
      </c>
      <c r="BU41" s="6"/>
    </row>
    <row r="42" spans="1:73">
      <c r="A42" s="57"/>
      <c r="B42" s="233" t="s">
        <v>535</v>
      </c>
      <c r="C42"/>
      <c r="D42"/>
      <c r="E42"/>
      <c r="F42"/>
      <c r="G42"/>
      <c r="H42"/>
      <c r="I42"/>
      <c r="J42" s="49" t="s">
        <v>229</v>
      </c>
      <c r="K42"/>
      <c r="L42" s="134" t="s">
        <v>202</v>
      </c>
      <c r="M42" s="6"/>
      <c r="O42" s="6"/>
      <c r="Q42" s="6"/>
      <c r="R42" s="235">
        <v>8636948</v>
      </c>
      <c r="S42" s="6"/>
      <c r="T42" s="6"/>
      <c r="U42" s="6"/>
      <c r="V42" s="6"/>
      <c r="X42" s="6"/>
      <c r="Z42" s="6"/>
      <c r="AB42" s="6"/>
      <c r="AD42" s="6"/>
      <c r="AI42"/>
      <c r="AK42"/>
      <c r="AM42"/>
      <c r="AP42" s="6">
        <f>54748+22150+123159+88926+47401+83850</f>
        <v>420234</v>
      </c>
      <c r="AT42" s="6">
        <f>515063-54748+112868+268862+74246+31002+606132+21454</f>
        <v>1574879</v>
      </c>
      <c r="AX42" s="6">
        <f>3988889-1973659-21454</f>
        <v>1993776</v>
      </c>
      <c r="BJ42" s="6"/>
      <c r="BK42" s="6"/>
      <c r="BL42" s="6">
        <f t="shared" si="5"/>
        <v>3988889</v>
      </c>
      <c r="BM42" s="6"/>
      <c r="BN42" s="6">
        <f>9627760-8636947</f>
        <v>990813</v>
      </c>
      <c r="BO42" s="6"/>
      <c r="BP42" s="6">
        <f t="shared" si="6"/>
        <v>5638872</v>
      </c>
      <c r="BR42" s="6">
        <f t="shared" si="7"/>
        <v>9627761</v>
      </c>
      <c r="BT42" s="6">
        <f t="shared" si="8"/>
        <v>-990813</v>
      </c>
      <c r="BU42" s="6"/>
    </row>
    <row r="43" spans="1:73">
      <c r="A43" s="57"/>
      <c r="B43" s="233" t="s">
        <v>22</v>
      </c>
      <c r="C43"/>
      <c r="D43"/>
      <c r="E43"/>
      <c r="F43"/>
      <c r="G43"/>
      <c r="H43"/>
      <c r="I43"/>
      <c r="J43" s="49" t="s">
        <v>229</v>
      </c>
      <c r="K43"/>
      <c r="L43" s="134" t="s">
        <v>202</v>
      </c>
      <c r="M43" s="6"/>
      <c r="N43" s="6">
        <v>0</v>
      </c>
      <c r="O43" s="6"/>
      <c r="P43" s="6">
        <v>0</v>
      </c>
      <c r="Q43" s="6"/>
      <c r="R43" s="235">
        <v>384721</v>
      </c>
      <c r="S43" s="6"/>
      <c r="T43" s="6">
        <v>0</v>
      </c>
      <c r="U43" s="6"/>
      <c r="V43" s="6">
        <v>0</v>
      </c>
      <c r="X43" s="6">
        <v>0</v>
      </c>
      <c r="Z43" s="6">
        <v>0</v>
      </c>
      <c r="AB43" s="6">
        <v>0</v>
      </c>
      <c r="AD43" s="6">
        <v>0</v>
      </c>
      <c r="AF43" s="6">
        <v>0</v>
      </c>
      <c r="AH43" s="6">
        <v>0</v>
      </c>
      <c r="AI43"/>
      <c r="AJ43" s="6">
        <v>0</v>
      </c>
      <c r="AK43"/>
      <c r="AL43" s="6">
        <v>0</v>
      </c>
      <c r="AM43"/>
      <c r="AN43" s="6">
        <v>0</v>
      </c>
      <c r="AP43" s="6">
        <v>84553</v>
      </c>
      <c r="AR43" s="6">
        <v>0</v>
      </c>
      <c r="AT43" s="6">
        <f>179861-84553</f>
        <v>95308</v>
      </c>
      <c r="AV43" s="6">
        <v>0</v>
      </c>
      <c r="AX43" s="6">
        <f>421749-179861</f>
        <v>241888</v>
      </c>
      <c r="AZ43" s="6">
        <v>0</v>
      </c>
      <c r="BB43" s="6">
        <v>0</v>
      </c>
      <c r="BD43" s="6">
        <v>0</v>
      </c>
      <c r="BF43" s="6">
        <v>0</v>
      </c>
      <c r="BH43" s="6">
        <v>0</v>
      </c>
      <c r="BJ43" s="6">
        <v>0</v>
      </c>
      <c r="BK43" s="6"/>
      <c r="BL43" s="6">
        <f t="shared" si="5"/>
        <v>421749</v>
      </c>
      <c r="BM43" s="6"/>
      <c r="BN43" s="6">
        <f>465690-384721</f>
        <v>80969</v>
      </c>
      <c r="BO43" s="6"/>
      <c r="BP43" s="6">
        <f t="shared" si="6"/>
        <v>43941</v>
      </c>
      <c r="BR43" s="6">
        <f t="shared" si="7"/>
        <v>465690</v>
      </c>
      <c r="BT43" s="6">
        <f t="shared" si="8"/>
        <v>-80969</v>
      </c>
      <c r="BU43" s="6"/>
    </row>
    <row r="44" spans="1:73">
      <c r="A44" s="57"/>
      <c r="B44" s="233" t="s">
        <v>485</v>
      </c>
      <c r="C44"/>
      <c r="D44"/>
      <c r="E44"/>
      <c r="F44"/>
      <c r="G44"/>
      <c r="H44"/>
      <c r="I44"/>
      <c r="J44" s="49" t="s">
        <v>229</v>
      </c>
      <c r="K44"/>
      <c r="L44" s="134" t="s">
        <v>202</v>
      </c>
      <c r="M44" s="6"/>
      <c r="N44" s="6">
        <v>0</v>
      </c>
      <c r="O44" s="6"/>
      <c r="P44" s="6">
        <v>0</v>
      </c>
      <c r="Q44" s="6"/>
      <c r="R44" s="235">
        <v>150000</v>
      </c>
      <c r="S44" s="6"/>
      <c r="T44" s="6">
        <v>0</v>
      </c>
      <c r="U44" s="6"/>
      <c r="V44" s="6">
        <v>0</v>
      </c>
      <c r="X44" s="6">
        <v>0</v>
      </c>
      <c r="Z44" s="6">
        <v>0</v>
      </c>
      <c r="AB44" s="6">
        <v>0</v>
      </c>
      <c r="AD44" s="6">
        <v>0</v>
      </c>
      <c r="AF44" s="6">
        <v>0</v>
      </c>
      <c r="AH44" s="6">
        <v>0</v>
      </c>
      <c r="AI44"/>
      <c r="AJ44" s="6">
        <v>0</v>
      </c>
      <c r="AK44"/>
      <c r="AL44" s="6">
        <v>0</v>
      </c>
      <c r="AM44"/>
      <c r="AN44" s="6">
        <v>0</v>
      </c>
      <c r="AP44" s="6">
        <v>14301</v>
      </c>
      <c r="AR44" s="6">
        <v>0</v>
      </c>
      <c r="AT44" s="6">
        <f>70124-14301</f>
        <v>55823</v>
      </c>
      <c r="AV44" s="6">
        <v>0</v>
      </c>
      <c r="AX44" s="6">
        <f>33294-70124</f>
        <v>-36830</v>
      </c>
      <c r="AZ44" s="6">
        <v>0</v>
      </c>
      <c r="BB44" s="6">
        <v>0</v>
      </c>
      <c r="BD44" s="6">
        <v>0</v>
      </c>
      <c r="BF44" s="6">
        <v>0</v>
      </c>
      <c r="BH44" s="6">
        <v>0</v>
      </c>
      <c r="BJ44" s="6">
        <v>0</v>
      </c>
      <c r="BK44" s="6"/>
      <c r="BL44" s="6">
        <f t="shared" si="5"/>
        <v>33294</v>
      </c>
      <c r="BM44" s="6"/>
      <c r="BN44" s="6">
        <v>0</v>
      </c>
      <c r="BO44" s="6"/>
      <c r="BP44" s="6">
        <f t="shared" si="6"/>
        <v>116706</v>
      </c>
      <c r="BR44" s="6">
        <f t="shared" si="7"/>
        <v>150000</v>
      </c>
      <c r="BT44" s="6">
        <f t="shared" si="8"/>
        <v>0</v>
      </c>
      <c r="BU44" s="6"/>
    </row>
    <row r="45" spans="1:73">
      <c r="A45" s="57"/>
      <c r="B45" s="233" t="s">
        <v>190</v>
      </c>
      <c r="C45"/>
      <c r="D45"/>
      <c r="E45"/>
      <c r="F45"/>
      <c r="G45"/>
      <c r="H45"/>
      <c r="I45"/>
      <c r="J45" s="49" t="s">
        <v>229</v>
      </c>
      <c r="K45"/>
      <c r="L45" s="134" t="s">
        <v>202</v>
      </c>
      <c r="M45" s="6"/>
      <c r="N45" s="6">
        <v>0</v>
      </c>
      <c r="O45" s="6"/>
      <c r="P45" s="6">
        <v>0</v>
      </c>
      <c r="Q45" s="6"/>
      <c r="R45" s="235">
        <v>547484</v>
      </c>
      <c r="S45" s="6"/>
      <c r="T45" s="6">
        <v>0</v>
      </c>
      <c r="U45" s="6"/>
      <c r="V45" s="6">
        <v>0</v>
      </c>
      <c r="X45" s="6">
        <v>0</v>
      </c>
      <c r="Z45" s="6">
        <v>0</v>
      </c>
      <c r="AB45" s="6">
        <v>0</v>
      </c>
      <c r="AD45" s="6">
        <v>0</v>
      </c>
      <c r="AF45" s="6">
        <v>0</v>
      </c>
      <c r="AH45" s="6">
        <v>0</v>
      </c>
      <c r="AI45"/>
      <c r="AJ45" s="6">
        <v>0</v>
      </c>
      <c r="AK45"/>
      <c r="AL45" s="6">
        <v>0</v>
      </c>
      <c r="AM45"/>
      <c r="AN45" s="6">
        <v>0</v>
      </c>
      <c r="AP45" s="6">
        <v>0</v>
      </c>
      <c r="AR45" s="6">
        <v>0</v>
      </c>
      <c r="AT45" s="6">
        <v>0</v>
      </c>
      <c r="AV45" s="6">
        <v>0</v>
      </c>
      <c r="AX45" s="6">
        <v>0</v>
      </c>
      <c r="AZ45" s="6">
        <v>0</v>
      </c>
      <c r="BB45" s="6">
        <v>0</v>
      </c>
      <c r="BD45" s="6">
        <v>0</v>
      </c>
      <c r="BF45" s="6">
        <v>0</v>
      </c>
      <c r="BH45" s="6">
        <v>0</v>
      </c>
      <c r="BJ45" s="6">
        <v>0</v>
      </c>
      <c r="BK45" s="6"/>
      <c r="BL45" s="6">
        <f t="shared" si="5"/>
        <v>0</v>
      </c>
      <c r="BM45" s="6"/>
      <c r="BN45" s="6">
        <v>-547484</v>
      </c>
      <c r="BO45" s="6"/>
      <c r="BP45" s="6">
        <f t="shared" si="6"/>
        <v>0</v>
      </c>
      <c r="BR45" s="6">
        <f t="shared" si="7"/>
        <v>0</v>
      </c>
      <c r="BT45" s="6">
        <f t="shared" si="8"/>
        <v>547484</v>
      </c>
      <c r="BU45" s="6"/>
    </row>
    <row r="46" spans="1:73">
      <c r="A46" s="57"/>
      <c r="B46" s="233" t="s">
        <v>298</v>
      </c>
      <c r="C46"/>
      <c r="D46"/>
      <c r="E46"/>
      <c r="F46"/>
      <c r="G46"/>
      <c r="H46"/>
      <c r="I46"/>
      <c r="J46" s="49"/>
      <c r="K46"/>
      <c r="L46" s="134" t="s">
        <v>202</v>
      </c>
      <c r="M46" s="6"/>
      <c r="N46" s="6">
        <v>0</v>
      </c>
      <c r="O46" s="6"/>
      <c r="P46" s="6">
        <v>0</v>
      </c>
      <c r="Q46" s="6"/>
      <c r="R46" s="235">
        <v>-231</v>
      </c>
      <c r="S46" s="6"/>
      <c r="T46" s="6">
        <v>0</v>
      </c>
      <c r="U46" s="6"/>
      <c r="V46" s="6">
        <v>0</v>
      </c>
      <c r="X46" s="6">
        <v>0</v>
      </c>
      <c r="Z46" s="6">
        <v>0</v>
      </c>
      <c r="AB46" s="6">
        <v>0</v>
      </c>
      <c r="AD46" s="6">
        <v>0</v>
      </c>
      <c r="AF46" s="6">
        <v>0</v>
      </c>
      <c r="AH46" s="6">
        <v>0</v>
      </c>
      <c r="AI46"/>
      <c r="AJ46" s="6">
        <v>0</v>
      </c>
      <c r="AK46"/>
      <c r="AL46" s="6">
        <v>0</v>
      </c>
      <c r="AM46"/>
      <c r="AN46" s="6">
        <v>0</v>
      </c>
      <c r="AP46" s="6">
        <v>0</v>
      </c>
      <c r="AR46" s="6">
        <v>0</v>
      </c>
      <c r="AT46" s="6">
        <v>0</v>
      </c>
      <c r="AV46" s="6">
        <v>0</v>
      </c>
      <c r="AX46" s="6">
        <v>0</v>
      </c>
      <c r="AZ46" s="6">
        <v>0</v>
      </c>
      <c r="BB46" s="6">
        <v>0</v>
      </c>
      <c r="BD46" s="6">
        <v>0</v>
      </c>
      <c r="BF46" s="6">
        <v>0</v>
      </c>
      <c r="BH46" s="6">
        <v>0</v>
      </c>
      <c r="BJ46" s="6">
        <v>0</v>
      </c>
      <c r="BK46" s="6"/>
      <c r="BL46" s="6">
        <f t="shared" si="5"/>
        <v>0</v>
      </c>
      <c r="BM46" s="6"/>
      <c r="BN46" s="6">
        <v>-485</v>
      </c>
      <c r="BO46" s="6"/>
      <c r="BP46" s="6">
        <f t="shared" si="6"/>
        <v>0</v>
      </c>
      <c r="BR46" s="6">
        <f t="shared" si="7"/>
        <v>0</v>
      </c>
      <c r="BT46" s="6">
        <f t="shared" si="8"/>
        <v>-231</v>
      </c>
      <c r="BU46" s="6"/>
    </row>
    <row r="47" spans="1:73">
      <c r="A47" s="57"/>
      <c r="B47" s="233"/>
      <c r="C47"/>
      <c r="D47"/>
      <c r="E47"/>
      <c r="F47"/>
      <c r="G47"/>
      <c r="H47"/>
      <c r="I47"/>
      <c r="J47" s="49"/>
      <c r="K47"/>
      <c r="L47" s="134" t="s">
        <v>202</v>
      </c>
      <c r="M47" s="6"/>
      <c r="N47" s="6">
        <v>0</v>
      </c>
      <c r="O47" s="6"/>
      <c r="P47" s="6">
        <v>0</v>
      </c>
      <c r="Q47" s="6"/>
      <c r="S47" s="6"/>
      <c r="T47" s="6">
        <v>0</v>
      </c>
      <c r="U47" s="6"/>
      <c r="V47" s="6">
        <v>0</v>
      </c>
      <c r="X47" s="6">
        <v>0</v>
      </c>
      <c r="Z47" s="6">
        <v>0</v>
      </c>
      <c r="AB47" s="6">
        <v>0</v>
      </c>
      <c r="AD47" s="6">
        <v>0</v>
      </c>
      <c r="AF47" s="6">
        <v>0</v>
      </c>
      <c r="AH47" s="6">
        <v>0</v>
      </c>
      <c r="AI47"/>
      <c r="AJ47" s="6">
        <v>0</v>
      </c>
      <c r="AK47"/>
      <c r="AL47" s="6">
        <v>0</v>
      </c>
      <c r="AM47"/>
      <c r="AN47" s="6">
        <v>0</v>
      </c>
      <c r="AP47" s="6">
        <v>0</v>
      </c>
      <c r="AR47" s="6">
        <v>0</v>
      </c>
      <c r="AT47" s="6">
        <v>0</v>
      </c>
      <c r="AV47" s="6">
        <v>0</v>
      </c>
      <c r="AX47" s="6">
        <v>0</v>
      </c>
      <c r="AZ47" s="6">
        <v>0</v>
      </c>
      <c r="BB47" s="6">
        <v>0</v>
      </c>
      <c r="BD47" s="6">
        <v>0</v>
      </c>
      <c r="BF47" s="6">
        <v>0</v>
      </c>
      <c r="BH47" s="6">
        <v>0</v>
      </c>
      <c r="BJ47" s="6">
        <v>0</v>
      </c>
      <c r="BK47" s="6"/>
      <c r="BL47" s="6">
        <f t="shared" si="5"/>
        <v>0</v>
      </c>
      <c r="BM47" s="6"/>
      <c r="BN47" s="6">
        <v>0</v>
      </c>
      <c r="BO47" s="6"/>
      <c r="BP47" s="6">
        <f t="shared" si="6"/>
        <v>0</v>
      </c>
      <c r="BR47" s="6">
        <f t="shared" si="7"/>
        <v>0</v>
      </c>
      <c r="BU47" s="6"/>
    </row>
    <row r="48" spans="1:73" s="21" customFormat="1">
      <c r="A48" s="118"/>
      <c r="B48" s="236" t="s">
        <v>300</v>
      </c>
      <c r="J48" s="8"/>
      <c r="L48" s="143" t="s">
        <v>202</v>
      </c>
      <c r="M48" s="9"/>
      <c r="N48" s="9">
        <v>0</v>
      </c>
      <c r="O48" s="9"/>
      <c r="P48" s="9">
        <v>0</v>
      </c>
      <c r="Q48" s="9"/>
      <c r="R48" s="9">
        <f t="shared" ref="R48:AW48" si="9">SUM(R40:R47)</f>
        <v>12432748</v>
      </c>
      <c r="S48" s="9">
        <f t="shared" si="9"/>
        <v>0</v>
      </c>
      <c r="T48" s="9">
        <f t="shared" si="9"/>
        <v>0</v>
      </c>
      <c r="U48" s="9">
        <f t="shared" si="9"/>
        <v>0</v>
      </c>
      <c r="V48" s="9">
        <f t="shared" si="9"/>
        <v>0</v>
      </c>
      <c r="W48" s="9">
        <f t="shared" si="9"/>
        <v>0</v>
      </c>
      <c r="X48" s="9">
        <f t="shared" si="9"/>
        <v>0</v>
      </c>
      <c r="Y48" s="9">
        <f t="shared" si="9"/>
        <v>0</v>
      </c>
      <c r="Z48" s="9">
        <f t="shared" si="9"/>
        <v>0</v>
      </c>
      <c r="AA48" s="9">
        <f t="shared" si="9"/>
        <v>0</v>
      </c>
      <c r="AB48" s="9">
        <f t="shared" si="9"/>
        <v>0</v>
      </c>
      <c r="AC48" s="9">
        <f t="shared" si="9"/>
        <v>0</v>
      </c>
      <c r="AD48" s="9">
        <f t="shared" si="9"/>
        <v>0</v>
      </c>
      <c r="AE48" s="9">
        <f t="shared" si="9"/>
        <v>0</v>
      </c>
      <c r="AF48" s="9">
        <f t="shared" si="9"/>
        <v>0</v>
      </c>
      <c r="AG48" s="9">
        <f t="shared" si="9"/>
        <v>0</v>
      </c>
      <c r="AH48" s="9">
        <f t="shared" si="9"/>
        <v>0</v>
      </c>
      <c r="AI48" s="9">
        <f t="shared" si="9"/>
        <v>0</v>
      </c>
      <c r="AJ48" s="9">
        <f t="shared" si="9"/>
        <v>0</v>
      </c>
      <c r="AK48" s="9">
        <f t="shared" si="9"/>
        <v>0</v>
      </c>
      <c r="AL48" s="9">
        <f t="shared" si="9"/>
        <v>0</v>
      </c>
      <c r="AM48" s="9">
        <f t="shared" si="9"/>
        <v>0</v>
      </c>
      <c r="AN48" s="9">
        <f t="shared" si="9"/>
        <v>0</v>
      </c>
      <c r="AO48" s="9">
        <f t="shared" si="9"/>
        <v>0</v>
      </c>
      <c r="AP48" s="9">
        <f t="shared" si="9"/>
        <v>626946</v>
      </c>
      <c r="AQ48" s="9">
        <f t="shared" si="9"/>
        <v>0</v>
      </c>
      <c r="AR48" s="9">
        <f t="shared" si="9"/>
        <v>0</v>
      </c>
      <c r="AS48" s="9">
        <f t="shared" si="9"/>
        <v>0</v>
      </c>
      <c r="AT48" s="9">
        <f t="shared" si="9"/>
        <v>2169322</v>
      </c>
      <c r="AU48" s="9">
        <f t="shared" si="9"/>
        <v>0</v>
      </c>
      <c r="AV48" s="9">
        <f t="shared" si="9"/>
        <v>0</v>
      </c>
      <c r="AW48" s="9">
        <f t="shared" si="9"/>
        <v>0</v>
      </c>
      <c r="AX48" s="9">
        <f t="shared" ref="AX48:BT48" si="10">SUM(AX40:AX47)</f>
        <v>2799666</v>
      </c>
      <c r="AY48" s="9">
        <f t="shared" si="10"/>
        <v>0</v>
      </c>
      <c r="AZ48" s="9">
        <f t="shared" si="10"/>
        <v>0</v>
      </c>
      <c r="BA48" s="9">
        <f t="shared" si="10"/>
        <v>0</v>
      </c>
      <c r="BB48" s="9">
        <f t="shared" si="10"/>
        <v>0</v>
      </c>
      <c r="BC48" s="9">
        <f t="shared" si="10"/>
        <v>0</v>
      </c>
      <c r="BD48" s="9">
        <f t="shared" si="10"/>
        <v>0</v>
      </c>
      <c r="BE48" s="9">
        <f t="shared" si="10"/>
        <v>0</v>
      </c>
      <c r="BF48" s="9">
        <f t="shared" si="10"/>
        <v>0</v>
      </c>
      <c r="BG48" s="9">
        <f t="shared" si="10"/>
        <v>0</v>
      </c>
      <c r="BH48" s="9">
        <f t="shared" si="10"/>
        <v>0</v>
      </c>
      <c r="BI48" s="9">
        <f t="shared" si="10"/>
        <v>0</v>
      </c>
      <c r="BJ48" s="9">
        <f t="shared" si="10"/>
        <v>0</v>
      </c>
      <c r="BK48" s="9">
        <f t="shared" si="10"/>
        <v>0</v>
      </c>
      <c r="BL48" s="9">
        <f t="shared" si="10"/>
        <v>5595934</v>
      </c>
      <c r="BM48" s="9">
        <f t="shared" si="10"/>
        <v>0</v>
      </c>
      <c r="BN48" s="9">
        <f t="shared" si="10"/>
        <v>977487</v>
      </c>
      <c r="BO48" s="9">
        <f t="shared" si="10"/>
        <v>0</v>
      </c>
      <c r="BP48" s="9">
        <f t="shared" si="10"/>
        <v>7815017</v>
      </c>
      <c r="BQ48" s="9">
        <f t="shared" si="10"/>
        <v>0</v>
      </c>
      <c r="BR48" s="9">
        <f t="shared" si="10"/>
        <v>13410951</v>
      </c>
      <c r="BS48" s="9">
        <f t="shared" si="10"/>
        <v>0</v>
      </c>
      <c r="BT48" s="9">
        <f t="shared" si="10"/>
        <v>-978203</v>
      </c>
      <c r="BU48" s="9"/>
    </row>
    <row r="49" spans="1:73">
      <c r="A49" s="57"/>
      <c r="B49" s="234"/>
      <c r="C49"/>
      <c r="D49"/>
      <c r="E49"/>
      <c r="F49"/>
      <c r="G49"/>
      <c r="H49"/>
      <c r="I49"/>
      <c r="J49" s="49"/>
      <c r="K49"/>
      <c r="L49" s="134"/>
      <c r="M49" s="6"/>
      <c r="O49" s="6"/>
      <c r="Q49" s="6"/>
      <c r="S49" s="6"/>
      <c r="T49" s="6"/>
      <c r="U49" s="6"/>
      <c r="V49" s="6"/>
      <c r="X49" s="6"/>
      <c r="Z49" s="6"/>
      <c r="AB49" s="6"/>
      <c r="AD49" s="6"/>
      <c r="AI49"/>
      <c r="AK49"/>
      <c r="AM49"/>
      <c r="BJ49" s="6"/>
      <c r="BK49" s="6"/>
      <c r="BM49" s="6"/>
      <c r="BN49" s="6"/>
      <c r="BO49" s="6"/>
      <c r="BU49" s="6"/>
    </row>
    <row r="50" spans="1:73">
      <c r="B50" s="21" t="s">
        <v>301</v>
      </c>
      <c r="C50"/>
      <c r="D50"/>
      <c r="E50"/>
      <c r="F50"/>
      <c r="G50"/>
      <c r="H50"/>
      <c r="I50"/>
      <c r="J50" s="49"/>
      <c r="K50"/>
      <c r="L50" s="134"/>
      <c r="M50" s="6"/>
      <c r="O50" s="6"/>
      <c r="Q50" s="6"/>
      <c r="S50" s="6"/>
      <c r="T50" s="6"/>
      <c r="U50" s="6"/>
      <c r="V50" s="6"/>
      <c r="X50" s="6"/>
      <c r="Z50" s="6"/>
      <c r="AB50" s="6"/>
      <c r="AD50" s="6"/>
      <c r="AI50"/>
      <c r="AK50"/>
      <c r="AM50"/>
      <c r="BJ50" s="6"/>
      <c r="BK50" s="6"/>
      <c r="BL50" s="6">
        <f>SUM(T50:BK50)</f>
        <v>0</v>
      </c>
      <c r="BM50" s="6"/>
      <c r="BN50" s="6"/>
      <c r="BO50" s="6"/>
      <c r="BU50" s="6"/>
    </row>
    <row r="51" spans="1:73">
      <c r="A51"/>
      <c r="B51" s="233" t="s">
        <v>536</v>
      </c>
      <c r="C51"/>
      <c r="D51"/>
      <c r="E51"/>
      <c r="F51"/>
      <c r="G51"/>
      <c r="H51"/>
      <c r="I51"/>
      <c r="J51" s="49" t="s">
        <v>229</v>
      </c>
      <c r="K51"/>
      <c r="L51" s="134"/>
      <c r="M51" s="6"/>
      <c r="O51" s="6"/>
      <c r="Q51" s="6"/>
      <c r="R51" s="235">
        <v>337160</v>
      </c>
      <c r="S51" s="6"/>
      <c r="T51" s="6"/>
      <c r="U51" s="6"/>
      <c r="V51" s="6"/>
      <c r="X51" s="6"/>
      <c r="Z51" s="6"/>
      <c r="AB51" s="6"/>
      <c r="AD51" s="6"/>
      <c r="AI51"/>
      <c r="AK51"/>
      <c r="AM51"/>
      <c r="AX51" s="6">
        <v>124742</v>
      </c>
      <c r="BJ51" s="6"/>
      <c r="BK51" s="6"/>
      <c r="BL51" s="6">
        <f>SUM(T51:BK51)</f>
        <v>124742</v>
      </c>
      <c r="BM51" s="6"/>
      <c r="BN51" s="6"/>
      <c r="BO51" s="6"/>
      <c r="BP51" s="6">
        <f>IF(+R51-BL51+BN51&gt;0,R51-BL51+BN51,0)</f>
        <v>212418</v>
      </c>
      <c r="BR51" s="6">
        <f>+BL51+BP51</f>
        <v>337160</v>
      </c>
      <c r="BT51" s="6">
        <f>+R51-BR51</f>
        <v>0</v>
      </c>
      <c r="BU51" s="6"/>
    </row>
    <row r="52" spans="1:73">
      <c r="A52"/>
      <c r="B52" s="233" t="s">
        <v>537</v>
      </c>
      <c r="C52"/>
      <c r="D52"/>
      <c r="E52"/>
      <c r="F52"/>
      <c r="G52"/>
      <c r="H52"/>
      <c r="I52"/>
      <c r="J52" s="49" t="s">
        <v>229</v>
      </c>
      <c r="K52"/>
      <c r="L52" s="134"/>
      <c r="M52" s="6"/>
      <c r="O52" s="6"/>
      <c r="Q52" s="6"/>
      <c r="R52" s="235">
        <v>3526570</v>
      </c>
      <c r="S52" s="6"/>
      <c r="T52" s="6"/>
      <c r="U52" s="6"/>
      <c r="V52" s="6"/>
      <c r="X52" s="6"/>
      <c r="Z52" s="6"/>
      <c r="AB52" s="6"/>
      <c r="AD52" s="6"/>
      <c r="AI52"/>
      <c r="AK52"/>
      <c r="AM52"/>
      <c r="AP52" s="6">
        <v>115533</v>
      </c>
      <c r="AT52" s="6">
        <f>9367+346600</f>
        <v>355967</v>
      </c>
      <c r="AX52" s="6">
        <f>1125407-471500</f>
        <v>653907</v>
      </c>
      <c r="BJ52" s="6"/>
      <c r="BK52" s="6"/>
      <c r="BL52" s="6">
        <f>SUM(T52:BK52)</f>
        <v>1125407</v>
      </c>
      <c r="BM52" s="6"/>
      <c r="BN52" s="6">
        <f>3268613-3526570</f>
        <v>-257957</v>
      </c>
      <c r="BO52" s="6"/>
      <c r="BP52" s="6">
        <f>IF(+R52-BL52+BN52&gt;0,R52-BL52+BN52,0)</f>
        <v>2143206</v>
      </c>
      <c r="BR52" s="6">
        <f>+BL52+BP52</f>
        <v>3268613</v>
      </c>
      <c r="BT52" s="6">
        <f>+R52-BR52</f>
        <v>257957</v>
      </c>
      <c r="BU52" s="6"/>
    </row>
    <row r="53" spans="1:73">
      <c r="A53"/>
      <c r="B53" s="233" t="s">
        <v>19</v>
      </c>
      <c r="C53"/>
      <c r="D53"/>
      <c r="E53"/>
      <c r="F53"/>
      <c r="G53"/>
      <c r="H53"/>
      <c r="I53"/>
      <c r="J53" s="49" t="s">
        <v>229</v>
      </c>
      <c r="K53"/>
      <c r="L53" s="134"/>
      <c r="M53" s="6"/>
      <c r="O53" s="6"/>
      <c r="Q53" s="6"/>
      <c r="R53" s="235">
        <v>967394</v>
      </c>
      <c r="S53" s="6"/>
      <c r="T53" s="6"/>
      <c r="U53" s="6"/>
      <c r="V53" s="6"/>
      <c r="X53" s="6"/>
      <c r="Z53" s="6"/>
      <c r="AB53" s="6"/>
      <c r="AD53" s="6"/>
      <c r="AI53"/>
      <c r="AK53"/>
      <c r="AM53"/>
      <c r="AX53" s="6">
        <v>7369</v>
      </c>
      <c r="BJ53" s="6"/>
      <c r="BK53" s="6"/>
      <c r="BL53" s="6">
        <f>SUM(T53:BK53)</f>
        <v>7369</v>
      </c>
      <c r="BM53" s="6"/>
      <c r="BN53" s="6">
        <f>877394-967394</f>
        <v>-90000</v>
      </c>
      <c r="BO53" s="6"/>
      <c r="BP53" s="6">
        <f>IF(+R53-BL53+BN53&gt;0,R53-BL53+BN53,0)</f>
        <v>870025</v>
      </c>
      <c r="BR53" s="6">
        <f>+BL53+BP53</f>
        <v>877394</v>
      </c>
      <c r="BT53" s="6">
        <f>+R53-BR53</f>
        <v>90000</v>
      </c>
      <c r="BU53" s="6"/>
    </row>
    <row r="54" spans="1:73">
      <c r="A54"/>
      <c r="B54" s="233" t="s">
        <v>538</v>
      </c>
      <c r="C54"/>
      <c r="D54"/>
      <c r="E54"/>
      <c r="F54"/>
      <c r="G54"/>
      <c r="H54"/>
      <c r="I54"/>
      <c r="J54" s="49" t="s">
        <v>229</v>
      </c>
      <c r="K54"/>
      <c r="L54" s="134"/>
      <c r="M54" s="6"/>
      <c r="O54" s="6"/>
      <c r="Q54" s="6"/>
      <c r="R54" s="235">
        <v>577625</v>
      </c>
      <c r="S54" s="6"/>
      <c r="T54" s="6"/>
      <c r="U54" s="6"/>
      <c r="V54" s="6"/>
      <c r="X54" s="6"/>
      <c r="Z54" s="6"/>
      <c r="AB54" s="6"/>
      <c r="AD54" s="6"/>
      <c r="AI54"/>
      <c r="AK54"/>
      <c r="AM54"/>
      <c r="AT54" s="6">
        <v>3829</v>
      </c>
      <c r="AX54" s="6">
        <f>4953-3829</f>
        <v>1124</v>
      </c>
      <c r="BJ54" s="6"/>
      <c r="BK54" s="6"/>
      <c r="BL54" s="6">
        <f>SUM(T54:BK54)</f>
        <v>4953</v>
      </c>
      <c r="BM54" s="6"/>
      <c r="BN54" s="6">
        <f>466609-577625</f>
        <v>-111016</v>
      </c>
      <c r="BO54" s="6"/>
      <c r="BP54" s="6">
        <f>IF(+R54-BL54+BN54&gt;0,R54-BL54+BN54,0)</f>
        <v>461656</v>
      </c>
      <c r="BR54" s="6">
        <f>+BL54+BP54</f>
        <v>466609</v>
      </c>
      <c r="BT54" s="6">
        <f>+R54-BR54</f>
        <v>111016</v>
      </c>
      <c r="BU54" s="6"/>
    </row>
    <row r="55" spans="1:73" s="21" customFormat="1">
      <c r="B55" s="236" t="s">
        <v>302</v>
      </c>
      <c r="J55" s="8"/>
      <c r="L55" s="143" t="s">
        <v>202</v>
      </c>
      <c r="M55" s="9"/>
      <c r="N55" s="9">
        <v>0</v>
      </c>
      <c r="O55" s="9"/>
      <c r="P55" s="9">
        <v>0</v>
      </c>
      <c r="Q55" s="9"/>
      <c r="R55" s="9">
        <f t="shared" ref="R55:AW55" si="11">SUM(R51:R54)</f>
        <v>5408749</v>
      </c>
      <c r="S55" s="9">
        <f t="shared" si="11"/>
        <v>0</v>
      </c>
      <c r="T55" s="9">
        <f t="shared" si="11"/>
        <v>0</v>
      </c>
      <c r="U55" s="9">
        <f t="shared" si="11"/>
        <v>0</v>
      </c>
      <c r="V55" s="9">
        <f t="shared" si="11"/>
        <v>0</v>
      </c>
      <c r="W55" s="9">
        <f t="shared" si="11"/>
        <v>0</v>
      </c>
      <c r="X55" s="9">
        <f t="shared" si="11"/>
        <v>0</v>
      </c>
      <c r="Y55" s="9">
        <f t="shared" si="11"/>
        <v>0</v>
      </c>
      <c r="Z55" s="9">
        <f t="shared" si="11"/>
        <v>0</v>
      </c>
      <c r="AA55" s="9">
        <f t="shared" si="11"/>
        <v>0</v>
      </c>
      <c r="AB55" s="9">
        <f t="shared" si="11"/>
        <v>0</v>
      </c>
      <c r="AC55" s="9">
        <f t="shared" si="11"/>
        <v>0</v>
      </c>
      <c r="AD55" s="9">
        <f t="shared" si="11"/>
        <v>0</v>
      </c>
      <c r="AE55" s="9">
        <f t="shared" si="11"/>
        <v>0</v>
      </c>
      <c r="AF55" s="9">
        <f t="shared" si="11"/>
        <v>0</v>
      </c>
      <c r="AG55" s="9">
        <f t="shared" si="11"/>
        <v>0</v>
      </c>
      <c r="AH55" s="9">
        <f t="shared" si="11"/>
        <v>0</v>
      </c>
      <c r="AI55" s="9">
        <f t="shared" si="11"/>
        <v>0</v>
      </c>
      <c r="AJ55" s="9">
        <f t="shared" si="11"/>
        <v>0</v>
      </c>
      <c r="AK55" s="9">
        <f t="shared" si="11"/>
        <v>0</v>
      </c>
      <c r="AL55" s="9">
        <f t="shared" si="11"/>
        <v>0</v>
      </c>
      <c r="AM55" s="9">
        <f t="shared" si="11"/>
        <v>0</v>
      </c>
      <c r="AN55" s="9">
        <f t="shared" si="11"/>
        <v>0</v>
      </c>
      <c r="AO55" s="9">
        <f t="shared" si="11"/>
        <v>0</v>
      </c>
      <c r="AP55" s="9">
        <f t="shared" si="11"/>
        <v>115533</v>
      </c>
      <c r="AQ55" s="9">
        <f t="shared" si="11"/>
        <v>0</v>
      </c>
      <c r="AR55" s="9">
        <f t="shared" si="11"/>
        <v>0</v>
      </c>
      <c r="AS55" s="9">
        <f t="shared" si="11"/>
        <v>0</v>
      </c>
      <c r="AT55" s="9">
        <f t="shared" si="11"/>
        <v>359796</v>
      </c>
      <c r="AU55" s="9">
        <f t="shared" si="11"/>
        <v>0</v>
      </c>
      <c r="AV55" s="9">
        <f t="shared" si="11"/>
        <v>0</v>
      </c>
      <c r="AW55" s="9">
        <f t="shared" si="11"/>
        <v>0</v>
      </c>
      <c r="AX55" s="9">
        <f t="shared" ref="AX55:BT55" si="12">SUM(AX51:AX54)</f>
        <v>787142</v>
      </c>
      <c r="AY55" s="9">
        <f t="shared" si="12"/>
        <v>0</v>
      </c>
      <c r="AZ55" s="9">
        <f t="shared" si="12"/>
        <v>0</v>
      </c>
      <c r="BA55" s="9">
        <f t="shared" si="12"/>
        <v>0</v>
      </c>
      <c r="BB55" s="9">
        <f t="shared" si="12"/>
        <v>0</v>
      </c>
      <c r="BC55" s="9">
        <f t="shared" si="12"/>
        <v>0</v>
      </c>
      <c r="BD55" s="9">
        <f t="shared" si="12"/>
        <v>0</v>
      </c>
      <c r="BE55" s="9">
        <f t="shared" si="12"/>
        <v>0</v>
      </c>
      <c r="BF55" s="9">
        <f t="shared" si="12"/>
        <v>0</v>
      </c>
      <c r="BG55" s="9">
        <f t="shared" si="12"/>
        <v>0</v>
      </c>
      <c r="BH55" s="9">
        <f t="shared" si="12"/>
        <v>0</v>
      </c>
      <c r="BI55" s="9">
        <f t="shared" si="12"/>
        <v>0</v>
      </c>
      <c r="BJ55" s="9">
        <f t="shared" si="12"/>
        <v>0</v>
      </c>
      <c r="BK55" s="9">
        <f t="shared" si="12"/>
        <v>0</v>
      </c>
      <c r="BL55" s="9">
        <f t="shared" si="12"/>
        <v>1262471</v>
      </c>
      <c r="BM55" s="9">
        <f t="shared" si="12"/>
        <v>0</v>
      </c>
      <c r="BN55" s="9">
        <f t="shared" si="12"/>
        <v>-458973</v>
      </c>
      <c r="BO55" s="9">
        <f t="shared" si="12"/>
        <v>0</v>
      </c>
      <c r="BP55" s="9">
        <f t="shared" si="12"/>
        <v>3687305</v>
      </c>
      <c r="BQ55" s="9">
        <f t="shared" si="12"/>
        <v>0</v>
      </c>
      <c r="BR55" s="9">
        <f t="shared" si="12"/>
        <v>4949776</v>
      </c>
      <c r="BS55" s="9">
        <f t="shared" si="12"/>
        <v>0</v>
      </c>
      <c r="BT55" s="9">
        <f t="shared" si="12"/>
        <v>458973</v>
      </c>
      <c r="BU55" s="9"/>
    </row>
    <row r="56" spans="1:73" s="21" customFormat="1">
      <c r="B56" s="236"/>
      <c r="J56" s="8"/>
      <c r="L56" s="143"/>
      <c r="M56" s="9"/>
      <c r="N56" s="9"/>
      <c r="O56" s="9"/>
      <c r="P56" s="9"/>
      <c r="Q56" s="9"/>
      <c r="R56" s="9"/>
      <c r="S56" s="9"/>
      <c r="T56" s="9"/>
      <c r="U56" s="9"/>
      <c r="V56" s="9"/>
      <c r="W56" s="9"/>
      <c r="X56" s="9"/>
      <c r="Y56" s="9"/>
      <c r="Z56" s="9"/>
      <c r="AA56" s="9"/>
      <c r="AB56" s="9"/>
      <c r="AC56" s="9"/>
      <c r="AD56" s="9"/>
      <c r="AE56" s="9"/>
      <c r="AF56" s="9"/>
      <c r="AG56" s="9"/>
      <c r="AH56" s="9"/>
      <c r="AJ56" s="9"/>
      <c r="AL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row>
    <row r="57" spans="1:73" s="21" customFormat="1">
      <c r="B57" s="237" t="s">
        <v>314</v>
      </c>
      <c r="J57" s="8"/>
      <c r="L57" s="143"/>
      <c r="M57" s="9"/>
      <c r="N57" s="9"/>
      <c r="O57" s="9"/>
      <c r="P57" s="9"/>
      <c r="Q57" s="9"/>
      <c r="R57" s="9"/>
      <c r="S57" s="9"/>
      <c r="T57" s="9"/>
      <c r="U57" s="9"/>
      <c r="V57" s="9"/>
      <c r="W57" s="9"/>
      <c r="X57" s="9"/>
      <c r="Y57" s="9"/>
      <c r="Z57" s="9"/>
      <c r="AA57" s="9"/>
      <c r="AB57" s="9"/>
      <c r="AC57" s="9"/>
      <c r="AD57" s="9"/>
      <c r="AE57" s="9"/>
      <c r="AF57" s="9"/>
      <c r="AG57" s="9"/>
      <c r="AH57" s="9"/>
      <c r="AJ57" s="9"/>
      <c r="AL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row>
    <row r="58" spans="1:73" s="21" customFormat="1">
      <c r="B58" s="238" t="s">
        <v>303</v>
      </c>
      <c r="J58" s="8"/>
      <c r="L58" s="143"/>
      <c r="M58" s="9"/>
      <c r="N58" s="9"/>
      <c r="O58" s="9"/>
      <c r="P58" s="9"/>
      <c r="Q58" s="9"/>
      <c r="R58" s="235">
        <f>93420+927905</f>
        <v>1021325</v>
      </c>
      <c r="S58" s="9"/>
      <c r="T58" s="9"/>
      <c r="U58" s="9"/>
      <c r="V58" s="9"/>
      <c r="W58" s="9"/>
      <c r="X58" s="9"/>
      <c r="Y58" s="9"/>
      <c r="Z58" s="9"/>
      <c r="AA58" s="9"/>
      <c r="AB58" s="9"/>
      <c r="AC58" s="9"/>
      <c r="AD58" s="9"/>
      <c r="AE58" s="9"/>
      <c r="AF58" s="9"/>
      <c r="AG58" s="9"/>
      <c r="AH58" s="9"/>
      <c r="AJ58" s="9"/>
      <c r="AL58" s="9"/>
      <c r="AN58" s="9"/>
      <c r="AO58" s="9"/>
      <c r="AP58" s="9"/>
      <c r="AQ58" s="9"/>
      <c r="AR58" s="9"/>
      <c r="AS58" s="9"/>
      <c r="AT58" s="6">
        <v>673702</v>
      </c>
      <c r="AU58" s="9"/>
      <c r="AV58" s="9"/>
      <c r="AW58" s="9"/>
      <c r="AX58" s="6">
        <f>335475+372897-673702</f>
        <v>34670</v>
      </c>
      <c r="AY58" s="9"/>
      <c r="AZ58" s="9"/>
      <c r="BA58" s="9"/>
      <c r="BB58" s="9"/>
      <c r="BC58" s="9"/>
      <c r="BD58" s="9"/>
      <c r="BE58" s="9"/>
      <c r="BF58" s="9"/>
      <c r="BG58" s="9"/>
      <c r="BH58" s="9"/>
      <c r="BI58" s="9"/>
      <c r="BJ58" s="9"/>
      <c r="BK58" s="9"/>
      <c r="BL58" s="6">
        <f t="shared" ref="BL58:BL78" si="13">SUM(T58:BK58)</f>
        <v>708372</v>
      </c>
      <c r="BM58" s="9"/>
      <c r="BN58" s="6">
        <f>431043+930942-1021325</f>
        <v>340660</v>
      </c>
      <c r="BO58" s="9"/>
      <c r="BP58" s="6">
        <f>IF(+R58-BL58+BN58&gt;0,R58-BL58+BN58,0)</f>
        <v>653613</v>
      </c>
      <c r="BQ58" s="6"/>
      <c r="BR58" s="6">
        <f>+BL58+BP58</f>
        <v>1361985</v>
      </c>
      <c r="BS58" s="6"/>
      <c r="BT58" s="6">
        <f>+R58-BR58</f>
        <v>-340660</v>
      </c>
      <c r="BU58" s="9"/>
    </row>
    <row r="59" spans="1:73" s="21" customFormat="1">
      <c r="B59" s="238" t="s">
        <v>486</v>
      </c>
      <c r="J59" s="8"/>
      <c r="L59" s="143"/>
      <c r="M59" s="9"/>
      <c r="N59" s="9"/>
      <c r="O59" s="9"/>
      <c r="P59" s="9"/>
      <c r="Q59" s="9"/>
      <c r="R59" s="235"/>
      <c r="S59" s="9"/>
      <c r="T59" s="9"/>
      <c r="U59" s="9"/>
      <c r="V59" s="9"/>
      <c r="W59" s="9"/>
      <c r="X59" s="9"/>
      <c r="Y59" s="9"/>
      <c r="Z59" s="9"/>
      <c r="AA59" s="9"/>
      <c r="AB59" s="9"/>
      <c r="AC59" s="9"/>
      <c r="AD59" s="9"/>
      <c r="AE59" s="9"/>
      <c r="AF59" s="9"/>
      <c r="AG59" s="9"/>
      <c r="AH59" s="9"/>
      <c r="AJ59" s="9"/>
      <c r="AL59" s="9"/>
      <c r="AN59" s="9"/>
      <c r="AO59" s="9"/>
      <c r="AP59" s="9"/>
      <c r="AQ59" s="9"/>
      <c r="AR59" s="9"/>
      <c r="AS59" s="9"/>
      <c r="AT59" s="6">
        <v>3903</v>
      </c>
      <c r="AU59" s="9"/>
      <c r="AV59" s="9"/>
      <c r="AW59" s="9"/>
      <c r="AX59" s="6">
        <f>56319-3903</f>
        <v>52416</v>
      </c>
      <c r="AY59" s="9"/>
      <c r="AZ59" s="9"/>
      <c r="BA59" s="9"/>
      <c r="BB59" s="9"/>
      <c r="BC59" s="9"/>
      <c r="BD59" s="9"/>
      <c r="BE59" s="9"/>
      <c r="BF59" s="9"/>
      <c r="BG59" s="9"/>
      <c r="BH59" s="9"/>
      <c r="BI59" s="9"/>
      <c r="BJ59" s="9"/>
      <c r="BK59" s="9"/>
      <c r="BL59" s="6">
        <f>SUM(T59:BK59)</f>
        <v>56319</v>
      </c>
      <c r="BM59" s="6">
        <f>SUM(U59:BL59)</f>
        <v>112638</v>
      </c>
      <c r="BN59" s="6">
        <v>2535</v>
      </c>
      <c r="BO59" s="6">
        <f>SUM(W59:BN59)</f>
        <v>227811</v>
      </c>
      <c r="BP59" s="6">
        <f>IF(+R59-BL59+BN59&gt;0,R59-BL59+BN59,0)</f>
        <v>0</v>
      </c>
      <c r="BQ59" s="6">
        <f>SUM(Y59:BP59)</f>
        <v>455622</v>
      </c>
      <c r="BR59" s="6">
        <f>+BL59+BP59</f>
        <v>56319</v>
      </c>
      <c r="BS59" s="6">
        <f>SUM(AA59:BR59)</f>
        <v>967563</v>
      </c>
      <c r="BT59" s="6">
        <f>+R59-BR59</f>
        <v>-56319</v>
      </c>
      <c r="BU59" s="9"/>
    </row>
    <row r="60" spans="1:73" s="21" customFormat="1">
      <c r="B60" s="238" t="s">
        <v>539</v>
      </c>
      <c r="J60" s="8"/>
      <c r="L60" s="143"/>
      <c r="M60" s="9"/>
      <c r="N60" s="9"/>
      <c r="O60" s="9"/>
      <c r="P60" s="9"/>
      <c r="Q60" s="9"/>
      <c r="R60" s="235">
        <v>520119</v>
      </c>
      <c r="S60" s="9"/>
      <c r="T60" s="9"/>
      <c r="U60" s="9"/>
      <c r="V60" s="9"/>
      <c r="W60" s="9"/>
      <c r="X60" s="9"/>
      <c r="Y60" s="9"/>
      <c r="Z60" s="9"/>
      <c r="AA60" s="9"/>
      <c r="AB60" s="9"/>
      <c r="AC60" s="9"/>
      <c r="AD60" s="9"/>
      <c r="AE60" s="9"/>
      <c r="AF60" s="9"/>
      <c r="AG60" s="9"/>
      <c r="AH60" s="9"/>
      <c r="AJ60" s="9"/>
      <c r="AL60" s="9"/>
      <c r="AN60" s="9"/>
      <c r="AO60" s="9"/>
      <c r="AP60" s="6">
        <v>3780</v>
      </c>
      <c r="AQ60" s="9"/>
      <c r="AR60" s="9"/>
      <c r="AS60" s="9"/>
      <c r="AT60" s="6">
        <f>271106-3780</f>
        <v>267326</v>
      </c>
      <c r="AU60" s="9"/>
      <c r="AV60" s="9"/>
      <c r="AW60" s="9"/>
      <c r="AX60" s="6">
        <f>518815-271106</f>
        <v>247709</v>
      </c>
      <c r="AY60" s="9"/>
      <c r="AZ60" s="9"/>
      <c r="BA60" s="9"/>
      <c r="BB60" s="9"/>
      <c r="BC60" s="9"/>
      <c r="BD60" s="9"/>
      <c r="BE60" s="9"/>
      <c r="BF60" s="9"/>
      <c r="BG60" s="9"/>
      <c r="BH60" s="9"/>
      <c r="BI60" s="9"/>
      <c r="BJ60" s="9"/>
      <c r="BK60" s="9"/>
      <c r="BL60" s="6">
        <f t="shared" si="13"/>
        <v>518815</v>
      </c>
      <c r="BM60" s="6">
        <f>SUM(U60:BL60)</f>
        <v>1037630</v>
      </c>
      <c r="BN60" s="6">
        <f>763505-520119</f>
        <v>243386</v>
      </c>
      <c r="BO60" s="6">
        <f>SUM(W60:BN60)</f>
        <v>2318646</v>
      </c>
      <c r="BP60" s="6">
        <f>IF(+R60-BL60+BN60&gt;0,R60-BL60+BN60,0)</f>
        <v>244690</v>
      </c>
      <c r="BQ60" s="6">
        <f>SUM(Y60:BP60)</f>
        <v>4881982</v>
      </c>
      <c r="BR60" s="6">
        <f>+BL60+BP60</f>
        <v>763505</v>
      </c>
      <c r="BS60" s="6">
        <f>SUM(AA60:BR60)</f>
        <v>10527469</v>
      </c>
      <c r="BT60" s="6">
        <f>+R60-BR60</f>
        <v>-243386</v>
      </c>
      <c r="BU60" s="9"/>
    </row>
    <row r="61" spans="1:73" s="21" customFormat="1">
      <c r="B61" s="238" t="s">
        <v>304</v>
      </c>
      <c r="J61" s="8"/>
      <c r="L61" s="143"/>
      <c r="M61" s="9"/>
      <c r="N61" s="9"/>
      <c r="O61" s="9"/>
      <c r="P61" s="9"/>
      <c r="Q61" s="9"/>
      <c r="R61" s="235">
        <v>375128</v>
      </c>
      <c r="S61" s="9"/>
      <c r="T61" s="9"/>
      <c r="U61" s="9"/>
      <c r="V61" s="9"/>
      <c r="W61" s="9"/>
      <c r="X61" s="9"/>
      <c r="Y61" s="9"/>
      <c r="Z61" s="9"/>
      <c r="AA61" s="9"/>
      <c r="AB61" s="9"/>
      <c r="AC61" s="9"/>
      <c r="AD61" s="9"/>
      <c r="AE61" s="9"/>
      <c r="AF61" s="9"/>
      <c r="AG61" s="9"/>
      <c r="AH61" s="9"/>
      <c r="AJ61" s="9"/>
      <c r="AL61" s="9"/>
      <c r="AN61" s="9"/>
      <c r="AO61" s="9"/>
      <c r="AP61" s="6">
        <v>28611</v>
      </c>
      <c r="AQ61" s="9"/>
      <c r="AR61" s="9"/>
      <c r="AS61" s="9"/>
      <c r="AT61" s="6">
        <f>127939-28611</f>
        <v>99328</v>
      </c>
      <c r="AU61" s="9"/>
      <c r="AV61" s="9"/>
      <c r="AW61" s="9"/>
      <c r="AX61" s="6">
        <f>146856-127939</f>
        <v>18917</v>
      </c>
      <c r="AY61" s="9"/>
      <c r="AZ61" s="9"/>
      <c r="BA61" s="9"/>
      <c r="BB61" s="9"/>
      <c r="BC61" s="9"/>
      <c r="BD61" s="9"/>
      <c r="BE61" s="9"/>
      <c r="BF61" s="9"/>
      <c r="BG61" s="9"/>
      <c r="BH61" s="9"/>
      <c r="BI61" s="9"/>
      <c r="BJ61" s="9"/>
      <c r="BK61" s="9"/>
      <c r="BL61" s="6">
        <f t="shared" si="13"/>
        <v>146856</v>
      </c>
      <c r="BM61" s="9"/>
      <c r="BN61" s="9"/>
      <c r="BO61" s="9"/>
      <c r="BP61" s="6">
        <f t="shared" ref="BP61:BP77" si="14">IF(+R61-BL61+BN61&gt;0,R61-BL61+BN61,0)</f>
        <v>228272</v>
      </c>
      <c r="BQ61" s="6"/>
      <c r="BR61" s="6">
        <f t="shared" ref="BR61:BR78" si="15">+BL61+BP61</f>
        <v>375128</v>
      </c>
      <c r="BS61" s="6"/>
      <c r="BT61" s="6">
        <f t="shared" ref="BT61:BT78" si="16">+R61-BR61</f>
        <v>0</v>
      </c>
      <c r="BU61" s="9"/>
    </row>
    <row r="62" spans="1:73" s="21" customFormat="1">
      <c r="B62" s="238" t="s">
        <v>540</v>
      </c>
      <c r="J62" s="8"/>
      <c r="L62" s="143"/>
      <c r="M62" s="9"/>
      <c r="N62" s="9"/>
      <c r="O62" s="9"/>
      <c r="P62" s="9"/>
      <c r="Q62" s="9"/>
      <c r="R62" s="235">
        <v>460629</v>
      </c>
      <c r="S62" s="9"/>
      <c r="T62" s="9"/>
      <c r="U62" s="9"/>
      <c r="V62" s="9"/>
      <c r="W62" s="9"/>
      <c r="X62" s="9"/>
      <c r="Y62" s="9"/>
      <c r="Z62" s="9"/>
      <c r="AA62" s="9"/>
      <c r="AB62" s="9"/>
      <c r="AC62" s="9"/>
      <c r="AD62" s="9"/>
      <c r="AE62" s="9"/>
      <c r="AF62" s="9"/>
      <c r="AG62" s="9"/>
      <c r="AH62" s="9"/>
      <c r="AJ62" s="9"/>
      <c r="AL62" s="9"/>
      <c r="AN62" s="9"/>
      <c r="AO62" s="9"/>
      <c r="AP62" s="6">
        <v>3169</v>
      </c>
      <c r="AQ62" s="9"/>
      <c r="AR62" s="9"/>
      <c r="AS62" s="9"/>
      <c r="AT62" s="6">
        <f>205467-3169</f>
        <v>202298</v>
      </c>
      <c r="AU62" s="9"/>
      <c r="AV62" s="9"/>
      <c r="AW62" s="9"/>
      <c r="AX62" s="6">
        <f>362820-205467</f>
        <v>157353</v>
      </c>
      <c r="AY62" s="9"/>
      <c r="AZ62" s="9"/>
      <c r="BA62" s="9"/>
      <c r="BB62" s="9"/>
      <c r="BC62" s="9"/>
      <c r="BD62" s="9"/>
      <c r="BE62" s="9"/>
      <c r="BF62" s="9"/>
      <c r="BG62" s="9"/>
      <c r="BH62" s="9"/>
      <c r="BI62" s="9"/>
      <c r="BJ62" s="9"/>
      <c r="BK62" s="9"/>
      <c r="BL62" s="6">
        <f t="shared" si="13"/>
        <v>362820</v>
      </c>
      <c r="BM62" s="9"/>
      <c r="BN62" s="6">
        <f>678416-460629</f>
        <v>217787</v>
      </c>
      <c r="BO62" s="9"/>
      <c r="BP62" s="6">
        <f t="shared" si="14"/>
        <v>315596</v>
      </c>
      <c r="BQ62" s="6"/>
      <c r="BR62" s="6">
        <f t="shared" si="15"/>
        <v>678416</v>
      </c>
      <c r="BS62" s="6"/>
      <c r="BT62" s="6">
        <f t="shared" si="16"/>
        <v>-217787</v>
      </c>
      <c r="BU62" s="9"/>
    </row>
    <row r="63" spans="1:73" s="21" customFormat="1">
      <c r="B63" s="238" t="s">
        <v>305</v>
      </c>
      <c r="J63" s="8"/>
      <c r="L63" s="143"/>
      <c r="M63" s="9"/>
      <c r="N63" s="9"/>
      <c r="O63" s="9"/>
      <c r="P63" s="9"/>
      <c r="Q63" s="9"/>
      <c r="R63" s="235">
        <v>193150</v>
      </c>
      <c r="S63" s="9"/>
      <c r="T63" s="9"/>
      <c r="U63" s="9"/>
      <c r="V63" s="9"/>
      <c r="W63" s="9"/>
      <c r="X63" s="9"/>
      <c r="Y63" s="9"/>
      <c r="Z63" s="9"/>
      <c r="AA63" s="9"/>
      <c r="AB63" s="9"/>
      <c r="AC63" s="9"/>
      <c r="AD63" s="9"/>
      <c r="AE63" s="9"/>
      <c r="AF63" s="9"/>
      <c r="AG63" s="9"/>
      <c r="AH63" s="9"/>
      <c r="AJ63" s="9"/>
      <c r="AL63" s="9"/>
      <c r="AN63" s="9"/>
      <c r="AO63" s="9"/>
      <c r="AP63" s="6">
        <v>17185</v>
      </c>
      <c r="AQ63" s="9"/>
      <c r="AR63" s="9"/>
      <c r="AS63" s="9"/>
      <c r="AT63" s="6">
        <f>101228-17185</f>
        <v>84043</v>
      </c>
      <c r="AU63" s="9"/>
      <c r="AV63" s="9"/>
      <c r="AW63" s="9"/>
      <c r="AX63" s="6">
        <f>123436-101228</f>
        <v>22208</v>
      </c>
      <c r="AY63" s="9"/>
      <c r="AZ63" s="9"/>
      <c r="BA63" s="9"/>
      <c r="BB63" s="9"/>
      <c r="BC63" s="9"/>
      <c r="BD63" s="9"/>
      <c r="BE63" s="9"/>
      <c r="BF63" s="9"/>
      <c r="BG63" s="9"/>
      <c r="BH63" s="9"/>
      <c r="BI63" s="9"/>
      <c r="BJ63" s="9"/>
      <c r="BK63" s="9"/>
      <c r="BL63" s="6">
        <f t="shared" si="13"/>
        <v>123436</v>
      </c>
      <c r="BM63" s="9"/>
      <c r="BN63" s="9"/>
      <c r="BO63" s="9"/>
      <c r="BP63" s="6">
        <f t="shared" si="14"/>
        <v>69714</v>
      </c>
      <c r="BQ63" s="6"/>
      <c r="BR63" s="6">
        <f t="shared" si="15"/>
        <v>193150</v>
      </c>
      <c r="BS63" s="6"/>
      <c r="BT63" s="6">
        <f t="shared" si="16"/>
        <v>0</v>
      </c>
      <c r="BU63" s="9"/>
    </row>
    <row r="64" spans="1:73" s="21" customFormat="1">
      <c r="B64" s="238" t="s">
        <v>546</v>
      </c>
      <c r="J64" s="8"/>
      <c r="L64" s="143"/>
      <c r="M64" s="9"/>
      <c r="N64" s="9"/>
      <c r="O64" s="9"/>
      <c r="P64" s="9"/>
      <c r="Q64" s="9"/>
      <c r="R64" s="235">
        <v>896017</v>
      </c>
      <c r="S64" s="9"/>
      <c r="T64" s="9"/>
      <c r="U64" s="9"/>
      <c r="V64" s="9"/>
      <c r="W64" s="9"/>
      <c r="X64" s="9"/>
      <c r="Y64" s="9"/>
      <c r="Z64" s="9"/>
      <c r="AA64" s="9"/>
      <c r="AB64" s="9"/>
      <c r="AC64" s="9"/>
      <c r="AD64" s="9"/>
      <c r="AE64" s="9"/>
      <c r="AF64" s="9"/>
      <c r="AG64" s="9"/>
      <c r="AH64" s="9"/>
      <c r="AJ64" s="9"/>
      <c r="AL64" s="9"/>
      <c r="AN64" s="9"/>
      <c r="AO64" s="9"/>
      <c r="AP64" s="6">
        <v>3445</v>
      </c>
      <c r="AQ64" s="9"/>
      <c r="AR64" s="9"/>
      <c r="AS64" s="9"/>
      <c r="AT64" s="6">
        <f>374616-3445+20800</f>
        <v>391971</v>
      </c>
      <c r="AU64" s="9"/>
      <c r="AV64" s="9"/>
      <c r="AW64" s="9"/>
      <c r="AX64" s="6">
        <f>796722-395416</f>
        <v>401306</v>
      </c>
      <c r="AY64" s="9"/>
      <c r="AZ64" s="9"/>
      <c r="BA64" s="9"/>
      <c r="BB64" s="9"/>
      <c r="BC64" s="9"/>
      <c r="BD64" s="9"/>
      <c r="BE64" s="9"/>
      <c r="BF64" s="9"/>
      <c r="BG64" s="9"/>
      <c r="BH64" s="9"/>
      <c r="BI64" s="9"/>
      <c r="BJ64" s="9"/>
      <c r="BK64" s="9"/>
      <c r="BL64" s="6">
        <f t="shared" si="13"/>
        <v>796722</v>
      </c>
      <c r="BM64" s="9"/>
      <c r="BN64" s="6">
        <f>1395362-896017</f>
        <v>499345</v>
      </c>
      <c r="BO64" s="9"/>
      <c r="BP64" s="6">
        <f t="shared" si="14"/>
        <v>598640</v>
      </c>
      <c r="BQ64" s="6"/>
      <c r="BR64" s="6">
        <f t="shared" si="15"/>
        <v>1395362</v>
      </c>
      <c r="BS64" s="6"/>
      <c r="BT64" s="6">
        <f t="shared" si="16"/>
        <v>-499345</v>
      </c>
      <c r="BU64" s="9"/>
    </row>
    <row r="65" spans="2:75" s="21" customFormat="1">
      <c r="B65" s="238" t="s">
        <v>306</v>
      </c>
      <c r="J65" s="8"/>
      <c r="L65" s="143"/>
      <c r="M65" s="9"/>
      <c r="N65" s="9"/>
      <c r="O65" s="9"/>
      <c r="P65" s="9"/>
      <c r="Q65" s="9"/>
      <c r="R65" s="235">
        <v>664866</v>
      </c>
      <c r="S65" s="9"/>
      <c r="T65" s="9"/>
      <c r="U65" s="9"/>
      <c r="V65" s="9"/>
      <c r="W65" s="9"/>
      <c r="X65" s="9"/>
      <c r="Y65" s="9"/>
      <c r="Z65" s="9"/>
      <c r="AA65" s="9"/>
      <c r="AB65" s="9"/>
      <c r="AC65" s="9"/>
      <c r="AD65" s="9"/>
      <c r="AE65" s="9"/>
      <c r="AF65" s="9"/>
      <c r="AG65" s="9"/>
      <c r="AH65" s="9"/>
      <c r="AJ65" s="9"/>
      <c r="AL65" s="9"/>
      <c r="AN65" s="9"/>
      <c r="AO65" s="9"/>
      <c r="AP65" s="6">
        <v>0</v>
      </c>
      <c r="AQ65" s="9"/>
      <c r="AR65" s="9"/>
      <c r="AS65" s="9"/>
      <c r="AT65" s="6">
        <v>250012</v>
      </c>
      <c r="AU65" s="9"/>
      <c r="AV65" s="9"/>
      <c r="AW65" s="9"/>
      <c r="AX65" s="6">
        <f>520612-250012</f>
        <v>270600</v>
      </c>
      <c r="AY65" s="9"/>
      <c r="AZ65" s="9"/>
      <c r="BA65" s="9"/>
      <c r="BB65" s="9"/>
      <c r="BC65" s="9"/>
      <c r="BD65" s="9"/>
      <c r="BE65" s="9"/>
      <c r="BF65" s="9"/>
      <c r="BG65" s="9"/>
      <c r="BH65" s="9"/>
      <c r="BI65" s="9"/>
      <c r="BJ65" s="9"/>
      <c r="BK65" s="9"/>
      <c r="BL65" s="6">
        <f t="shared" si="13"/>
        <v>520612</v>
      </c>
      <c r="BM65" s="9"/>
      <c r="BN65" s="9"/>
      <c r="BO65" s="9"/>
      <c r="BP65" s="6">
        <f t="shared" si="14"/>
        <v>144254</v>
      </c>
      <c r="BQ65" s="6"/>
      <c r="BR65" s="6">
        <f t="shared" si="15"/>
        <v>664866</v>
      </c>
      <c r="BS65" s="6"/>
      <c r="BT65" s="6">
        <f t="shared" si="16"/>
        <v>0</v>
      </c>
      <c r="BU65" s="9"/>
    </row>
    <row r="66" spans="2:75" s="21" customFormat="1">
      <c r="B66" s="238" t="s">
        <v>551</v>
      </c>
      <c r="J66" s="8"/>
      <c r="L66" s="143"/>
      <c r="M66" s="9"/>
      <c r="N66" s="9"/>
      <c r="O66" s="9"/>
      <c r="P66" s="9"/>
      <c r="Q66" s="9"/>
      <c r="R66" s="235">
        <v>94449</v>
      </c>
      <c r="S66" s="9"/>
      <c r="T66" s="9"/>
      <c r="U66" s="9"/>
      <c r="V66" s="9"/>
      <c r="W66" s="9"/>
      <c r="X66" s="9"/>
      <c r="Y66" s="9"/>
      <c r="Z66" s="9"/>
      <c r="AA66" s="9"/>
      <c r="AB66" s="9"/>
      <c r="AC66" s="9"/>
      <c r="AD66" s="9"/>
      <c r="AE66" s="9"/>
      <c r="AF66" s="9"/>
      <c r="AG66" s="9"/>
      <c r="AH66" s="9"/>
      <c r="AJ66" s="9"/>
      <c r="AL66" s="9"/>
      <c r="AN66" s="9"/>
      <c r="AO66" s="9"/>
      <c r="AP66" s="6">
        <v>0</v>
      </c>
      <c r="AQ66" s="9"/>
      <c r="AR66" s="9"/>
      <c r="AS66" s="9"/>
      <c r="AT66" s="6">
        <v>4537</v>
      </c>
      <c r="AU66" s="9"/>
      <c r="AV66" s="9"/>
      <c r="AW66" s="9"/>
      <c r="AX66" s="6">
        <f>10758-4537</f>
        <v>6221</v>
      </c>
      <c r="AY66" s="9"/>
      <c r="AZ66" s="9"/>
      <c r="BA66" s="9"/>
      <c r="BB66" s="9"/>
      <c r="BC66" s="9"/>
      <c r="BD66" s="9"/>
      <c r="BE66" s="9"/>
      <c r="BF66" s="9"/>
      <c r="BG66" s="9"/>
      <c r="BH66" s="9"/>
      <c r="BI66" s="9"/>
      <c r="BJ66" s="9"/>
      <c r="BK66" s="9"/>
      <c r="BL66" s="6">
        <f t="shared" si="13"/>
        <v>10758</v>
      </c>
      <c r="BM66" s="6">
        <f>SUM(U66:BL66)</f>
        <v>21516</v>
      </c>
      <c r="BN66" s="6">
        <f>148255-94449</f>
        <v>53806</v>
      </c>
      <c r="BO66" s="6">
        <f>SUM(W66:BN66)</f>
        <v>96838</v>
      </c>
      <c r="BP66" s="6">
        <f t="shared" si="14"/>
        <v>137497</v>
      </c>
      <c r="BQ66" s="6">
        <f>SUM(Y66:BP66)</f>
        <v>331173</v>
      </c>
      <c r="BR66" s="6">
        <f t="shared" si="15"/>
        <v>148255</v>
      </c>
      <c r="BS66" s="6">
        <f>SUM(AA66:BR66)</f>
        <v>810601</v>
      </c>
      <c r="BT66" s="6">
        <f t="shared" si="16"/>
        <v>-53806</v>
      </c>
      <c r="BU66" s="6">
        <f>SUM(AC66:BT66)</f>
        <v>1567396</v>
      </c>
      <c r="BV66" s="6">
        <f>SUM(AD66:BU66)</f>
        <v>3134792</v>
      </c>
      <c r="BW66" s="6">
        <f>SUM(AE66:BV66)</f>
        <v>6269584</v>
      </c>
    </row>
    <row r="67" spans="2:75" s="21" customFormat="1">
      <c r="B67" s="238" t="s">
        <v>545</v>
      </c>
      <c r="J67" s="8"/>
      <c r="L67" s="143"/>
      <c r="M67" s="9"/>
      <c r="N67" s="9"/>
      <c r="O67" s="9"/>
      <c r="P67" s="9"/>
      <c r="Q67" s="9"/>
      <c r="R67" s="235">
        <v>46881</v>
      </c>
      <c r="S67" s="9"/>
      <c r="T67" s="9"/>
      <c r="U67" s="9"/>
      <c r="V67" s="9"/>
      <c r="W67" s="9"/>
      <c r="X67" s="9"/>
      <c r="Y67" s="9"/>
      <c r="Z67" s="9"/>
      <c r="AA67" s="9"/>
      <c r="AB67" s="9"/>
      <c r="AC67" s="9"/>
      <c r="AD67" s="9"/>
      <c r="AE67" s="9"/>
      <c r="AF67" s="9"/>
      <c r="AG67" s="9"/>
      <c r="AH67" s="9"/>
      <c r="AJ67" s="9"/>
      <c r="AL67" s="9"/>
      <c r="AN67" s="9"/>
      <c r="AO67" s="9"/>
      <c r="AP67" s="6">
        <v>0</v>
      </c>
      <c r="AQ67" s="9"/>
      <c r="AR67" s="9"/>
      <c r="AS67" s="9"/>
      <c r="AT67" s="6">
        <v>1645</v>
      </c>
      <c r="AU67" s="9"/>
      <c r="AV67" s="9"/>
      <c r="AW67" s="9"/>
      <c r="AX67" s="6">
        <f>7700-1645</f>
        <v>6055</v>
      </c>
      <c r="AY67" s="9"/>
      <c r="AZ67" s="9"/>
      <c r="BA67" s="9"/>
      <c r="BB67" s="9"/>
      <c r="BC67" s="9"/>
      <c r="BD67" s="9"/>
      <c r="BE67" s="9"/>
      <c r="BF67" s="9"/>
      <c r="BG67" s="9"/>
      <c r="BH67" s="9"/>
      <c r="BI67" s="9"/>
      <c r="BJ67" s="9"/>
      <c r="BK67" s="9"/>
      <c r="BL67" s="6">
        <f t="shared" si="13"/>
        <v>7700</v>
      </c>
      <c r="BM67" s="9"/>
      <c r="BN67" s="9"/>
      <c r="BO67" s="9"/>
      <c r="BP67" s="6">
        <f t="shared" si="14"/>
        <v>39181</v>
      </c>
      <c r="BQ67" s="6"/>
      <c r="BR67" s="6">
        <f t="shared" si="15"/>
        <v>46881</v>
      </c>
      <c r="BS67" s="6"/>
      <c r="BT67" s="6">
        <f t="shared" si="16"/>
        <v>0</v>
      </c>
      <c r="BU67" s="9"/>
    </row>
    <row r="68" spans="2:75" s="21" customFormat="1">
      <c r="B68" s="238" t="s">
        <v>307</v>
      </c>
      <c r="J68" s="8"/>
      <c r="L68" s="143"/>
      <c r="M68" s="9"/>
      <c r="N68" s="9"/>
      <c r="O68" s="9"/>
      <c r="P68" s="9"/>
      <c r="Q68" s="9"/>
      <c r="R68" s="235">
        <v>26528</v>
      </c>
      <c r="S68" s="9"/>
      <c r="T68" s="9"/>
      <c r="U68" s="9"/>
      <c r="V68" s="9"/>
      <c r="W68" s="9"/>
      <c r="X68" s="9"/>
      <c r="Y68" s="9"/>
      <c r="Z68" s="9"/>
      <c r="AA68" s="9"/>
      <c r="AB68" s="9"/>
      <c r="AC68" s="9"/>
      <c r="AD68" s="9"/>
      <c r="AE68" s="9"/>
      <c r="AF68" s="9"/>
      <c r="AG68" s="9"/>
      <c r="AH68" s="9"/>
      <c r="AJ68" s="9"/>
      <c r="AL68" s="9"/>
      <c r="AN68" s="9"/>
      <c r="AO68" s="9"/>
      <c r="AP68" s="6">
        <v>0</v>
      </c>
      <c r="AQ68" s="9"/>
      <c r="AR68" s="9"/>
      <c r="AS68" s="9"/>
      <c r="AT68" s="6">
        <v>182</v>
      </c>
      <c r="AU68" s="9"/>
      <c r="AV68" s="9"/>
      <c r="AW68" s="9"/>
      <c r="AX68" s="6">
        <f>2197-182</f>
        <v>2015</v>
      </c>
      <c r="AY68" s="9"/>
      <c r="AZ68" s="9"/>
      <c r="BA68" s="9"/>
      <c r="BB68" s="9"/>
      <c r="BC68" s="9"/>
      <c r="BD68" s="9"/>
      <c r="BE68" s="9"/>
      <c r="BF68" s="9"/>
      <c r="BG68" s="9"/>
      <c r="BH68" s="9"/>
      <c r="BI68" s="9"/>
      <c r="BJ68" s="9"/>
      <c r="BK68" s="9"/>
      <c r="BL68" s="6">
        <f t="shared" si="13"/>
        <v>2197</v>
      </c>
      <c r="BM68" s="9"/>
      <c r="BN68" s="6">
        <f>41160-26528</f>
        <v>14632</v>
      </c>
      <c r="BO68" s="9"/>
      <c r="BP68" s="6">
        <f t="shared" si="14"/>
        <v>38963</v>
      </c>
      <c r="BQ68" s="6"/>
      <c r="BR68" s="6">
        <f t="shared" si="15"/>
        <v>41160</v>
      </c>
      <c r="BS68" s="6"/>
      <c r="BT68" s="6">
        <f t="shared" si="16"/>
        <v>-14632</v>
      </c>
      <c r="BU68" s="9"/>
    </row>
    <row r="69" spans="2:75" s="21" customFormat="1">
      <c r="B69" s="238" t="s">
        <v>308</v>
      </c>
      <c r="J69" s="8"/>
      <c r="L69" s="143"/>
      <c r="M69" s="9"/>
      <c r="N69" s="9"/>
      <c r="O69" s="9"/>
      <c r="P69" s="9"/>
      <c r="Q69" s="9"/>
      <c r="R69" s="235">
        <v>94700</v>
      </c>
      <c r="S69" s="9"/>
      <c r="T69" s="9"/>
      <c r="U69" s="9"/>
      <c r="V69" s="9"/>
      <c r="W69" s="9"/>
      <c r="X69" s="9"/>
      <c r="Y69" s="9"/>
      <c r="Z69" s="9"/>
      <c r="AA69" s="9"/>
      <c r="AB69" s="9"/>
      <c r="AC69" s="9"/>
      <c r="AD69" s="9"/>
      <c r="AE69" s="9"/>
      <c r="AF69" s="9"/>
      <c r="AG69" s="9"/>
      <c r="AH69" s="9"/>
      <c r="AJ69" s="9"/>
      <c r="AL69" s="9"/>
      <c r="AN69" s="9"/>
      <c r="AO69" s="9"/>
      <c r="AP69" s="6">
        <v>0</v>
      </c>
      <c r="AQ69" s="9"/>
      <c r="AR69" s="9"/>
      <c r="AS69" s="9"/>
      <c r="AT69" s="6">
        <v>0</v>
      </c>
      <c r="AU69" s="9"/>
      <c r="AV69" s="9"/>
      <c r="AW69" s="9"/>
      <c r="AX69" s="6">
        <v>41858</v>
      </c>
      <c r="AY69" s="9"/>
      <c r="AZ69" s="9"/>
      <c r="BA69" s="9"/>
      <c r="BB69" s="9"/>
      <c r="BC69" s="9"/>
      <c r="BD69" s="9"/>
      <c r="BE69" s="9"/>
      <c r="BF69" s="9"/>
      <c r="BG69" s="9"/>
      <c r="BH69" s="9"/>
      <c r="BI69" s="9"/>
      <c r="BJ69" s="9"/>
      <c r="BK69" s="9"/>
      <c r="BL69" s="6">
        <f t="shared" si="13"/>
        <v>41858</v>
      </c>
      <c r="BM69" s="9"/>
      <c r="BN69" s="9"/>
      <c r="BO69" s="9"/>
      <c r="BP69" s="6">
        <f t="shared" si="14"/>
        <v>52842</v>
      </c>
      <c r="BQ69" s="6"/>
      <c r="BR69" s="6">
        <f t="shared" si="15"/>
        <v>94700</v>
      </c>
      <c r="BS69" s="6"/>
      <c r="BT69" s="6">
        <f t="shared" si="16"/>
        <v>0</v>
      </c>
      <c r="BU69" s="9"/>
    </row>
    <row r="70" spans="2:75" s="21" customFormat="1">
      <c r="B70" s="238" t="s">
        <v>309</v>
      </c>
      <c r="J70" s="8"/>
      <c r="L70" s="143"/>
      <c r="M70" s="9"/>
      <c r="N70" s="9"/>
      <c r="O70" s="9"/>
      <c r="P70" s="9"/>
      <c r="Q70" s="9"/>
      <c r="R70" s="235">
        <v>70928</v>
      </c>
      <c r="S70" s="9"/>
      <c r="T70" s="9"/>
      <c r="U70" s="9"/>
      <c r="V70" s="9"/>
      <c r="W70" s="9"/>
      <c r="X70" s="9"/>
      <c r="Y70" s="9"/>
      <c r="Z70" s="9"/>
      <c r="AA70" s="9"/>
      <c r="AB70" s="9"/>
      <c r="AC70" s="9"/>
      <c r="AD70" s="9"/>
      <c r="AE70" s="9"/>
      <c r="AF70" s="9"/>
      <c r="AG70" s="9"/>
      <c r="AH70" s="9"/>
      <c r="AJ70" s="9"/>
      <c r="AL70" s="9"/>
      <c r="AN70" s="9"/>
      <c r="AO70" s="9"/>
      <c r="AP70" s="6">
        <v>0</v>
      </c>
      <c r="AQ70" s="9"/>
      <c r="AR70" s="9"/>
      <c r="AS70" s="9"/>
      <c r="AT70" s="6">
        <v>0</v>
      </c>
      <c r="AU70" s="9"/>
      <c r="AV70" s="9"/>
      <c r="AW70" s="9"/>
      <c r="AX70" s="6">
        <f>5580+1244</f>
        <v>6824</v>
      </c>
      <c r="AY70" s="9"/>
      <c r="AZ70" s="9"/>
      <c r="BA70" s="9"/>
      <c r="BB70" s="9"/>
      <c r="BC70" s="9"/>
      <c r="BD70" s="9"/>
      <c r="BE70" s="9"/>
      <c r="BF70" s="9"/>
      <c r="BG70" s="9"/>
      <c r="BH70" s="9"/>
      <c r="BI70" s="9"/>
      <c r="BJ70" s="9"/>
      <c r="BK70" s="9"/>
      <c r="BL70" s="6">
        <f t="shared" si="13"/>
        <v>6824</v>
      </c>
      <c r="BM70" s="9"/>
      <c r="BN70" s="9">
        <v>0</v>
      </c>
      <c r="BO70" s="9"/>
      <c r="BP70" s="6">
        <f t="shared" si="14"/>
        <v>64104</v>
      </c>
      <c r="BQ70" s="6"/>
      <c r="BR70" s="6">
        <f t="shared" si="15"/>
        <v>70928</v>
      </c>
      <c r="BS70" s="6"/>
      <c r="BT70" s="6">
        <f t="shared" si="16"/>
        <v>0</v>
      </c>
      <c r="BU70" s="9"/>
    </row>
    <row r="71" spans="2:75" s="21" customFormat="1">
      <c r="B71" s="238" t="s">
        <v>310</v>
      </c>
      <c r="J71" s="8"/>
      <c r="L71" s="143"/>
      <c r="M71" s="9"/>
      <c r="N71" s="9"/>
      <c r="O71" s="9"/>
      <c r="P71" s="9"/>
      <c r="Q71" s="9"/>
      <c r="R71" s="235">
        <v>625218</v>
      </c>
      <c r="S71" s="9"/>
      <c r="T71" s="9"/>
      <c r="U71" s="9"/>
      <c r="V71" s="9"/>
      <c r="W71" s="9"/>
      <c r="X71" s="9"/>
      <c r="Y71" s="9"/>
      <c r="Z71" s="9"/>
      <c r="AA71" s="9"/>
      <c r="AB71" s="9"/>
      <c r="AC71" s="9"/>
      <c r="AD71" s="9"/>
      <c r="AE71" s="9"/>
      <c r="AF71" s="9"/>
      <c r="AG71" s="9"/>
      <c r="AH71" s="9"/>
      <c r="AJ71" s="9"/>
      <c r="AL71" s="9"/>
      <c r="AN71" s="9"/>
      <c r="AO71" s="9"/>
      <c r="AP71" s="6">
        <v>0</v>
      </c>
      <c r="AQ71" s="9"/>
      <c r="AR71" s="9"/>
      <c r="AS71" s="9"/>
      <c r="AT71" s="6">
        <v>0</v>
      </c>
      <c r="AU71" s="9"/>
      <c r="AV71" s="9"/>
      <c r="AW71" s="9"/>
      <c r="AX71" s="6">
        <v>130320</v>
      </c>
      <c r="AY71" s="9"/>
      <c r="AZ71" s="9"/>
      <c r="BA71" s="9"/>
      <c r="BB71" s="9"/>
      <c r="BC71" s="9"/>
      <c r="BD71" s="9"/>
      <c r="BE71" s="9"/>
      <c r="BF71" s="9"/>
      <c r="BG71" s="9"/>
      <c r="BH71" s="9"/>
      <c r="BI71" s="9"/>
      <c r="BJ71" s="9"/>
      <c r="BK71" s="9"/>
      <c r="BL71" s="6">
        <f t="shared" si="13"/>
        <v>130320</v>
      </c>
      <c r="BM71" s="9"/>
      <c r="BN71" s="9"/>
      <c r="BO71" s="9"/>
      <c r="BP71" s="6">
        <f t="shared" si="14"/>
        <v>494898</v>
      </c>
      <c r="BQ71" s="6"/>
      <c r="BR71" s="6">
        <f t="shared" si="15"/>
        <v>625218</v>
      </c>
      <c r="BS71" s="6"/>
      <c r="BT71" s="6">
        <f t="shared" si="16"/>
        <v>0</v>
      </c>
      <c r="BU71" s="9"/>
    </row>
    <row r="72" spans="2:75" s="21" customFormat="1">
      <c r="B72" s="238" t="s">
        <v>543</v>
      </c>
      <c r="J72" s="8"/>
      <c r="L72" s="143"/>
      <c r="M72" s="9"/>
      <c r="N72" s="9"/>
      <c r="O72" s="9"/>
      <c r="P72" s="9"/>
      <c r="Q72" s="9"/>
      <c r="R72" s="235">
        <v>351660</v>
      </c>
      <c r="S72" s="9"/>
      <c r="T72" s="9"/>
      <c r="U72" s="9"/>
      <c r="V72" s="9"/>
      <c r="W72" s="9"/>
      <c r="X72" s="9"/>
      <c r="Y72" s="9"/>
      <c r="Z72" s="9"/>
      <c r="AA72" s="9"/>
      <c r="AB72" s="9"/>
      <c r="AC72" s="9"/>
      <c r="AD72" s="9"/>
      <c r="AE72" s="9"/>
      <c r="AF72" s="9"/>
      <c r="AG72" s="9"/>
      <c r="AH72" s="9"/>
      <c r="AJ72" s="9"/>
      <c r="AL72" s="9"/>
      <c r="AN72" s="9"/>
      <c r="AO72" s="9"/>
      <c r="AP72" s="6">
        <v>0</v>
      </c>
      <c r="AQ72" s="9"/>
      <c r="AR72" s="9"/>
      <c r="AS72" s="9"/>
      <c r="AT72" s="6">
        <v>3409</v>
      </c>
      <c r="AU72" s="9"/>
      <c r="AV72" s="9"/>
      <c r="AW72" s="9"/>
      <c r="AX72" s="6">
        <f>4374-3409</f>
        <v>965</v>
      </c>
      <c r="AY72" s="9"/>
      <c r="AZ72" s="9"/>
      <c r="BA72" s="9"/>
      <c r="BB72" s="9"/>
      <c r="BC72" s="9"/>
      <c r="BD72" s="9"/>
      <c r="BE72" s="9"/>
      <c r="BF72" s="9"/>
      <c r="BG72" s="9"/>
      <c r="BH72" s="9"/>
      <c r="BI72" s="9"/>
      <c r="BJ72" s="9"/>
      <c r="BK72" s="9"/>
      <c r="BL72" s="6">
        <f t="shared" si="13"/>
        <v>4374</v>
      </c>
      <c r="BM72" s="9"/>
      <c r="BN72" s="6">
        <f>521832-351660</f>
        <v>170172</v>
      </c>
      <c r="BO72" s="9"/>
      <c r="BP72" s="6">
        <f t="shared" si="14"/>
        <v>517458</v>
      </c>
      <c r="BQ72" s="6"/>
      <c r="BR72" s="6">
        <f t="shared" si="15"/>
        <v>521832</v>
      </c>
      <c r="BS72" s="6"/>
      <c r="BT72" s="6">
        <f t="shared" si="16"/>
        <v>-170172</v>
      </c>
      <c r="BU72" s="9"/>
    </row>
    <row r="73" spans="2:75" s="21" customFormat="1">
      <c r="B73" s="238" t="s">
        <v>544</v>
      </c>
      <c r="J73" s="8"/>
      <c r="L73" s="143"/>
      <c r="M73" s="9"/>
      <c r="N73" s="9"/>
      <c r="O73" s="9"/>
      <c r="P73" s="9"/>
      <c r="Q73" s="9"/>
      <c r="R73" s="235">
        <v>1672316</v>
      </c>
      <c r="S73" s="9"/>
      <c r="T73" s="9"/>
      <c r="U73" s="9"/>
      <c r="V73" s="9"/>
      <c r="W73" s="9"/>
      <c r="X73" s="9"/>
      <c r="Y73" s="9"/>
      <c r="Z73" s="9"/>
      <c r="AA73" s="9"/>
      <c r="AB73" s="9"/>
      <c r="AC73" s="9"/>
      <c r="AD73" s="9"/>
      <c r="AE73" s="9"/>
      <c r="AF73" s="9"/>
      <c r="AG73" s="9"/>
      <c r="AH73" s="9"/>
      <c r="AJ73" s="9"/>
      <c r="AL73" s="9"/>
      <c r="AN73" s="9"/>
      <c r="AO73" s="9"/>
      <c r="AP73" s="6">
        <v>0</v>
      </c>
      <c r="AQ73" s="9"/>
      <c r="AR73" s="9"/>
      <c r="AS73" s="9"/>
      <c r="AT73" s="6">
        <v>3559</v>
      </c>
      <c r="AU73" s="9"/>
      <c r="AV73" s="9"/>
      <c r="AW73" s="9"/>
      <c r="AX73" s="6">
        <f>48259-3559</f>
        <v>44700</v>
      </c>
      <c r="AY73" s="9"/>
      <c r="AZ73" s="9"/>
      <c r="BA73" s="9"/>
      <c r="BB73" s="9"/>
      <c r="BC73" s="9"/>
      <c r="BD73" s="9"/>
      <c r="BE73" s="9"/>
      <c r="BF73" s="9"/>
      <c r="BG73" s="9"/>
      <c r="BH73" s="9"/>
      <c r="BI73" s="9"/>
      <c r="BJ73" s="9"/>
      <c r="BK73" s="9"/>
      <c r="BL73" s="6">
        <f t="shared" si="13"/>
        <v>48259</v>
      </c>
      <c r="BM73" s="9"/>
      <c r="BN73" s="6">
        <f>2693778-1672316</f>
        <v>1021462</v>
      </c>
      <c r="BO73" s="9"/>
      <c r="BP73" s="6">
        <f t="shared" si="14"/>
        <v>2645519</v>
      </c>
      <c r="BQ73" s="6"/>
      <c r="BR73" s="6">
        <f t="shared" si="15"/>
        <v>2693778</v>
      </c>
      <c r="BS73" s="6"/>
      <c r="BT73" s="6">
        <f t="shared" si="16"/>
        <v>-1021462</v>
      </c>
      <c r="BU73" s="9"/>
    </row>
    <row r="74" spans="2:75" s="21" customFormat="1">
      <c r="B74" s="238" t="s">
        <v>549</v>
      </c>
      <c r="J74" s="8"/>
      <c r="L74" s="143"/>
      <c r="M74" s="9"/>
      <c r="N74" s="9"/>
      <c r="O74" s="9"/>
      <c r="P74" s="9"/>
      <c r="Q74" s="9"/>
      <c r="R74" s="235">
        <v>373497</v>
      </c>
      <c r="S74" s="9"/>
      <c r="T74" s="9"/>
      <c r="U74" s="9"/>
      <c r="V74" s="9"/>
      <c r="W74" s="9"/>
      <c r="X74" s="9"/>
      <c r="Y74" s="9"/>
      <c r="Z74" s="9"/>
      <c r="AA74" s="9"/>
      <c r="AB74" s="9"/>
      <c r="AC74" s="9"/>
      <c r="AD74" s="9"/>
      <c r="AE74" s="9"/>
      <c r="AF74" s="9"/>
      <c r="AG74" s="9"/>
      <c r="AH74" s="9"/>
      <c r="AJ74" s="9"/>
      <c r="AL74" s="9"/>
      <c r="AN74" s="9"/>
      <c r="AO74" s="9"/>
      <c r="AP74" s="6">
        <v>308</v>
      </c>
      <c r="AQ74" s="9"/>
      <c r="AR74" s="9"/>
      <c r="AS74" s="9"/>
      <c r="AT74" s="6">
        <v>0</v>
      </c>
      <c r="AU74" s="9"/>
      <c r="AV74" s="9"/>
      <c r="AW74" s="9"/>
      <c r="AX74" s="6">
        <f>15157-308</f>
        <v>14849</v>
      </c>
      <c r="AY74" s="9"/>
      <c r="AZ74" s="9"/>
      <c r="BA74" s="9"/>
      <c r="BB74" s="9"/>
      <c r="BC74" s="9"/>
      <c r="BD74" s="9"/>
      <c r="BE74" s="9"/>
      <c r="BF74" s="9"/>
      <c r="BG74" s="9"/>
      <c r="BH74" s="9"/>
      <c r="BI74" s="9"/>
      <c r="BJ74" s="9"/>
      <c r="BK74" s="9"/>
      <c r="BL74" s="6">
        <f t="shared" si="13"/>
        <v>15157</v>
      </c>
      <c r="BM74" s="9"/>
      <c r="BN74" s="6">
        <f>510525-373497</f>
        <v>137028</v>
      </c>
      <c r="BO74" s="9"/>
      <c r="BP74" s="6">
        <f t="shared" si="14"/>
        <v>495368</v>
      </c>
      <c r="BQ74" s="6"/>
      <c r="BR74" s="6">
        <f t="shared" si="15"/>
        <v>510525</v>
      </c>
      <c r="BS74" s="6"/>
      <c r="BT74" s="6">
        <f t="shared" si="16"/>
        <v>-137028</v>
      </c>
      <c r="BU74" s="9"/>
    </row>
    <row r="75" spans="2:75" s="21" customFormat="1">
      <c r="B75" s="238" t="s">
        <v>312</v>
      </c>
      <c r="J75" s="8"/>
      <c r="L75" s="143"/>
      <c r="M75" s="9"/>
      <c r="N75" s="9"/>
      <c r="O75" s="9"/>
      <c r="P75" s="9"/>
      <c r="Q75" s="9"/>
      <c r="R75" s="235">
        <f>357127+230665</f>
        <v>587792</v>
      </c>
      <c r="S75" s="9"/>
      <c r="T75" s="9"/>
      <c r="U75" s="9"/>
      <c r="V75" s="9"/>
      <c r="W75" s="9"/>
      <c r="X75" s="9"/>
      <c r="Y75" s="9"/>
      <c r="Z75" s="9"/>
      <c r="AA75" s="9"/>
      <c r="AB75" s="9"/>
      <c r="AC75" s="9"/>
      <c r="AD75" s="9"/>
      <c r="AE75" s="9"/>
      <c r="AF75" s="9"/>
      <c r="AG75" s="9"/>
      <c r="AH75" s="9"/>
      <c r="AJ75" s="9"/>
      <c r="AL75" s="9"/>
      <c r="AN75" s="9"/>
      <c r="AO75" s="9"/>
      <c r="AP75" s="6">
        <v>0</v>
      </c>
      <c r="AQ75" s="9"/>
      <c r="AR75" s="9"/>
      <c r="AS75" s="9"/>
      <c r="AT75" s="6">
        <v>0</v>
      </c>
      <c r="AU75" s="9"/>
      <c r="AV75" s="9"/>
      <c r="AW75" s="9"/>
      <c r="AX75" s="6"/>
      <c r="AY75" s="9"/>
      <c r="AZ75" s="9"/>
      <c r="BA75" s="9"/>
      <c r="BB75" s="9"/>
      <c r="BC75" s="9"/>
      <c r="BD75" s="9"/>
      <c r="BE75" s="9"/>
      <c r="BF75" s="9"/>
      <c r="BG75" s="9"/>
      <c r="BH75" s="9"/>
      <c r="BI75" s="9"/>
      <c r="BJ75" s="9"/>
      <c r="BK75" s="9"/>
      <c r="BL75" s="6">
        <f t="shared" si="13"/>
        <v>0</v>
      </c>
      <c r="BM75" s="9"/>
      <c r="BN75" s="9"/>
      <c r="BO75" s="9"/>
      <c r="BP75" s="6">
        <f t="shared" si="14"/>
        <v>587792</v>
      </c>
      <c r="BQ75" s="6"/>
      <c r="BR75" s="6">
        <f t="shared" si="15"/>
        <v>587792</v>
      </c>
      <c r="BS75" s="6"/>
      <c r="BT75" s="6">
        <f t="shared" si="16"/>
        <v>0</v>
      </c>
      <c r="BU75" s="9"/>
    </row>
    <row r="76" spans="2:75" s="21" customFormat="1">
      <c r="B76" s="238" t="s">
        <v>548</v>
      </c>
      <c r="J76" s="8"/>
      <c r="L76" s="143"/>
      <c r="M76" s="9"/>
      <c r="N76" s="9"/>
      <c r="O76" s="9"/>
      <c r="P76" s="9"/>
      <c r="Q76" s="9"/>
      <c r="R76" s="235">
        <v>3449390</v>
      </c>
      <c r="S76" s="9"/>
      <c r="T76" s="9"/>
      <c r="U76" s="9"/>
      <c r="V76" s="9"/>
      <c r="W76" s="9"/>
      <c r="X76" s="9"/>
      <c r="Y76" s="9"/>
      <c r="Z76" s="9"/>
      <c r="AA76" s="9"/>
      <c r="AB76" s="9"/>
      <c r="AC76" s="9"/>
      <c r="AD76" s="9"/>
      <c r="AE76" s="9"/>
      <c r="AF76" s="9"/>
      <c r="AG76" s="9"/>
      <c r="AH76" s="9"/>
      <c r="AJ76" s="9"/>
      <c r="AL76" s="9"/>
      <c r="AN76" s="9"/>
      <c r="AO76" s="9"/>
      <c r="AP76" s="6">
        <f>3795+1050</f>
        <v>4845</v>
      </c>
      <c r="AQ76" s="9"/>
      <c r="AR76" s="9"/>
      <c r="AS76" s="9"/>
      <c r="AT76" s="6">
        <f>85455-3795+41645</f>
        <v>123305</v>
      </c>
      <c r="AU76" s="9"/>
      <c r="AV76" s="9"/>
      <c r="AW76" s="9"/>
      <c r="AX76" s="6">
        <f>519279-127100-1050</f>
        <v>391129</v>
      </c>
      <c r="AY76" s="9"/>
      <c r="AZ76" s="9"/>
      <c r="BA76" s="9"/>
      <c r="BB76" s="9"/>
      <c r="BC76" s="9"/>
      <c r="BD76" s="9"/>
      <c r="BE76" s="9"/>
      <c r="BF76" s="9"/>
      <c r="BG76" s="9"/>
      <c r="BH76" s="9"/>
      <c r="BI76" s="9"/>
      <c r="BJ76" s="9"/>
      <c r="BK76" s="9"/>
      <c r="BL76" s="6">
        <f t="shared" si="13"/>
        <v>519279</v>
      </c>
      <c r="BM76" s="9"/>
      <c r="BN76" s="6">
        <f>4266355-3449390</f>
        <v>816965</v>
      </c>
      <c r="BO76" s="9"/>
      <c r="BP76" s="6">
        <f t="shared" si="14"/>
        <v>3747076</v>
      </c>
      <c r="BQ76" s="6"/>
      <c r="BR76" s="6">
        <f t="shared" si="15"/>
        <v>4266355</v>
      </c>
      <c r="BS76" s="6"/>
      <c r="BT76" s="6">
        <f t="shared" si="16"/>
        <v>-816965</v>
      </c>
      <c r="BU76" s="9"/>
    </row>
    <row r="77" spans="2:75" s="21" customFormat="1">
      <c r="B77" s="238" t="s">
        <v>550</v>
      </c>
      <c r="J77" s="8"/>
      <c r="L77" s="143"/>
      <c r="M77" s="9"/>
      <c r="N77" s="9"/>
      <c r="O77" s="9"/>
      <c r="P77" s="9"/>
      <c r="Q77" s="9"/>
      <c r="R77" s="235">
        <v>752310</v>
      </c>
      <c r="S77" s="9"/>
      <c r="T77" s="9"/>
      <c r="U77" s="9"/>
      <c r="V77" s="9"/>
      <c r="W77" s="9"/>
      <c r="X77" s="9"/>
      <c r="Y77" s="9"/>
      <c r="Z77" s="9"/>
      <c r="AA77" s="9"/>
      <c r="AB77" s="9"/>
      <c r="AC77" s="9"/>
      <c r="AD77" s="9"/>
      <c r="AE77" s="9"/>
      <c r="AF77" s="9"/>
      <c r="AG77" s="9"/>
      <c r="AH77" s="9"/>
      <c r="AJ77" s="9"/>
      <c r="AL77" s="9"/>
      <c r="AN77" s="9"/>
      <c r="AO77" s="9"/>
      <c r="AP77" s="6">
        <v>0</v>
      </c>
      <c r="AQ77" s="9"/>
      <c r="AR77" s="9"/>
      <c r="AS77" s="9"/>
      <c r="AT77" s="6">
        <v>544</v>
      </c>
      <c r="AU77" s="9"/>
      <c r="AV77" s="9"/>
      <c r="AW77" s="9"/>
      <c r="AX77" s="6">
        <f>46182-544</f>
        <v>45638</v>
      </c>
      <c r="AY77" s="9"/>
      <c r="AZ77" s="9"/>
      <c r="BA77" s="9"/>
      <c r="BB77" s="9"/>
      <c r="BC77" s="9"/>
      <c r="BD77" s="9"/>
      <c r="BE77" s="9"/>
      <c r="BF77" s="9"/>
      <c r="BG77" s="9"/>
      <c r="BH77" s="9"/>
      <c r="BI77" s="9"/>
      <c r="BJ77" s="9"/>
      <c r="BK77" s="9"/>
      <c r="BL77" s="6">
        <f t="shared" si="13"/>
        <v>46182</v>
      </c>
      <c r="BM77" s="9"/>
      <c r="BN77" s="6">
        <f>1011805-752310</f>
        <v>259495</v>
      </c>
      <c r="BO77" s="9"/>
      <c r="BP77" s="6">
        <f t="shared" si="14"/>
        <v>965623</v>
      </c>
      <c r="BQ77" s="6"/>
      <c r="BR77" s="6">
        <f t="shared" si="15"/>
        <v>1011805</v>
      </c>
      <c r="BS77" s="6"/>
      <c r="BT77" s="6">
        <f t="shared" si="16"/>
        <v>-259495</v>
      </c>
      <c r="BU77" s="9"/>
    </row>
    <row r="78" spans="2:75" s="21" customFormat="1">
      <c r="B78" s="238" t="s">
        <v>487</v>
      </c>
      <c r="J78" s="8"/>
      <c r="L78" s="143"/>
      <c r="M78" s="9"/>
      <c r="N78" s="9"/>
      <c r="O78" s="9"/>
      <c r="P78" s="9"/>
      <c r="Q78" s="9"/>
      <c r="R78" s="9"/>
      <c r="S78" s="9"/>
      <c r="T78" s="9"/>
      <c r="U78" s="9"/>
      <c r="V78" s="9"/>
      <c r="W78" s="9"/>
      <c r="X78" s="9"/>
      <c r="Y78" s="9"/>
      <c r="Z78" s="9"/>
      <c r="AA78" s="9"/>
      <c r="AB78" s="9"/>
      <c r="AC78" s="9"/>
      <c r="AD78" s="9"/>
      <c r="AE78" s="9"/>
      <c r="AF78" s="9"/>
      <c r="AG78" s="9"/>
      <c r="AH78" s="9"/>
      <c r="AJ78" s="9"/>
      <c r="AL78" s="9"/>
      <c r="AN78" s="9"/>
      <c r="AO78" s="9"/>
      <c r="AP78" s="9"/>
      <c r="AQ78" s="9"/>
      <c r="AR78" s="9"/>
      <c r="AS78" s="9"/>
      <c r="AT78" s="6">
        <v>3058</v>
      </c>
      <c r="AU78" s="9"/>
      <c r="AV78" s="9"/>
      <c r="AW78" s="9"/>
      <c r="AX78" s="6">
        <f>17027-3058</f>
        <v>13969</v>
      </c>
      <c r="AY78" s="9"/>
      <c r="AZ78" s="9"/>
      <c r="BA78" s="9"/>
      <c r="BB78" s="9"/>
      <c r="BC78" s="9"/>
      <c r="BD78" s="9"/>
      <c r="BE78" s="9"/>
      <c r="BF78" s="9"/>
      <c r="BG78" s="9"/>
      <c r="BH78" s="9"/>
      <c r="BI78" s="9"/>
      <c r="BJ78" s="9"/>
      <c r="BK78" s="9"/>
      <c r="BL78" s="6">
        <f t="shared" si="13"/>
        <v>17027</v>
      </c>
      <c r="BM78" s="9"/>
      <c r="BN78" s="6">
        <v>0</v>
      </c>
      <c r="BO78" s="9"/>
      <c r="BP78" s="6">
        <f>IF(+R78-BL78+BN78&gt;0,R78-BL78+BN78,0)</f>
        <v>0</v>
      </c>
      <c r="BQ78" s="6"/>
      <c r="BR78" s="6">
        <f t="shared" si="15"/>
        <v>17027</v>
      </c>
      <c r="BS78" s="6"/>
      <c r="BT78" s="6">
        <f t="shared" si="16"/>
        <v>-17027</v>
      </c>
      <c r="BU78" s="9"/>
    </row>
    <row r="79" spans="2:75" s="21" customFormat="1">
      <c r="B79" s="239"/>
      <c r="J79" s="8"/>
      <c r="L79" s="143"/>
      <c r="M79" s="9"/>
      <c r="N79" s="9"/>
      <c r="O79" s="9"/>
      <c r="P79" s="9"/>
      <c r="Q79" s="9"/>
      <c r="R79" s="9"/>
      <c r="S79" s="9"/>
      <c r="T79" s="9"/>
      <c r="U79" s="9"/>
      <c r="V79" s="9"/>
      <c r="W79" s="9"/>
      <c r="X79" s="9"/>
      <c r="Y79" s="9"/>
      <c r="Z79" s="9"/>
      <c r="AA79" s="9"/>
      <c r="AB79" s="9"/>
      <c r="AC79" s="9"/>
      <c r="AD79" s="9"/>
      <c r="AE79" s="9"/>
      <c r="AF79" s="9"/>
      <c r="AG79" s="9"/>
      <c r="AH79" s="9"/>
      <c r="AJ79" s="9"/>
      <c r="AL79" s="9"/>
      <c r="AN79" s="9"/>
      <c r="AO79" s="9"/>
      <c r="AP79" s="9"/>
      <c r="AQ79" s="9"/>
      <c r="AR79" s="9"/>
      <c r="AS79" s="9"/>
      <c r="AT79" s="9"/>
      <c r="AU79" s="9"/>
      <c r="AV79" s="9"/>
      <c r="AW79" s="9"/>
      <c r="AX79" s="6"/>
      <c r="AY79" s="9"/>
      <c r="AZ79" s="9"/>
      <c r="BA79" s="9"/>
      <c r="BB79" s="9"/>
      <c r="BC79" s="9"/>
      <c r="BD79" s="9"/>
      <c r="BE79" s="9"/>
      <c r="BF79" s="9"/>
      <c r="BG79" s="9"/>
      <c r="BH79" s="9"/>
      <c r="BI79" s="9"/>
      <c r="BJ79" s="9"/>
      <c r="BK79" s="9"/>
      <c r="BL79" s="9"/>
      <c r="BM79" s="9"/>
      <c r="BN79" s="9"/>
      <c r="BO79" s="9"/>
      <c r="BP79" s="9"/>
      <c r="BQ79" s="9"/>
      <c r="BR79" s="9"/>
      <c r="BS79" s="9"/>
      <c r="BT79" s="9"/>
      <c r="BU79" s="9"/>
    </row>
    <row r="80" spans="2:75" s="21" customFormat="1">
      <c r="B80" s="236" t="s">
        <v>315</v>
      </c>
      <c r="J80" s="8"/>
      <c r="L80" s="143"/>
      <c r="M80" s="9"/>
      <c r="N80" s="9"/>
      <c r="O80" s="9"/>
      <c r="P80" s="9"/>
      <c r="Q80" s="9"/>
      <c r="R80" s="9">
        <f>SUM(R58:R79)</f>
        <v>12276903</v>
      </c>
      <c r="S80" s="9">
        <f t="shared" ref="S80:BU80" si="17">SUM(S58:S79)</f>
        <v>0</v>
      </c>
      <c r="T80" s="9">
        <f t="shared" si="17"/>
        <v>0</v>
      </c>
      <c r="U80" s="9">
        <f t="shared" si="17"/>
        <v>0</v>
      </c>
      <c r="V80" s="9">
        <f t="shared" si="17"/>
        <v>0</v>
      </c>
      <c r="W80" s="9">
        <f t="shared" si="17"/>
        <v>0</v>
      </c>
      <c r="X80" s="9">
        <f t="shared" si="17"/>
        <v>0</v>
      </c>
      <c r="Y80" s="9">
        <f t="shared" si="17"/>
        <v>0</v>
      </c>
      <c r="Z80" s="9">
        <f t="shared" si="17"/>
        <v>0</v>
      </c>
      <c r="AA80" s="9">
        <f t="shared" si="17"/>
        <v>0</v>
      </c>
      <c r="AB80" s="9">
        <f t="shared" si="17"/>
        <v>0</v>
      </c>
      <c r="AC80" s="9">
        <f t="shared" si="17"/>
        <v>0</v>
      </c>
      <c r="AD80" s="9">
        <f t="shared" si="17"/>
        <v>0</v>
      </c>
      <c r="AE80" s="9">
        <f t="shared" si="17"/>
        <v>0</v>
      </c>
      <c r="AF80" s="9">
        <f t="shared" si="17"/>
        <v>0</v>
      </c>
      <c r="AG80" s="9">
        <f t="shared" si="17"/>
        <v>0</v>
      </c>
      <c r="AH80" s="9">
        <f t="shared" si="17"/>
        <v>0</v>
      </c>
      <c r="AI80" s="9">
        <f t="shared" si="17"/>
        <v>0</v>
      </c>
      <c r="AJ80" s="9">
        <f t="shared" si="17"/>
        <v>0</v>
      </c>
      <c r="AK80" s="9">
        <f t="shared" si="17"/>
        <v>0</v>
      </c>
      <c r="AL80" s="9">
        <f t="shared" si="17"/>
        <v>0</v>
      </c>
      <c r="AM80" s="9">
        <f t="shared" si="17"/>
        <v>0</v>
      </c>
      <c r="AN80" s="9">
        <f t="shared" si="17"/>
        <v>0</v>
      </c>
      <c r="AO80" s="9">
        <f t="shared" si="17"/>
        <v>0</v>
      </c>
      <c r="AP80" s="9">
        <f t="shared" si="17"/>
        <v>61343</v>
      </c>
      <c r="AQ80" s="9">
        <f t="shared" si="17"/>
        <v>0</v>
      </c>
      <c r="AR80" s="9">
        <f t="shared" si="17"/>
        <v>0</v>
      </c>
      <c r="AS80" s="9">
        <f t="shared" si="17"/>
        <v>0</v>
      </c>
      <c r="AT80" s="9">
        <f t="shared" si="17"/>
        <v>2112822</v>
      </c>
      <c r="AU80" s="9">
        <f t="shared" si="17"/>
        <v>0</v>
      </c>
      <c r="AV80" s="9">
        <f t="shared" si="17"/>
        <v>0</v>
      </c>
      <c r="AW80" s="9">
        <f t="shared" si="17"/>
        <v>0</v>
      </c>
      <c r="AX80" s="9">
        <f t="shared" si="17"/>
        <v>1909722</v>
      </c>
      <c r="AY80" s="9">
        <f t="shared" si="17"/>
        <v>0</v>
      </c>
      <c r="AZ80" s="9">
        <f t="shared" si="17"/>
        <v>0</v>
      </c>
      <c r="BA80" s="9">
        <f t="shared" si="17"/>
        <v>0</v>
      </c>
      <c r="BB80" s="9">
        <f t="shared" si="17"/>
        <v>0</v>
      </c>
      <c r="BC80" s="9">
        <f t="shared" si="17"/>
        <v>0</v>
      </c>
      <c r="BD80" s="9">
        <f t="shared" si="17"/>
        <v>0</v>
      </c>
      <c r="BE80" s="9">
        <f t="shared" si="17"/>
        <v>0</v>
      </c>
      <c r="BF80" s="9">
        <f t="shared" si="17"/>
        <v>0</v>
      </c>
      <c r="BG80" s="9">
        <f t="shared" si="17"/>
        <v>0</v>
      </c>
      <c r="BH80" s="9">
        <f t="shared" si="17"/>
        <v>0</v>
      </c>
      <c r="BI80" s="9">
        <f t="shared" si="17"/>
        <v>0</v>
      </c>
      <c r="BJ80" s="9">
        <f t="shared" si="17"/>
        <v>0</v>
      </c>
      <c r="BK80" s="9">
        <f t="shared" si="17"/>
        <v>0</v>
      </c>
      <c r="BL80" s="9">
        <f t="shared" si="17"/>
        <v>4083887</v>
      </c>
      <c r="BM80" s="9">
        <f t="shared" si="17"/>
        <v>1171784</v>
      </c>
      <c r="BN80" s="9">
        <f t="shared" si="17"/>
        <v>3777273</v>
      </c>
      <c r="BO80" s="9">
        <f t="shared" si="17"/>
        <v>2643295</v>
      </c>
      <c r="BP80" s="9">
        <f t="shared" si="17"/>
        <v>12041100</v>
      </c>
      <c r="BQ80" s="9">
        <f t="shared" si="17"/>
        <v>5668777</v>
      </c>
      <c r="BR80" s="9">
        <f t="shared" si="17"/>
        <v>16124987</v>
      </c>
      <c r="BS80" s="9">
        <f t="shared" si="17"/>
        <v>12305633</v>
      </c>
      <c r="BT80" s="9">
        <f t="shared" si="17"/>
        <v>-3848084</v>
      </c>
      <c r="BU80" s="9">
        <f t="shared" si="17"/>
        <v>1567396</v>
      </c>
    </row>
    <row r="81" spans="1:73" s="21" customFormat="1">
      <c r="B81" s="236"/>
      <c r="J81" s="8"/>
      <c r="L81" s="143"/>
      <c r="M81" s="9"/>
      <c r="N81" s="9"/>
      <c r="O81" s="9"/>
      <c r="P81" s="9"/>
      <c r="Q81" s="9"/>
      <c r="R81" s="9"/>
      <c r="S81" s="9"/>
      <c r="T81" s="9"/>
      <c r="U81" s="9"/>
      <c r="V81" s="9"/>
      <c r="W81" s="9"/>
      <c r="X81" s="9"/>
      <c r="Y81" s="9"/>
      <c r="Z81" s="9"/>
      <c r="AA81" s="9"/>
      <c r="AB81" s="9"/>
      <c r="AC81" s="9"/>
      <c r="AD81" s="9"/>
      <c r="AE81" s="9"/>
      <c r="AF81" s="9"/>
      <c r="AG81" s="9"/>
      <c r="AH81" s="9"/>
      <c r="AJ81" s="9"/>
      <c r="AL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row>
    <row r="82" spans="1:73" s="21" customFormat="1">
      <c r="B82" s="241" t="s">
        <v>317</v>
      </c>
      <c r="J82" s="8"/>
      <c r="L82" s="143"/>
      <c r="M82" s="9"/>
      <c r="N82" s="9"/>
      <c r="O82" s="9"/>
      <c r="P82" s="9"/>
      <c r="Q82" s="9"/>
      <c r="R82" s="9"/>
      <c r="S82" s="9"/>
      <c r="T82" s="9"/>
      <c r="U82" s="9"/>
      <c r="V82" s="9"/>
      <c r="W82" s="9"/>
      <c r="X82" s="9"/>
      <c r="Y82" s="9"/>
      <c r="Z82" s="9"/>
      <c r="AA82" s="9"/>
      <c r="AB82" s="9"/>
      <c r="AC82" s="9"/>
      <c r="AD82" s="9"/>
      <c r="AE82" s="9"/>
      <c r="AF82" s="9"/>
      <c r="AG82" s="9"/>
      <c r="AH82" s="9"/>
      <c r="AJ82" s="9"/>
      <c r="AL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row>
    <row r="83" spans="1:73" s="21" customFormat="1">
      <c r="B83" s="240" t="s">
        <v>67</v>
      </c>
      <c r="J83" s="8"/>
      <c r="L83" s="143"/>
      <c r="M83" s="9"/>
      <c r="N83" s="9"/>
      <c r="O83" s="9"/>
      <c r="P83" s="9"/>
      <c r="Q83" s="9"/>
      <c r="R83" s="235">
        <v>7824800</v>
      </c>
      <c r="S83" s="9"/>
      <c r="T83" s="9"/>
      <c r="U83" s="9"/>
      <c r="V83" s="9"/>
      <c r="W83" s="9"/>
      <c r="X83" s="9"/>
      <c r="Y83" s="9"/>
      <c r="Z83" s="9"/>
      <c r="AA83" s="9"/>
      <c r="AB83" s="9"/>
      <c r="AC83" s="9"/>
      <c r="AD83" s="9"/>
      <c r="AE83" s="9"/>
      <c r="AF83" s="9"/>
      <c r="AG83" s="9"/>
      <c r="AH83" s="9"/>
      <c r="AJ83" s="9"/>
      <c r="AL83" s="9"/>
      <c r="AN83" s="9"/>
      <c r="AO83" s="9"/>
      <c r="AP83" s="9"/>
      <c r="AQ83" s="9"/>
      <c r="AR83" s="9"/>
      <c r="AS83" s="9"/>
      <c r="AT83" s="6">
        <v>355795</v>
      </c>
      <c r="AU83" s="9"/>
      <c r="AV83" s="9"/>
      <c r="AW83" s="9"/>
      <c r="AX83" s="6">
        <f>2255645-355795</f>
        <v>1899850</v>
      </c>
      <c r="AY83" s="9"/>
      <c r="AZ83" s="9"/>
      <c r="BA83" s="9"/>
      <c r="BB83" s="9"/>
      <c r="BC83" s="9"/>
      <c r="BD83" s="9"/>
      <c r="BE83" s="9"/>
      <c r="BF83" s="9"/>
      <c r="BG83" s="9"/>
      <c r="BH83" s="9"/>
      <c r="BI83" s="9"/>
      <c r="BJ83" s="9"/>
      <c r="BK83" s="9"/>
      <c r="BL83" s="6">
        <f>SUM(T83:BK83)</f>
        <v>2255645</v>
      </c>
      <c r="BM83" s="9"/>
      <c r="BN83" s="6">
        <f>10145929-7824800</f>
        <v>2321129</v>
      </c>
      <c r="BO83" s="9"/>
      <c r="BP83" s="6">
        <f>IF(+R83-BL83+BN83&gt;0,R83-BL83+BN83,0)</f>
        <v>7890284</v>
      </c>
      <c r="BQ83" s="6"/>
      <c r="BR83" s="6">
        <f>+BL83+BP83</f>
        <v>10145929</v>
      </c>
      <c r="BS83" s="6"/>
      <c r="BT83" s="6">
        <f>+R83-BR83</f>
        <v>-2321129</v>
      </c>
      <c r="BU83" s="9"/>
    </row>
    <row r="84" spans="1:73" s="21" customFormat="1">
      <c r="B84" s="233"/>
      <c r="J84" s="8"/>
      <c r="L84" s="143"/>
      <c r="M84" s="9"/>
      <c r="N84" s="9"/>
      <c r="O84" s="9"/>
      <c r="P84" s="9"/>
      <c r="Q84" s="9"/>
      <c r="R84" s="9"/>
      <c r="S84" s="9"/>
      <c r="T84" s="9"/>
      <c r="U84" s="9"/>
      <c r="V84" s="9"/>
      <c r="W84" s="9"/>
      <c r="X84" s="9"/>
      <c r="Y84" s="9"/>
      <c r="Z84" s="9"/>
      <c r="AA84" s="9"/>
      <c r="AB84" s="9"/>
      <c r="AC84" s="9"/>
      <c r="AD84" s="9"/>
      <c r="AE84" s="9"/>
      <c r="AF84" s="9"/>
      <c r="AG84" s="9"/>
      <c r="AH84" s="9"/>
      <c r="AJ84" s="9"/>
      <c r="AL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row>
    <row r="85" spans="1:73" s="21" customFormat="1">
      <c r="B85" s="234" t="s">
        <v>316</v>
      </c>
      <c r="J85" s="8"/>
      <c r="L85" s="143"/>
      <c r="M85" s="9"/>
      <c r="N85" s="9"/>
      <c r="O85" s="9"/>
      <c r="P85" s="9"/>
      <c r="Q85" s="9"/>
      <c r="R85" s="9">
        <f t="shared" ref="R85:AW85" si="18">SUM(R83:R84)</f>
        <v>7824800</v>
      </c>
      <c r="S85" s="9">
        <f t="shared" si="18"/>
        <v>0</v>
      </c>
      <c r="T85" s="9">
        <f t="shared" si="18"/>
        <v>0</v>
      </c>
      <c r="U85" s="9">
        <f t="shared" si="18"/>
        <v>0</v>
      </c>
      <c r="V85" s="9">
        <f t="shared" si="18"/>
        <v>0</v>
      </c>
      <c r="W85" s="9">
        <f t="shared" si="18"/>
        <v>0</v>
      </c>
      <c r="X85" s="9">
        <f t="shared" si="18"/>
        <v>0</v>
      </c>
      <c r="Y85" s="9">
        <f t="shared" si="18"/>
        <v>0</v>
      </c>
      <c r="Z85" s="9">
        <f t="shared" si="18"/>
        <v>0</v>
      </c>
      <c r="AA85" s="9">
        <f t="shared" si="18"/>
        <v>0</v>
      </c>
      <c r="AB85" s="9">
        <f t="shared" si="18"/>
        <v>0</v>
      </c>
      <c r="AC85" s="9">
        <f t="shared" si="18"/>
        <v>0</v>
      </c>
      <c r="AD85" s="9">
        <f t="shared" si="18"/>
        <v>0</v>
      </c>
      <c r="AE85" s="9">
        <f t="shared" si="18"/>
        <v>0</v>
      </c>
      <c r="AF85" s="9">
        <f t="shared" si="18"/>
        <v>0</v>
      </c>
      <c r="AG85" s="9">
        <f t="shared" si="18"/>
        <v>0</v>
      </c>
      <c r="AH85" s="9">
        <f t="shared" si="18"/>
        <v>0</v>
      </c>
      <c r="AI85" s="9">
        <f t="shared" si="18"/>
        <v>0</v>
      </c>
      <c r="AJ85" s="9">
        <f t="shared" si="18"/>
        <v>0</v>
      </c>
      <c r="AK85" s="9">
        <f t="shared" si="18"/>
        <v>0</v>
      </c>
      <c r="AL85" s="9">
        <f t="shared" si="18"/>
        <v>0</v>
      </c>
      <c r="AM85" s="9">
        <f t="shared" si="18"/>
        <v>0</v>
      </c>
      <c r="AN85" s="9">
        <f t="shared" si="18"/>
        <v>0</v>
      </c>
      <c r="AO85" s="9">
        <f t="shared" si="18"/>
        <v>0</v>
      </c>
      <c r="AP85" s="9">
        <f t="shared" si="18"/>
        <v>0</v>
      </c>
      <c r="AQ85" s="9">
        <f t="shared" si="18"/>
        <v>0</v>
      </c>
      <c r="AR85" s="9">
        <f t="shared" si="18"/>
        <v>0</v>
      </c>
      <c r="AS85" s="9">
        <f t="shared" si="18"/>
        <v>0</v>
      </c>
      <c r="AT85" s="9">
        <f t="shared" si="18"/>
        <v>355795</v>
      </c>
      <c r="AU85" s="9">
        <f t="shared" si="18"/>
        <v>0</v>
      </c>
      <c r="AV85" s="9">
        <f t="shared" si="18"/>
        <v>0</v>
      </c>
      <c r="AW85" s="9">
        <f t="shared" si="18"/>
        <v>0</v>
      </c>
      <c r="AX85" s="9">
        <f t="shared" ref="AX85:BT85" si="19">SUM(AX83:AX84)</f>
        <v>1899850</v>
      </c>
      <c r="AY85" s="9">
        <f t="shared" si="19"/>
        <v>0</v>
      </c>
      <c r="AZ85" s="9">
        <f t="shared" si="19"/>
        <v>0</v>
      </c>
      <c r="BA85" s="9">
        <f t="shared" si="19"/>
        <v>0</v>
      </c>
      <c r="BB85" s="9">
        <f t="shared" si="19"/>
        <v>0</v>
      </c>
      <c r="BC85" s="9">
        <f t="shared" si="19"/>
        <v>0</v>
      </c>
      <c r="BD85" s="9">
        <f t="shared" si="19"/>
        <v>0</v>
      </c>
      <c r="BE85" s="9">
        <f t="shared" si="19"/>
        <v>0</v>
      </c>
      <c r="BF85" s="9">
        <f t="shared" si="19"/>
        <v>0</v>
      </c>
      <c r="BG85" s="9">
        <f t="shared" si="19"/>
        <v>0</v>
      </c>
      <c r="BH85" s="9">
        <f t="shared" si="19"/>
        <v>0</v>
      </c>
      <c r="BI85" s="9">
        <f t="shared" si="19"/>
        <v>0</v>
      </c>
      <c r="BJ85" s="9">
        <f t="shared" si="19"/>
        <v>0</v>
      </c>
      <c r="BK85" s="9">
        <f t="shared" si="19"/>
        <v>0</v>
      </c>
      <c r="BL85" s="9">
        <f t="shared" si="19"/>
        <v>2255645</v>
      </c>
      <c r="BM85" s="9">
        <f t="shared" si="19"/>
        <v>0</v>
      </c>
      <c r="BN85" s="9">
        <f t="shared" si="19"/>
        <v>2321129</v>
      </c>
      <c r="BO85" s="9">
        <f t="shared" si="19"/>
        <v>0</v>
      </c>
      <c r="BP85" s="9">
        <f t="shared" si="19"/>
        <v>7890284</v>
      </c>
      <c r="BQ85" s="9">
        <f t="shared" si="19"/>
        <v>0</v>
      </c>
      <c r="BR85" s="9">
        <f t="shared" si="19"/>
        <v>10145929</v>
      </c>
      <c r="BS85" s="9">
        <f t="shared" si="19"/>
        <v>0</v>
      </c>
      <c r="BT85" s="9">
        <f t="shared" si="19"/>
        <v>-2321129</v>
      </c>
      <c r="BU85" s="9"/>
    </row>
    <row r="86" spans="1:73" s="21" customFormat="1">
      <c r="B86" s="234"/>
      <c r="J86" s="8"/>
      <c r="L86" s="143"/>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row>
    <row r="87" spans="1:73" s="21" customFormat="1">
      <c r="B87" s="241" t="s">
        <v>489</v>
      </c>
      <c r="J87" s="8"/>
      <c r="L87" s="143"/>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f>-6181306+5237441</f>
        <v>-943865</v>
      </c>
      <c r="AU87" s="9"/>
      <c r="AV87" s="9"/>
      <c r="AW87" s="9"/>
      <c r="AX87" s="9"/>
      <c r="AY87" s="9"/>
      <c r="AZ87" s="9"/>
      <c r="BA87" s="9"/>
      <c r="BB87" s="9"/>
      <c r="BC87" s="9"/>
      <c r="BD87" s="9"/>
      <c r="BE87" s="9"/>
      <c r="BF87" s="9"/>
      <c r="BG87" s="9"/>
      <c r="BH87" s="9"/>
      <c r="BI87" s="9"/>
      <c r="BJ87" s="9"/>
      <c r="BK87" s="9"/>
      <c r="BL87" s="6">
        <f>SUM(T87:BK87)</f>
        <v>-943865</v>
      </c>
      <c r="BM87" s="9"/>
      <c r="BN87" s="9"/>
      <c r="BO87" s="9"/>
      <c r="BP87" s="9">
        <v>-3953393</v>
      </c>
      <c r="BQ87" s="9"/>
      <c r="BR87" s="6">
        <v>-3953393</v>
      </c>
      <c r="BS87" s="9"/>
      <c r="BT87" s="6">
        <f>+R87-BR87</f>
        <v>3953393</v>
      </c>
      <c r="BU87" s="9"/>
    </row>
    <row r="88" spans="1:73" s="21" customFormat="1">
      <c r="B88" s="234"/>
      <c r="J88" s="8"/>
      <c r="L88" s="143"/>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row>
    <row r="89" spans="1:73" s="21" customFormat="1">
      <c r="B89" s="241" t="s">
        <v>318</v>
      </c>
      <c r="J89" s="8"/>
      <c r="L89" s="143"/>
      <c r="M89" s="9"/>
      <c r="N89" s="9"/>
      <c r="O89" s="9"/>
      <c r="P89" s="9"/>
      <c r="Q89" s="9"/>
      <c r="R89" s="9">
        <v>0</v>
      </c>
      <c r="S89" s="9"/>
      <c r="T89" s="9"/>
      <c r="U89" s="9"/>
      <c r="V89" s="9"/>
      <c r="W89" s="9"/>
      <c r="X89" s="9"/>
      <c r="Y89" s="9"/>
      <c r="Z89" s="9"/>
      <c r="AA89" s="9"/>
      <c r="AB89" s="9"/>
      <c r="AC89" s="9"/>
      <c r="AD89" s="9"/>
      <c r="AE89" s="9"/>
      <c r="AF89" s="9"/>
      <c r="AG89" s="9"/>
      <c r="AH89" s="9"/>
      <c r="AI89" s="9"/>
      <c r="AJ89" s="9"/>
      <c r="AK89" s="9"/>
      <c r="AL89" s="9"/>
      <c r="AM89" s="9"/>
      <c r="AN89" s="9"/>
      <c r="AO89" s="9"/>
      <c r="AP89" s="9">
        <f>4455378.55-803822</f>
        <v>3651556.55</v>
      </c>
      <c r="AQ89" s="9"/>
      <c r="AR89" s="9">
        <v>0</v>
      </c>
      <c r="AS89" s="9"/>
      <c r="AT89" s="9">
        <f>6181305.57-4997735</f>
        <v>1183570.5700000003</v>
      </c>
      <c r="AU89" s="9"/>
      <c r="AV89" s="9">
        <v>5993551</v>
      </c>
      <c r="AW89" s="9"/>
      <c r="AX89" s="9">
        <v>123980</v>
      </c>
      <c r="AY89" s="9"/>
      <c r="AZ89" s="9">
        <v>6627015</v>
      </c>
      <c r="BA89" s="9"/>
      <c r="BB89" s="9"/>
      <c r="BC89" s="9"/>
      <c r="BD89" s="9"/>
      <c r="BE89" s="9"/>
      <c r="BF89" s="9"/>
      <c r="BG89" s="9"/>
      <c r="BH89" s="9"/>
      <c r="BI89" s="9"/>
      <c r="BJ89" s="9"/>
      <c r="BK89" s="9"/>
      <c r="BL89" s="6">
        <f>SUM(T89:BK89)</f>
        <v>17579673.120000001</v>
      </c>
      <c r="BM89" s="9"/>
      <c r="BN89" s="9">
        <v>0</v>
      </c>
      <c r="BO89" s="9"/>
      <c r="BP89" s="9">
        <f>-BL89</f>
        <v>-17579673.120000001</v>
      </c>
      <c r="BQ89" s="9"/>
      <c r="BR89" s="6">
        <v>0</v>
      </c>
      <c r="BS89" s="6"/>
      <c r="BT89" s="6">
        <f>+R89-BR89</f>
        <v>0</v>
      </c>
      <c r="BU89" s="9"/>
    </row>
    <row r="90" spans="1:73" s="21" customFormat="1">
      <c r="B90" s="236"/>
      <c r="J90" s="8"/>
      <c r="L90" s="143"/>
      <c r="M90" s="9"/>
      <c r="N90" s="9"/>
      <c r="O90" s="9"/>
      <c r="P90" s="9"/>
      <c r="Q90" s="9"/>
      <c r="R90" s="9"/>
      <c r="S90" s="9"/>
      <c r="T90" s="9"/>
      <c r="U90" s="9"/>
      <c r="V90" s="9"/>
      <c r="W90" s="9"/>
      <c r="X90" s="9"/>
      <c r="Y90" s="9"/>
      <c r="Z90" s="9"/>
      <c r="AA90" s="9"/>
      <c r="AB90" s="9"/>
      <c r="AC90" s="9"/>
      <c r="AD90" s="9"/>
      <c r="AE90" s="9"/>
      <c r="AF90" s="9"/>
      <c r="AG90" s="9"/>
      <c r="AH90" s="9"/>
      <c r="AJ90" s="9"/>
      <c r="AL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row>
    <row r="91" spans="1:73" s="105" customFormat="1">
      <c r="A91" s="242"/>
      <c r="B91" s="243" t="s">
        <v>243</v>
      </c>
      <c r="J91" s="158"/>
      <c r="L91" s="144"/>
      <c r="M91" s="13"/>
      <c r="N91" s="244">
        <f>SUM(N38:N90)</f>
        <v>0</v>
      </c>
      <c r="O91" s="13"/>
      <c r="P91" s="244">
        <f>SUM(P38:P90)</f>
        <v>0</v>
      </c>
      <c r="Q91" s="13"/>
      <c r="R91" s="244">
        <f t="shared" ref="R91:AS91" si="20">R85+R80+R55+R48+R89</f>
        <v>37943200</v>
      </c>
      <c r="S91" s="244">
        <f t="shared" si="20"/>
        <v>0</v>
      </c>
      <c r="T91" s="244">
        <f t="shared" si="20"/>
        <v>0</v>
      </c>
      <c r="U91" s="244">
        <f t="shared" si="20"/>
        <v>0</v>
      </c>
      <c r="V91" s="244">
        <f t="shared" si="20"/>
        <v>0</v>
      </c>
      <c r="W91" s="244">
        <f t="shared" si="20"/>
        <v>0</v>
      </c>
      <c r="X91" s="244">
        <f t="shared" si="20"/>
        <v>0</v>
      </c>
      <c r="Y91" s="244">
        <f t="shared" si="20"/>
        <v>0</v>
      </c>
      <c r="Z91" s="244">
        <f t="shared" si="20"/>
        <v>0</v>
      </c>
      <c r="AA91" s="244">
        <f t="shared" si="20"/>
        <v>0</v>
      </c>
      <c r="AB91" s="244">
        <f t="shared" si="20"/>
        <v>0</v>
      </c>
      <c r="AC91" s="244">
        <f t="shared" si="20"/>
        <v>0</v>
      </c>
      <c r="AD91" s="244">
        <f t="shared" si="20"/>
        <v>0</v>
      </c>
      <c r="AE91" s="244">
        <f t="shared" si="20"/>
        <v>0</v>
      </c>
      <c r="AF91" s="244">
        <f t="shared" si="20"/>
        <v>0</v>
      </c>
      <c r="AG91" s="244">
        <f t="shared" si="20"/>
        <v>0</v>
      </c>
      <c r="AH91" s="244">
        <f t="shared" si="20"/>
        <v>0</v>
      </c>
      <c r="AI91" s="244">
        <f t="shared" si="20"/>
        <v>0</v>
      </c>
      <c r="AJ91" s="244">
        <f t="shared" si="20"/>
        <v>0</v>
      </c>
      <c r="AK91" s="244">
        <f t="shared" si="20"/>
        <v>0</v>
      </c>
      <c r="AL91" s="244">
        <f t="shared" si="20"/>
        <v>0</v>
      </c>
      <c r="AM91" s="244">
        <f t="shared" si="20"/>
        <v>0</v>
      </c>
      <c r="AN91" s="244">
        <f t="shared" si="20"/>
        <v>0</v>
      </c>
      <c r="AO91" s="244">
        <f t="shared" si="20"/>
        <v>0</v>
      </c>
      <c r="AP91" s="244">
        <f t="shared" si="20"/>
        <v>4455378.55</v>
      </c>
      <c r="AQ91" s="244">
        <f t="shared" si="20"/>
        <v>0</v>
      </c>
      <c r="AR91" s="244">
        <f t="shared" si="20"/>
        <v>0</v>
      </c>
      <c r="AS91" s="244">
        <f t="shared" si="20"/>
        <v>0</v>
      </c>
      <c r="AT91" s="244">
        <f t="shared" ref="AT91:BT91" si="21">AT85+AT80+AT55+AT48+AT89+AT87</f>
        <v>5237440.57</v>
      </c>
      <c r="AU91" s="244">
        <f t="shared" si="21"/>
        <v>0</v>
      </c>
      <c r="AV91" s="244">
        <f t="shared" si="21"/>
        <v>5993551</v>
      </c>
      <c r="AW91" s="244">
        <f t="shared" si="21"/>
        <v>0</v>
      </c>
      <c r="AX91" s="244">
        <f t="shared" si="21"/>
        <v>7520360</v>
      </c>
      <c r="AY91" s="244">
        <f t="shared" si="21"/>
        <v>0</v>
      </c>
      <c r="AZ91" s="244">
        <f t="shared" si="21"/>
        <v>6627015</v>
      </c>
      <c r="BA91" s="244">
        <f t="shared" si="21"/>
        <v>0</v>
      </c>
      <c r="BB91" s="244">
        <f t="shared" si="21"/>
        <v>0</v>
      </c>
      <c r="BC91" s="244">
        <f t="shared" si="21"/>
        <v>0</v>
      </c>
      <c r="BD91" s="244">
        <f t="shared" si="21"/>
        <v>0</v>
      </c>
      <c r="BE91" s="244">
        <f t="shared" si="21"/>
        <v>0</v>
      </c>
      <c r="BF91" s="244">
        <f t="shared" si="21"/>
        <v>0</v>
      </c>
      <c r="BG91" s="244">
        <f t="shared" si="21"/>
        <v>0</v>
      </c>
      <c r="BH91" s="244">
        <f t="shared" si="21"/>
        <v>0</v>
      </c>
      <c r="BI91" s="244">
        <f t="shared" si="21"/>
        <v>0</v>
      </c>
      <c r="BJ91" s="244">
        <f t="shared" si="21"/>
        <v>0</v>
      </c>
      <c r="BK91" s="244">
        <f t="shared" si="21"/>
        <v>0</v>
      </c>
      <c r="BL91" s="244">
        <f t="shared" si="21"/>
        <v>29833745.120000001</v>
      </c>
      <c r="BM91" s="244">
        <f t="shared" si="21"/>
        <v>1171784</v>
      </c>
      <c r="BN91" s="244">
        <f t="shared" si="21"/>
        <v>6616916</v>
      </c>
      <c r="BO91" s="244">
        <f t="shared" si="21"/>
        <v>2643295</v>
      </c>
      <c r="BP91" s="244">
        <f t="shared" si="21"/>
        <v>9900639.879999999</v>
      </c>
      <c r="BQ91" s="244">
        <f t="shared" si="21"/>
        <v>5668777</v>
      </c>
      <c r="BR91" s="244">
        <f t="shared" si="21"/>
        <v>40678250</v>
      </c>
      <c r="BS91" s="244">
        <f t="shared" si="21"/>
        <v>12305633</v>
      </c>
      <c r="BT91" s="244">
        <f t="shared" si="21"/>
        <v>-2735050</v>
      </c>
      <c r="BU91" s="244">
        <f>BU85+BU80+BU55+BU48+BU89</f>
        <v>1567396</v>
      </c>
    </row>
    <row r="92" spans="1:73">
      <c r="A92" s="57"/>
      <c r="B92" s="17"/>
      <c r="C92"/>
      <c r="D92"/>
      <c r="E92"/>
      <c r="F92"/>
      <c r="G92"/>
      <c r="H92"/>
      <c r="I92"/>
      <c r="J92" s="49"/>
      <c r="K92"/>
      <c r="L92" s="134"/>
      <c r="M92" s="6"/>
      <c r="O92" s="6"/>
      <c r="Q92" s="6"/>
      <c r="S92" s="6"/>
      <c r="T92" s="6"/>
      <c r="U92" s="6"/>
      <c r="V92" s="6"/>
      <c r="X92" s="6"/>
      <c r="Z92" s="6"/>
      <c r="AB92" s="6"/>
      <c r="AD92" s="6"/>
      <c r="BJ92" s="6"/>
      <c r="BK92" s="6"/>
      <c r="BM92" s="6"/>
      <c r="BN92" s="6"/>
      <c r="BO92" s="6"/>
      <c r="BU92" s="6"/>
    </row>
    <row r="93" spans="1:73">
      <c r="A93" s="57"/>
      <c r="B93" s="17"/>
      <c r="C93"/>
      <c r="D93"/>
      <c r="E93"/>
      <c r="F93"/>
      <c r="G93"/>
      <c r="H93"/>
      <c r="I93"/>
      <c r="J93" s="49"/>
      <c r="K93"/>
      <c r="L93" s="134"/>
      <c r="M93" s="6"/>
      <c r="O93" s="6"/>
      <c r="Q93" s="6"/>
      <c r="S93" s="6"/>
      <c r="T93" s="6"/>
      <c r="U93" s="6"/>
      <c r="V93" s="6"/>
      <c r="X93" s="6"/>
      <c r="Z93" s="6"/>
      <c r="AB93" s="6"/>
      <c r="AD93" s="6"/>
      <c r="BJ93" s="6"/>
      <c r="BK93" s="6"/>
      <c r="BM93" s="6"/>
      <c r="BN93" s="6"/>
      <c r="BO93" s="6"/>
      <c r="BU93" s="6"/>
    </row>
    <row r="94" spans="1:73">
      <c r="A94" s="56" t="s">
        <v>227</v>
      </c>
      <c r="B94" s="11"/>
      <c r="C94"/>
      <c r="D94"/>
      <c r="E94"/>
      <c r="F94"/>
      <c r="G94"/>
      <c r="H94"/>
      <c r="I94"/>
      <c r="J94" s="49"/>
      <c r="K94"/>
      <c r="L94" s="134"/>
      <c r="M94" s="6"/>
      <c r="O94" s="6"/>
      <c r="Q94" s="6"/>
      <c r="S94" s="6"/>
      <c r="T94" s="6"/>
      <c r="U94" s="6"/>
      <c r="V94" s="6"/>
      <c r="X94" s="6"/>
      <c r="Z94" s="6"/>
      <c r="AB94" s="6"/>
      <c r="AD94" s="6"/>
      <c r="BJ94" s="6"/>
      <c r="BK94" s="6"/>
      <c r="BM94" s="6"/>
      <c r="BN94" s="6"/>
      <c r="BO94" s="6"/>
      <c r="BU94" s="6"/>
    </row>
    <row r="95" spans="1:73">
      <c r="A95" s="61"/>
      <c r="B95" s="17" t="s">
        <v>228</v>
      </c>
      <c r="C95"/>
      <c r="D95"/>
      <c r="E95"/>
      <c r="F95"/>
      <c r="G95"/>
      <c r="H95"/>
      <c r="I95"/>
      <c r="J95" s="49" t="s">
        <v>236</v>
      </c>
      <c r="K95"/>
      <c r="L95" s="134" t="s">
        <v>202</v>
      </c>
      <c r="M95" s="6"/>
      <c r="N95" s="6">
        <v>0</v>
      </c>
      <c r="O95" s="6"/>
      <c r="P95" s="6">
        <v>0</v>
      </c>
      <c r="Q95" s="6"/>
      <c r="R95" s="6">
        <v>929800</v>
      </c>
      <c r="S95" s="6"/>
      <c r="T95" s="6">
        <v>0</v>
      </c>
      <c r="U95" s="22"/>
      <c r="V95" s="6">
        <v>0</v>
      </c>
      <c r="W95" s="22"/>
      <c r="X95" s="6">
        <v>0</v>
      </c>
      <c r="Y95" s="22"/>
      <c r="Z95" s="6">
        <v>0</v>
      </c>
      <c r="AA95" s="22"/>
      <c r="AB95" s="6">
        <v>0</v>
      </c>
      <c r="AC95" s="22"/>
      <c r="AD95" s="6">
        <v>0</v>
      </c>
      <c r="AE95" s="22"/>
      <c r="AF95" s="6">
        <v>0</v>
      </c>
      <c r="AG95" s="22"/>
      <c r="AH95" s="6">
        <f>929800/12</f>
        <v>77483.333333333328</v>
      </c>
      <c r="AI95" s="22"/>
      <c r="AJ95" s="6">
        <v>77483.33</v>
      </c>
      <c r="AK95" s="22"/>
      <c r="AL95" s="6">
        <v>77483.33</v>
      </c>
      <c r="AM95" s="22"/>
      <c r="AN95" s="6">
        <v>77483.33</v>
      </c>
      <c r="AO95" s="22"/>
      <c r="AP95" s="6">
        <v>77483.34</v>
      </c>
      <c r="AQ95" s="22"/>
      <c r="AR95" s="6">
        <v>77483.33</v>
      </c>
      <c r="AS95" s="22"/>
      <c r="AT95" s="6">
        <v>77483.33</v>
      </c>
      <c r="AV95" s="6">
        <v>77483.33</v>
      </c>
      <c r="AX95" s="6">
        <v>77483.34</v>
      </c>
      <c r="AZ95" s="6">
        <v>77483</v>
      </c>
      <c r="BB95" s="6">
        <v>0</v>
      </c>
      <c r="BD95" s="6">
        <v>0</v>
      </c>
      <c r="BF95" s="6">
        <v>0</v>
      </c>
      <c r="BH95" s="6">
        <v>0</v>
      </c>
      <c r="BJ95" s="6">
        <v>0</v>
      </c>
      <c r="BK95" s="6"/>
      <c r="BL95" s="6">
        <f t="shared" ref="BL95:BL100" si="22">SUM(T95:BK95)</f>
        <v>774832.99333333329</v>
      </c>
      <c r="BM95" s="6"/>
      <c r="BN95" s="6">
        <v>0</v>
      </c>
      <c r="BO95" s="6"/>
      <c r="BP95" s="6">
        <f t="shared" ref="BP95:BP101" si="23">IF(+R95-BL95+BN95&gt;0,R95-BL95+BN95,0)</f>
        <v>154967.00666666671</v>
      </c>
      <c r="BR95" s="6">
        <f t="shared" ref="BR95:BR100" si="24">+BL95+BP95</f>
        <v>929800</v>
      </c>
      <c r="BT95" s="6">
        <f t="shared" ref="BT95:BT101" si="25">+R95-BR95</f>
        <v>0</v>
      </c>
      <c r="BU95" s="6"/>
    </row>
    <row r="96" spans="1:73">
      <c r="A96" s="61"/>
      <c r="B96" s="17" t="s">
        <v>230</v>
      </c>
      <c r="C96"/>
      <c r="D96"/>
      <c r="E96"/>
      <c r="F96"/>
      <c r="G96"/>
      <c r="H96"/>
      <c r="I96"/>
      <c r="J96" s="49" t="s">
        <v>230</v>
      </c>
      <c r="K96"/>
      <c r="L96" s="134" t="s">
        <v>202</v>
      </c>
      <c r="M96" s="6"/>
      <c r="N96" s="6">
        <v>0</v>
      </c>
      <c r="O96" s="6"/>
      <c r="P96" s="6">
        <v>0</v>
      </c>
      <c r="Q96" s="6"/>
      <c r="R96" s="6">
        <v>2386700</v>
      </c>
      <c r="S96" s="6"/>
      <c r="T96" s="6">
        <v>0</v>
      </c>
      <c r="U96" s="22"/>
      <c r="V96" s="6">
        <v>0</v>
      </c>
      <c r="W96" s="22"/>
      <c r="X96" s="6">
        <v>0</v>
      </c>
      <c r="Y96" s="22"/>
      <c r="Z96" s="6">
        <v>0</v>
      </c>
      <c r="AA96" s="22"/>
      <c r="AB96" s="6">
        <v>0</v>
      </c>
      <c r="AC96" s="22"/>
      <c r="AD96" s="6">
        <v>0</v>
      </c>
      <c r="AE96" s="22"/>
      <c r="AF96" s="6">
        <v>0</v>
      </c>
      <c r="AG96" s="22"/>
      <c r="AH96" s="6">
        <f>2386700/12</f>
        <v>198891.66666666666</v>
      </c>
      <c r="AI96" s="22"/>
      <c r="AJ96" s="6">
        <v>198891.67</v>
      </c>
      <c r="AK96" s="22"/>
      <c r="AL96" s="6">
        <v>198888.67</v>
      </c>
      <c r="AM96" s="22"/>
      <c r="AN96" s="6">
        <v>198888.67</v>
      </c>
      <c r="AO96" s="22"/>
      <c r="AP96" s="6">
        <v>198888.67</v>
      </c>
      <c r="AQ96" s="22"/>
      <c r="AR96" s="6">
        <v>198899</v>
      </c>
      <c r="AS96" s="22"/>
      <c r="AT96" s="6">
        <v>198889</v>
      </c>
      <c r="AV96" s="6">
        <v>198889</v>
      </c>
      <c r="AX96" s="6">
        <v>198889</v>
      </c>
      <c r="AZ96" s="6">
        <v>198889</v>
      </c>
      <c r="BB96" s="6">
        <v>0</v>
      </c>
      <c r="BD96" s="6">
        <v>0</v>
      </c>
      <c r="BF96" s="6">
        <v>0</v>
      </c>
      <c r="BH96" s="6">
        <v>0</v>
      </c>
      <c r="BJ96" s="6">
        <v>0</v>
      </c>
      <c r="BK96" s="6"/>
      <c r="BL96" s="6">
        <f t="shared" si="22"/>
        <v>1988904.3466666667</v>
      </c>
      <c r="BM96" s="6"/>
      <c r="BN96" s="6">
        <v>0</v>
      </c>
      <c r="BO96" s="6"/>
      <c r="BP96" s="6">
        <f t="shared" si="23"/>
        <v>397795.65333333332</v>
      </c>
      <c r="BR96" s="6">
        <f t="shared" si="24"/>
        <v>2386700</v>
      </c>
      <c r="BT96" s="6">
        <f t="shared" si="25"/>
        <v>0</v>
      </c>
      <c r="BU96" s="6"/>
    </row>
    <row r="97" spans="1:73">
      <c r="A97" s="61"/>
      <c r="B97" s="17" t="s">
        <v>231</v>
      </c>
      <c r="C97"/>
      <c r="D97"/>
      <c r="E97"/>
      <c r="F97"/>
      <c r="G97"/>
      <c r="H97"/>
      <c r="I97"/>
      <c r="J97" s="49" t="s">
        <v>236</v>
      </c>
      <c r="K97"/>
      <c r="L97" s="134" t="s">
        <v>202</v>
      </c>
      <c r="M97" s="6"/>
      <c r="N97" s="6">
        <v>0</v>
      </c>
      <c r="O97" s="6"/>
      <c r="P97" s="6">
        <v>0</v>
      </c>
      <c r="Q97" s="6"/>
      <c r="R97" s="6">
        <v>0</v>
      </c>
      <c r="S97" s="6"/>
      <c r="T97" s="6">
        <v>0</v>
      </c>
      <c r="U97" s="22"/>
      <c r="V97" s="6">
        <v>0</v>
      </c>
      <c r="W97" s="22"/>
      <c r="X97" s="6">
        <v>0</v>
      </c>
      <c r="Y97" s="22"/>
      <c r="Z97" s="6">
        <v>0</v>
      </c>
      <c r="AA97" s="22"/>
      <c r="AB97" s="6">
        <v>0</v>
      </c>
      <c r="AC97" s="22"/>
      <c r="AD97" s="6">
        <v>0</v>
      </c>
      <c r="AE97" s="22"/>
      <c r="AF97" s="6">
        <v>0</v>
      </c>
      <c r="AG97" s="22"/>
      <c r="AH97" s="6">
        <v>0</v>
      </c>
      <c r="AI97" s="22"/>
      <c r="AJ97" s="6">
        <v>0</v>
      </c>
      <c r="AK97" s="22"/>
      <c r="AL97" s="6">
        <v>0</v>
      </c>
      <c r="AM97" s="22"/>
      <c r="AN97" s="6">
        <v>0</v>
      </c>
      <c r="AO97" s="22"/>
      <c r="AP97" s="6">
        <v>0</v>
      </c>
      <c r="AQ97" s="22"/>
      <c r="AR97" s="6">
        <v>0</v>
      </c>
      <c r="AS97" s="22"/>
      <c r="AT97" s="6">
        <v>0</v>
      </c>
      <c r="AV97" s="6">
        <v>0</v>
      </c>
      <c r="AX97" s="6">
        <v>0</v>
      </c>
      <c r="AZ97" s="6">
        <v>0</v>
      </c>
      <c r="BB97" s="6">
        <v>0</v>
      </c>
      <c r="BD97" s="6">
        <v>0</v>
      </c>
      <c r="BF97" s="6">
        <v>0</v>
      </c>
      <c r="BH97" s="6">
        <v>0</v>
      </c>
      <c r="BJ97" s="6">
        <v>0</v>
      </c>
      <c r="BK97" s="6"/>
      <c r="BL97" s="6">
        <f t="shared" si="22"/>
        <v>0</v>
      </c>
      <c r="BM97" s="6"/>
      <c r="BN97" s="6">
        <v>0</v>
      </c>
      <c r="BO97" s="6"/>
      <c r="BP97" s="6">
        <f t="shared" si="23"/>
        <v>0</v>
      </c>
      <c r="BR97" s="6">
        <f t="shared" si="24"/>
        <v>0</v>
      </c>
      <c r="BT97" s="6">
        <f t="shared" si="25"/>
        <v>0</v>
      </c>
      <c r="BU97" s="6"/>
    </row>
    <row r="98" spans="1:73">
      <c r="A98" s="61"/>
      <c r="B98" s="17" t="s">
        <v>232</v>
      </c>
      <c r="C98"/>
      <c r="D98"/>
      <c r="E98"/>
      <c r="F98"/>
      <c r="G98"/>
      <c r="H98"/>
      <c r="I98"/>
      <c r="J98" s="49" t="s">
        <v>236</v>
      </c>
      <c r="K98"/>
      <c r="L98" s="134" t="s">
        <v>202</v>
      </c>
      <c r="M98" s="6"/>
      <c r="N98" s="12">
        <v>0</v>
      </c>
      <c r="O98" s="12"/>
      <c r="P98" s="12">
        <v>0</v>
      </c>
      <c r="Q98" s="12"/>
      <c r="R98" s="6">
        <f>+N98+P98</f>
        <v>0</v>
      </c>
      <c r="S98" s="12"/>
      <c r="T98" s="12">
        <v>0</v>
      </c>
      <c r="U98" s="80"/>
      <c r="V98" s="12">
        <v>0</v>
      </c>
      <c r="W98" s="80"/>
      <c r="X98" s="12">
        <v>0</v>
      </c>
      <c r="Y98" s="80"/>
      <c r="Z98" s="12">
        <v>0</v>
      </c>
      <c r="AA98" s="80"/>
      <c r="AB98" s="12">
        <v>0</v>
      </c>
      <c r="AC98" s="80"/>
      <c r="AD98" s="12">
        <v>0</v>
      </c>
      <c r="AE98" s="80"/>
      <c r="AF98" s="12">
        <v>0</v>
      </c>
      <c r="AG98" s="80"/>
      <c r="AH98" s="12">
        <v>0</v>
      </c>
      <c r="AI98" s="80"/>
      <c r="AJ98" s="12">
        <v>0</v>
      </c>
      <c r="AK98" s="80"/>
      <c r="AL98" s="12">
        <v>0</v>
      </c>
      <c r="AM98" s="80"/>
      <c r="AN98" s="12">
        <v>0</v>
      </c>
      <c r="AO98" s="80"/>
      <c r="AP98" s="12">
        <v>0</v>
      </c>
      <c r="AQ98" s="80"/>
      <c r="AR98" s="12">
        <v>0</v>
      </c>
      <c r="AS98" s="80"/>
      <c r="AT98" s="12">
        <v>0</v>
      </c>
      <c r="AU98" s="12"/>
      <c r="AV98" s="12">
        <v>0</v>
      </c>
      <c r="AW98" s="12"/>
      <c r="AX98" s="12">
        <v>0</v>
      </c>
      <c r="AY98" s="12"/>
      <c r="AZ98" s="12">
        <v>0</v>
      </c>
      <c r="BA98" s="12"/>
      <c r="BB98" s="12">
        <v>0</v>
      </c>
      <c r="BC98" s="12"/>
      <c r="BD98" s="12">
        <v>0</v>
      </c>
      <c r="BE98" s="12"/>
      <c r="BF98" s="12">
        <v>0</v>
      </c>
      <c r="BG98" s="12"/>
      <c r="BH98" s="12">
        <v>0</v>
      </c>
      <c r="BI98" s="12"/>
      <c r="BJ98" s="12">
        <v>0</v>
      </c>
      <c r="BK98" s="12"/>
      <c r="BL98" s="12">
        <f t="shared" si="22"/>
        <v>0</v>
      </c>
      <c r="BM98" s="6"/>
      <c r="BN98" s="12">
        <v>0</v>
      </c>
      <c r="BO98" s="6"/>
      <c r="BP98" s="6">
        <f t="shared" si="23"/>
        <v>0</v>
      </c>
      <c r="BQ98" s="12"/>
      <c r="BR98" s="6">
        <f t="shared" si="24"/>
        <v>0</v>
      </c>
      <c r="BS98" s="12"/>
      <c r="BT98" s="6">
        <f t="shared" si="25"/>
        <v>0</v>
      </c>
      <c r="BU98" s="12"/>
    </row>
    <row r="99" spans="1:73" s="11" customFormat="1">
      <c r="A99" s="17"/>
      <c r="B99" s="17" t="s">
        <v>233</v>
      </c>
      <c r="C99" s="30"/>
      <c r="D99" s="30"/>
      <c r="E99" s="30"/>
      <c r="F99" s="30"/>
      <c r="G99" s="30"/>
      <c r="H99" s="30"/>
      <c r="I99" s="30"/>
      <c r="J99" s="156" t="s">
        <v>236</v>
      </c>
      <c r="K99" s="30"/>
      <c r="L99" s="134" t="s">
        <v>202</v>
      </c>
      <c r="M99" s="12"/>
      <c r="N99" s="12">
        <v>0</v>
      </c>
      <c r="O99" s="12"/>
      <c r="P99" s="12">
        <v>0</v>
      </c>
      <c r="Q99" s="12"/>
      <c r="R99" s="6">
        <f>+N99+P99</f>
        <v>0</v>
      </c>
      <c r="S99" s="12"/>
      <c r="T99" s="12">
        <v>0</v>
      </c>
      <c r="U99" s="80"/>
      <c r="V99" s="12">
        <v>0</v>
      </c>
      <c r="W99" s="80"/>
      <c r="X99" s="12">
        <v>0</v>
      </c>
      <c r="Y99" s="80"/>
      <c r="Z99" s="12">
        <v>0</v>
      </c>
      <c r="AA99" s="80"/>
      <c r="AB99" s="12">
        <v>0</v>
      </c>
      <c r="AC99" s="80"/>
      <c r="AD99" s="12">
        <v>0</v>
      </c>
      <c r="AE99" s="80"/>
      <c r="AF99" s="12">
        <v>0</v>
      </c>
      <c r="AG99" s="80"/>
      <c r="AH99" s="12">
        <v>0</v>
      </c>
      <c r="AI99" s="80"/>
      <c r="AJ99" s="12">
        <v>0</v>
      </c>
      <c r="AK99" s="80"/>
      <c r="AL99" s="12">
        <v>0</v>
      </c>
      <c r="AM99" s="80"/>
      <c r="AN99" s="12">
        <v>0</v>
      </c>
      <c r="AO99" s="80"/>
      <c r="AP99" s="12">
        <v>0</v>
      </c>
      <c r="AQ99" s="80"/>
      <c r="AR99" s="12">
        <v>0</v>
      </c>
      <c r="AS99" s="80"/>
      <c r="AT99" s="12">
        <v>0</v>
      </c>
      <c r="AU99" s="12"/>
      <c r="AV99" s="12">
        <v>0</v>
      </c>
      <c r="AW99" s="12"/>
      <c r="AX99" s="12">
        <v>0</v>
      </c>
      <c r="AY99" s="12"/>
      <c r="AZ99" s="12">
        <v>0</v>
      </c>
      <c r="BA99" s="12"/>
      <c r="BB99" s="12">
        <v>0</v>
      </c>
      <c r="BC99" s="12"/>
      <c r="BD99" s="12">
        <v>0</v>
      </c>
      <c r="BE99" s="12"/>
      <c r="BF99" s="12">
        <v>0</v>
      </c>
      <c r="BG99" s="12"/>
      <c r="BH99" s="12">
        <v>0</v>
      </c>
      <c r="BI99" s="12"/>
      <c r="BJ99" s="12">
        <v>0</v>
      </c>
      <c r="BK99" s="12"/>
      <c r="BL99" s="12">
        <f t="shared" si="22"/>
        <v>0</v>
      </c>
      <c r="BM99" s="12"/>
      <c r="BN99" s="12">
        <v>0</v>
      </c>
      <c r="BO99" s="12"/>
      <c r="BP99" s="6">
        <f t="shared" si="23"/>
        <v>0</v>
      </c>
      <c r="BQ99" s="12"/>
      <c r="BR99" s="6">
        <f t="shared" si="24"/>
        <v>0</v>
      </c>
      <c r="BS99" s="12"/>
      <c r="BT99" s="6">
        <f t="shared" si="25"/>
        <v>0</v>
      </c>
      <c r="BU99" s="12"/>
    </row>
    <row r="100" spans="1:73">
      <c r="A100" s="61"/>
      <c r="B100" s="17" t="s">
        <v>121</v>
      </c>
      <c r="C100"/>
      <c r="D100"/>
      <c r="E100"/>
      <c r="F100"/>
      <c r="G100"/>
      <c r="H100"/>
      <c r="I100"/>
      <c r="J100" s="49"/>
      <c r="K100"/>
      <c r="L100" s="134" t="s">
        <v>202</v>
      </c>
      <c r="M100" s="6"/>
      <c r="N100" s="12">
        <v>0</v>
      </c>
      <c r="O100" s="12"/>
      <c r="P100" s="12">
        <v>0</v>
      </c>
      <c r="Q100" s="12"/>
      <c r="R100" s="6">
        <f>+N100+P100</f>
        <v>0</v>
      </c>
      <c r="S100" s="12"/>
      <c r="T100" s="12">
        <v>0</v>
      </c>
      <c r="U100" s="80"/>
      <c r="V100" s="12">
        <v>0</v>
      </c>
      <c r="W100" s="80"/>
      <c r="X100" s="12">
        <v>0</v>
      </c>
      <c r="Y100" s="80"/>
      <c r="Z100" s="12">
        <v>0</v>
      </c>
      <c r="AA100" s="80"/>
      <c r="AB100" s="12">
        <v>0</v>
      </c>
      <c r="AC100" s="80"/>
      <c r="AD100" s="12">
        <v>0</v>
      </c>
      <c r="AE100" s="80"/>
      <c r="AF100" s="12">
        <v>0</v>
      </c>
      <c r="AG100" s="80"/>
      <c r="AH100" s="12">
        <v>0</v>
      </c>
      <c r="AI100" s="80"/>
      <c r="AJ100" s="12">
        <v>0</v>
      </c>
      <c r="AK100" s="80"/>
      <c r="AL100" s="12">
        <v>0</v>
      </c>
      <c r="AM100" s="80"/>
      <c r="AN100" s="12">
        <v>0</v>
      </c>
      <c r="AO100" s="80"/>
      <c r="AP100" s="12">
        <v>0</v>
      </c>
      <c r="AQ100" s="80"/>
      <c r="AR100" s="12">
        <v>0</v>
      </c>
      <c r="AS100" s="80"/>
      <c r="AT100" s="12">
        <v>0</v>
      </c>
      <c r="AU100" s="12"/>
      <c r="AV100" s="12">
        <v>0</v>
      </c>
      <c r="AW100" s="12"/>
      <c r="AX100" s="12">
        <v>0</v>
      </c>
      <c r="AY100" s="12"/>
      <c r="AZ100" s="12">
        <v>0</v>
      </c>
      <c r="BA100" s="12"/>
      <c r="BB100" s="12">
        <v>0</v>
      </c>
      <c r="BC100" s="12"/>
      <c r="BD100" s="12">
        <v>0</v>
      </c>
      <c r="BE100" s="12"/>
      <c r="BF100" s="12">
        <v>0</v>
      </c>
      <c r="BG100" s="12"/>
      <c r="BH100" s="12">
        <v>0</v>
      </c>
      <c r="BI100" s="12"/>
      <c r="BJ100" s="12">
        <v>0</v>
      </c>
      <c r="BK100" s="12"/>
      <c r="BL100" s="12">
        <f t="shared" si="22"/>
        <v>0</v>
      </c>
      <c r="BM100" s="6"/>
      <c r="BN100" s="12">
        <v>0</v>
      </c>
      <c r="BO100" s="6"/>
      <c r="BP100" s="6">
        <f t="shared" si="23"/>
        <v>0</v>
      </c>
      <c r="BQ100" s="12"/>
      <c r="BR100" s="6">
        <f t="shared" si="24"/>
        <v>0</v>
      </c>
      <c r="BS100" s="12"/>
      <c r="BT100" s="6">
        <f t="shared" si="25"/>
        <v>0</v>
      </c>
      <c r="BU100" s="12"/>
    </row>
    <row r="101" spans="1:73">
      <c r="A101" s="61"/>
      <c r="B101" s="17"/>
      <c r="C101"/>
      <c r="D101"/>
      <c r="E101"/>
      <c r="F101"/>
      <c r="G101"/>
      <c r="H101"/>
      <c r="I101"/>
      <c r="J101" s="49"/>
      <c r="K101"/>
      <c r="L101" s="134"/>
      <c r="M101" s="6"/>
      <c r="N101" s="12"/>
      <c r="O101" s="12"/>
      <c r="P101" s="12"/>
      <c r="Q101" s="12"/>
      <c r="R101" s="12"/>
      <c r="S101" s="12"/>
      <c r="T101" s="12"/>
      <c r="U101" s="80"/>
      <c r="V101" s="12"/>
      <c r="W101" s="80"/>
      <c r="X101" s="12"/>
      <c r="Y101" s="80"/>
      <c r="Z101" s="12"/>
      <c r="AA101" s="80"/>
      <c r="AB101" s="12"/>
      <c r="AC101" s="80"/>
      <c r="AD101" s="12"/>
      <c r="AE101" s="80"/>
      <c r="AF101" s="12"/>
      <c r="AG101" s="80"/>
      <c r="AH101" s="12"/>
      <c r="AI101" s="80"/>
      <c r="AJ101" s="12"/>
      <c r="AK101" s="80"/>
      <c r="AL101" s="12"/>
      <c r="AM101" s="80"/>
      <c r="AN101" s="12"/>
      <c r="AO101" s="80"/>
      <c r="AP101" s="12"/>
      <c r="AQ101" s="80"/>
      <c r="AR101" s="12"/>
      <c r="AS101" s="80"/>
      <c r="AT101" s="12"/>
      <c r="AU101" s="12"/>
      <c r="AV101" s="12"/>
      <c r="AW101" s="12"/>
      <c r="AX101" s="12"/>
      <c r="AY101" s="12"/>
      <c r="AZ101" s="12"/>
      <c r="BA101" s="12"/>
      <c r="BB101" s="12"/>
      <c r="BC101" s="12"/>
      <c r="BD101" s="12"/>
      <c r="BE101" s="12"/>
      <c r="BF101" s="12"/>
      <c r="BG101" s="12"/>
      <c r="BH101" s="12"/>
      <c r="BI101" s="12"/>
      <c r="BJ101" s="12"/>
      <c r="BK101" s="12"/>
      <c r="BL101" s="12"/>
      <c r="BM101" s="6"/>
      <c r="BN101" s="12"/>
      <c r="BO101" s="6"/>
      <c r="BP101" s="6">
        <f t="shared" si="23"/>
        <v>0</v>
      </c>
      <c r="BQ101" s="12"/>
      <c r="BR101" s="12"/>
      <c r="BS101" s="12"/>
      <c r="BT101" s="6">
        <f t="shared" si="25"/>
        <v>0</v>
      </c>
      <c r="BU101" s="12"/>
    </row>
    <row r="102" spans="1:73" s="114" customFormat="1">
      <c r="A102" s="112"/>
      <c r="B102" s="113" t="s">
        <v>244</v>
      </c>
      <c r="J102" s="157"/>
      <c r="L102" s="142"/>
      <c r="M102" s="115"/>
      <c r="N102" s="116">
        <f>SUM(N95:N101)</f>
        <v>0</v>
      </c>
      <c r="O102" s="115"/>
      <c r="P102" s="116">
        <f>SUM(P95:P101)</f>
        <v>0</v>
      </c>
      <c r="Q102" s="115"/>
      <c r="R102" s="116">
        <f>SUM(R95:R101)</f>
        <v>3316500</v>
      </c>
      <c r="S102" s="115"/>
      <c r="T102" s="116">
        <f>SUM(T95:T101)</f>
        <v>0</v>
      </c>
      <c r="U102" s="115"/>
      <c r="V102" s="116">
        <f>SUM(V95:V101)</f>
        <v>0</v>
      </c>
      <c r="W102" s="115"/>
      <c r="X102" s="116">
        <f>SUM(X95:X101)</f>
        <v>0</v>
      </c>
      <c r="Y102" s="115"/>
      <c r="Z102" s="116">
        <f>SUM(Z95:Z101)</f>
        <v>0</v>
      </c>
      <c r="AA102" s="115"/>
      <c r="AB102" s="116">
        <f>SUM(AB95:AB101)</f>
        <v>0</v>
      </c>
      <c r="AC102" s="115"/>
      <c r="AD102" s="116">
        <f>SUM(AD95:AD101)</f>
        <v>0</v>
      </c>
      <c r="AE102" s="115"/>
      <c r="AF102" s="116">
        <f>SUM(AF95:AF101)</f>
        <v>0</v>
      </c>
      <c r="AG102" s="115"/>
      <c r="AH102" s="116">
        <f>SUM(AH95:AH101)</f>
        <v>276375</v>
      </c>
      <c r="AI102" s="115"/>
      <c r="AJ102" s="116">
        <f>SUM(AJ95:AJ101)</f>
        <v>276375</v>
      </c>
      <c r="AK102" s="115"/>
      <c r="AL102" s="116">
        <f>SUM(AL95:AL101)</f>
        <v>276372</v>
      </c>
      <c r="AM102" s="115"/>
      <c r="AN102" s="116">
        <f>SUM(AN95:AN101)</f>
        <v>276372</v>
      </c>
      <c r="AO102" s="115"/>
      <c r="AP102" s="116">
        <f>SUM(AP95:AP101)</f>
        <v>276372.01</v>
      </c>
      <c r="AQ102" s="115"/>
      <c r="AR102" s="116">
        <f>SUM(AR95:AR101)</f>
        <v>276382.33</v>
      </c>
      <c r="AS102" s="115"/>
      <c r="AT102" s="116">
        <f>SUM(AT95:AT101)</f>
        <v>276372.33</v>
      </c>
      <c r="AU102" s="117"/>
      <c r="AV102" s="116">
        <f>SUM(AV95:AV101)</f>
        <v>276372.33</v>
      </c>
      <c r="AW102" s="117"/>
      <c r="AX102" s="116">
        <f>SUM(AX95:AX101)</f>
        <v>276372.33999999997</v>
      </c>
      <c r="AY102" s="117"/>
      <c r="AZ102" s="116">
        <f>SUM(AZ95:AZ101)</f>
        <v>276372</v>
      </c>
      <c r="BA102" s="117"/>
      <c r="BB102" s="116">
        <f>SUM(BB95:BB101)</f>
        <v>0</v>
      </c>
      <c r="BC102" s="117"/>
      <c r="BD102" s="116">
        <f>SUM(BD95:BD101)</f>
        <v>0</v>
      </c>
      <c r="BE102" s="117"/>
      <c r="BF102" s="116">
        <f>SUM(BF95:BF101)</f>
        <v>0</v>
      </c>
      <c r="BG102" s="117"/>
      <c r="BH102" s="116">
        <f>SUM(BH95:BH101)</f>
        <v>0</v>
      </c>
      <c r="BI102" s="117"/>
      <c r="BJ102" s="116">
        <f>SUM(BJ95:BJ101)</f>
        <v>0</v>
      </c>
      <c r="BK102" s="115"/>
      <c r="BL102" s="116">
        <f>SUM(BL95:BL101)</f>
        <v>2763737.34</v>
      </c>
      <c r="BM102" s="115"/>
      <c r="BN102" s="116">
        <f>SUM(BN95:BN101)</f>
        <v>0</v>
      </c>
      <c r="BO102" s="115"/>
      <c r="BP102" s="116">
        <f>SUM(BP95:BP101)</f>
        <v>552762.66</v>
      </c>
      <c r="BQ102" s="115"/>
      <c r="BR102" s="116">
        <f>SUM(BR95:BR101)</f>
        <v>3316500</v>
      </c>
      <c r="BS102" s="115"/>
      <c r="BT102" s="116">
        <f>SUM(BT95:BT101)</f>
        <v>0</v>
      </c>
      <c r="BU102" s="117"/>
    </row>
    <row r="103" spans="1:73" customFormat="1"/>
    <row r="104" spans="1:73" s="15" customFormat="1">
      <c r="A104" s="62" t="s">
        <v>242</v>
      </c>
      <c r="B104" s="17"/>
      <c r="C104"/>
      <c r="D104"/>
      <c r="E104"/>
      <c r="F104"/>
      <c r="G104"/>
      <c r="H104"/>
      <c r="I104"/>
      <c r="J104" s="49"/>
      <c r="K104"/>
      <c r="L104" s="134" t="s">
        <v>202</v>
      </c>
      <c r="M104" s="22"/>
      <c r="N104" s="22"/>
      <c r="O104" s="22"/>
      <c r="P104" s="22"/>
      <c r="Q104" s="22"/>
      <c r="R104" s="22"/>
      <c r="S104" s="22"/>
      <c r="T104" s="22"/>
      <c r="U104" s="22"/>
      <c r="V104" s="22"/>
      <c r="W104" s="22"/>
      <c r="X104" s="22"/>
      <c r="Y104" s="22"/>
      <c r="Z104" s="22"/>
      <c r="AA104" s="22"/>
      <c r="AB104" s="22"/>
      <c r="AC104" s="22"/>
      <c r="AD104" s="22"/>
      <c r="AE104" s="22"/>
      <c r="AF104" s="22"/>
      <c r="AG104" s="22"/>
      <c r="AH104" s="22"/>
      <c r="AI104" s="22"/>
      <c r="AJ104" s="22"/>
      <c r="AK104" s="22"/>
      <c r="AL104" s="22"/>
      <c r="AM104" s="22"/>
      <c r="AN104" s="22"/>
      <c r="AO104" s="22"/>
      <c r="AP104" s="22"/>
      <c r="AQ104" s="22"/>
      <c r="AR104" s="22"/>
      <c r="AS104" s="22"/>
      <c r="AT104" s="22"/>
      <c r="AU104" s="22"/>
      <c r="AV104" s="22"/>
      <c r="AW104" s="22"/>
      <c r="AX104" s="22"/>
      <c r="AY104" s="22"/>
      <c r="AZ104" s="22"/>
      <c r="BA104" s="22"/>
      <c r="BB104" s="22"/>
      <c r="BC104" s="22"/>
      <c r="BD104" s="22"/>
      <c r="BE104" s="22"/>
      <c r="BF104" s="22"/>
      <c r="BG104" s="22"/>
      <c r="BH104" s="22"/>
      <c r="BI104" s="22"/>
      <c r="BJ104" s="22"/>
      <c r="BK104" s="22"/>
      <c r="BL104" s="22"/>
      <c r="BM104" s="22"/>
      <c r="BN104" s="22"/>
      <c r="BO104" s="22"/>
      <c r="BP104" s="22"/>
      <c r="BQ104" s="22"/>
      <c r="BR104" s="22"/>
      <c r="BS104" s="22"/>
      <c r="BT104" s="22"/>
      <c r="BU104" s="22"/>
    </row>
    <row r="105" spans="1:73" s="15" customFormat="1">
      <c r="A105" s="62"/>
      <c r="B105" s="17" t="s">
        <v>121</v>
      </c>
      <c r="C105"/>
      <c r="D105"/>
      <c r="E105"/>
      <c r="F105"/>
      <c r="G105"/>
      <c r="H105"/>
      <c r="I105"/>
      <c r="J105" s="49" t="s">
        <v>0</v>
      </c>
      <c r="K105"/>
      <c r="L105" s="134" t="s">
        <v>202</v>
      </c>
      <c r="M105" s="22"/>
      <c r="N105" s="22">
        <v>0</v>
      </c>
      <c r="O105" s="22"/>
      <c r="P105" s="22">
        <v>0</v>
      </c>
      <c r="Q105" s="22"/>
      <c r="R105" s="6">
        <v>0</v>
      </c>
      <c r="S105" s="22"/>
      <c r="T105" s="22">
        <v>0</v>
      </c>
      <c r="U105" s="22"/>
      <c r="V105" s="22">
        <v>0</v>
      </c>
      <c r="W105" s="22"/>
      <c r="X105" s="22">
        <v>0</v>
      </c>
      <c r="Y105" s="22"/>
      <c r="Z105" s="22">
        <v>0</v>
      </c>
      <c r="AA105" s="22"/>
      <c r="AB105" s="22">
        <v>0</v>
      </c>
      <c r="AC105" s="22"/>
      <c r="AD105" s="22">
        <v>0</v>
      </c>
      <c r="AE105" s="22"/>
      <c r="AF105" s="22">
        <v>0</v>
      </c>
      <c r="AG105" s="22"/>
      <c r="AH105" s="22">
        <v>0</v>
      </c>
      <c r="AI105" s="22"/>
      <c r="AJ105" s="22">
        <v>0</v>
      </c>
      <c r="AK105" s="22"/>
      <c r="AL105" s="22">
        <v>0</v>
      </c>
      <c r="AM105" s="22"/>
      <c r="AN105" s="22">
        <v>0</v>
      </c>
      <c r="AO105" s="22"/>
      <c r="AP105" s="22">
        <v>0</v>
      </c>
      <c r="AQ105" s="22"/>
      <c r="AR105" s="22">
        <v>0</v>
      </c>
      <c r="AS105" s="22"/>
      <c r="AT105" s="22">
        <v>0</v>
      </c>
      <c r="AU105" s="22"/>
      <c r="AV105" s="22">
        <v>0</v>
      </c>
      <c r="AW105" s="22"/>
      <c r="AX105" s="22">
        <v>0</v>
      </c>
      <c r="AY105" s="22"/>
      <c r="AZ105" s="22">
        <v>0</v>
      </c>
      <c r="BA105" s="22"/>
      <c r="BB105" s="22">
        <v>0</v>
      </c>
      <c r="BC105" s="22"/>
      <c r="BD105" s="22">
        <v>0</v>
      </c>
      <c r="BE105" s="22"/>
      <c r="BF105" s="22">
        <v>0</v>
      </c>
      <c r="BG105" s="22"/>
      <c r="BH105" s="22">
        <v>0</v>
      </c>
      <c r="BI105" s="22"/>
      <c r="BJ105" s="22">
        <v>0</v>
      </c>
      <c r="BK105" s="22"/>
      <c r="BL105" s="22">
        <f>SUM(T105:BK105)</f>
        <v>0</v>
      </c>
      <c r="BM105" s="22"/>
      <c r="BN105" s="22">
        <v>0</v>
      </c>
      <c r="BO105" s="22"/>
      <c r="BP105" s="6">
        <f>IF(+R105-BL105+BN105&gt;0,R105-BL105+BN105,0)</f>
        <v>0</v>
      </c>
      <c r="BQ105" s="22"/>
      <c r="BR105" s="6">
        <f>+BL105+BP105</f>
        <v>0</v>
      </c>
      <c r="BS105" s="22"/>
      <c r="BT105" s="6">
        <f>+R105-BR105</f>
        <v>0</v>
      </c>
      <c r="BU105" s="22"/>
    </row>
    <row r="106" spans="1:73" s="15" customFormat="1">
      <c r="A106" s="57"/>
      <c r="B106" s="17"/>
      <c r="C106"/>
      <c r="D106"/>
      <c r="E106"/>
      <c r="F106"/>
      <c r="G106"/>
      <c r="H106"/>
      <c r="I106"/>
      <c r="J106" s="49"/>
      <c r="K106"/>
      <c r="L106" s="134"/>
      <c r="M106" s="22"/>
      <c r="N106" s="80"/>
      <c r="O106" s="22"/>
      <c r="P106" s="80"/>
      <c r="Q106" s="22"/>
      <c r="R106" s="80"/>
      <c r="S106" s="22"/>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22"/>
      <c r="BL106" s="80"/>
      <c r="BM106" s="22"/>
      <c r="BN106" s="80"/>
      <c r="BO106" s="22"/>
      <c r="BP106" s="80"/>
      <c r="BQ106" s="22"/>
      <c r="BR106" s="80"/>
      <c r="BS106" s="22"/>
      <c r="BT106" s="6">
        <f>+R106-BR106</f>
        <v>0</v>
      </c>
      <c r="BU106" s="80"/>
    </row>
    <row r="107" spans="1:73" s="104" customFormat="1">
      <c r="A107" s="111"/>
      <c r="B107" s="77" t="s">
        <v>245</v>
      </c>
      <c r="C107" s="21"/>
      <c r="D107" s="21"/>
      <c r="E107" s="21"/>
      <c r="F107" s="21"/>
      <c r="G107" s="21"/>
      <c r="H107" s="21"/>
      <c r="I107" s="21"/>
      <c r="J107" s="8"/>
      <c r="K107" s="21"/>
      <c r="L107" s="143"/>
      <c r="M107" s="16"/>
      <c r="N107" s="108">
        <f>SUM(N105:N106)</f>
        <v>0</v>
      </c>
      <c r="O107" s="16"/>
      <c r="P107" s="108">
        <f>SUM(P105:P106)</f>
        <v>0</v>
      </c>
      <c r="Q107" s="16"/>
      <c r="R107" s="108">
        <f>SUM(R105:R106)</f>
        <v>0</v>
      </c>
      <c r="S107" s="16"/>
      <c r="T107" s="108">
        <f>SUM(T105:T106)</f>
        <v>0</v>
      </c>
      <c r="U107" s="16"/>
      <c r="V107" s="108">
        <f>SUM(V105:V106)</f>
        <v>0</v>
      </c>
      <c r="W107" s="16"/>
      <c r="X107" s="108">
        <f>SUM(X105:X106)</f>
        <v>0</v>
      </c>
      <c r="Y107" s="16"/>
      <c r="Z107" s="108">
        <f>SUM(Z105:Z106)</f>
        <v>0</v>
      </c>
      <c r="AA107" s="16"/>
      <c r="AB107" s="108">
        <f>SUM(AB105:AB106)</f>
        <v>0</v>
      </c>
      <c r="AC107" s="16"/>
      <c r="AD107" s="108">
        <f>SUM(AD105:AD106)</f>
        <v>0</v>
      </c>
      <c r="AE107" s="16"/>
      <c r="AF107" s="108">
        <f>SUM(AF105:AF106)</f>
        <v>0</v>
      </c>
      <c r="AG107" s="16"/>
      <c r="AH107" s="108">
        <f>SUM(AH105:AH106)</f>
        <v>0</v>
      </c>
      <c r="AI107" s="16"/>
      <c r="AJ107" s="108">
        <f>SUM(AJ105:AJ106)</f>
        <v>0</v>
      </c>
      <c r="AK107" s="16"/>
      <c r="AL107" s="108">
        <f>SUM(AL105:AL106)</f>
        <v>0</v>
      </c>
      <c r="AM107" s="16"/>
      <c r="AN107" s="108">
        <f>SUM(AN105:AN106)</f>
        <v>0</v>
      </c>
      <c r="AO107" s="16"/>
      <c r="AP107" s="108">
        <f>SUM(AP105:AP106)</f>
        <v>0</v>
      </c>
      <c r="AQ107" s="16"/>
      <c r="AR107" s="108">
        <f>SUM(AR105:AR106)</f>
        <v>0</v>
      </c>
      <c r="AS107" s="16"/>
      <c r="AT107" s="108">
        <f>SUM(AT105:AT106)</f>
        <v>0</v>
      </c>
      <c r="AU107" s="103"/>
      <c r="AV107" s="108">
        <f>SUM(AV105:AV106)</f>
        <v>0</v>
      </c>
      <c r="AW107" s="103"/>
      <c r="AX107" s="108">
        <f>SUM(AX105:AX106)</f>
        <v>0</v>
      </c>
      <c r="AY107" s="103"/>
      <c r="AZ107" s="108">
        <f>SUM(AZ105:AZ106)</f>
        <v>0</v>
      </c>
      <c r="BA107" s="103"/>
      <c r="BB107" s="108">
        <f>SUM(BB105:BB106)</f>
        <v>0</v>
      </c>
      <c r="BC107" s="103"/>
      <c r="BD107" s="108">
        <f>SUM(BD105:BD106)</f>
        <v>0</v>
      </c>
      <c r="BE107" s="103"/>
      <c r="BF107" s="108">
        <f>SUM(BF105:BF106)</f>
        <v>0</v>
      </c>
      <c r="BG107" s="103"/>
      <c r="BH107" s="108">
        <f>SUM(BH105:BH106)</f>
        <v>0</v>
      </c>
      <c r="BI107" s="103"/>
      <c r="BJ107" s="108">
        <f>SUM(BJ105:BJ106)</f>
        <v>0</v>
      </c>
      <c r="BK107" s="16"/>
      <c r="BL107" s="108">
        <f>SUM(BL105:BL106)</f>
        <v>0</v>
      </c>
      <c r="BM107" s="16"/>
      <c r="BN107" s="108">
        <f>SUM(BN105:BN106)</f>
        <v>0</v>
      </c>
      <c r="BO107" s="16"/>
      <c r="BP107" s="108">
        <f>SUM(BP105:BP106)</f>
        <v>0</v>
      </c>
      <c r="BQ107" s="16"/>
      <c r="BR107" s="108">
        <f>SUM(BR105:BR106)</f>
        <v>0</v>
      </c>
      <c r="BS107" s="16"/>
      <c r="BT107" s="108">
        <f>SUM(BT105:BT106)</f>
        <v>0</v>
      </c>
      <c r="BU107" s="16"/>
    </row>
    <row r="108" spans="1:73" s="15" customFormat="1">
      <c r="A108" s="57"/>
      <c r="B108" s="17"/>
      <c r="C108"/>
      <c r="D108"/>
      <c r="E108"/>
      <c r="F108"/>
      <c r="G108"/>
      <c r="H108"/>
      <c r="I108"/>
      <c r="J108" s="49"/>
      <c r="K108"/>
      <c r="L108" s="134"/>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row>
    <row r="109" spans="1:73" s="105" customFormat="1">
      <c r="A109" s="162" t="s">
        <v>246</v>
      </c>
      <c r="B109" s="63"/>
      <c r="J109" s="158"/>
      <c r="L109" s="144"/>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c r="BE109" s="13"/>
      <c r="BF109" s="13"/>
      <c r="BG109" s="13"/>
      <c r="BH109" s="13"/>
      <c r="BI109" s="13"/>
      <c r="BJ109" s="13"/>
      <c r="BK109" s="13"/>
      <c r="BL109" s="13"/>
      <c r="BM109" s="13"/>
      <c r="BN109" s="13"/>
      <c r="BO109" s="13"/>
      <c r="BP109" s="13"/>
      <c r="BQ109" s="13"/>
      <c r="BR109" s="13"/>
      <c r="BS109" s="13"/>
      <c r="BT109" s="13"/>
      <c r="BU109" s="13"/>
    </row>
    <row r="110" spans="1:73" s="15" customFormat="1">
      <c r="A110" s="14"/>
      <c r="B110" s="60"/>
      <c r="C110"/>
      <c r="D110"/>
      <c r="E110"/>
      <c r="F110"/>
      <c r="G110"/>
      <c r="H110"/>
      <c r="I110"/>
      <c r="J110" s="49"/>
      <c r="K110"/>
      <c r="L110" s="134"/>
      <c r="M110" s="22"/>
      <c r="N110" s="22"/>
      <c r="O110" s="22"/>
      <c r="P110" s="22"/>
      <c r="Q110" s="22"/>
      <c r="R110" s="22"/>
      <c r="S110" s="22"/>
      <c r="T110" s="22"/>
      <c r="U110" s="22"/>
      <c r="V110" s="22"/>
      <c r="W110" s="22"/>
      <c r="X110" s="22"/>
      <c r="Y110" s="22"/>
      <c r="Z110" s="22"/>
      <c r="AA110" s="22"/>
      <c r="AB110" s="22"/>
      <c r="AC110" s="22"/>
      <c r="AD110" s="22"/>
      <c r="AE110" s="22"/>
      <c r="AF110" s="22"/>
      <c r="AG110" s="22"/>
      <c r="AH110" s="22"/>
      <c r="AI110" s="22"/>
      <c r="AJ110" s="22"/>
      <c r="AK110" s="22"/>
      <c r="AL110" s="22"/>
      <c r="AM110" s="22"/>
      <c r="AN110" s="22"/>
      <c r="AO110" s="22"/>
      <c r="AP110" s="22"/>
      <c r="AQ110" s="22"/>
      <c r="AR110" s="22"/>
      <c r="AS110" s="22"/>
      <c r="AT110" s="22"/>
      <c r="AU110" s="22"/>
      <c r="AV110" s="22"/>
      <c r="AW110" s="22"/>
      <c r="AX110" s="22"/>
      <c r="AY110" s="22"/>
      <c r="AZ110" s="22"/>
      <c r="BA110" s="22"/>
      <c r="BB110" s="22"/>
      <c r="BC110" s="22"/>
      <c r="BD110" s="22"/>
      <c r="BE110" s="22"/>
      <c r="BF110" s="22"/>
      <c r="BG110" s="22"/>
      <c r="BH110" s="22"/>
      <c r="BI110" s="22"/>
      <c r="BJ110" s="22"/>
      <c r="BK110" s="22"/>
      <c r="BL110" s="22"/>
      <c r="BM110" s="22"/>
      <c r="BN110" s="22"/>
      <c r="BO110" s="22"/>
      <c r="BP110" s="22"/>
      <c r="BQ110" s="22"/>
      <c r="BR110" s="22"/>
      <c r="BS110" s="22"/>
      <c r="BT110" s="22"/>
      <c r="BU110" s="22"/>
    </row>
    <row r="111" spans="1:73">
      <c r="A111" s="56" t="s">
        <v>25</v>
      </c>
      <c r="B111" s="58"/>
      <c r="C111"/>
      <c r="D111"/>
      <c r="E111"/>
      <c r="F111"/>
      <c r="G111"/>
      <c r="H111"/>
      <c r="I111"/>
      <c r="J111" s="49"/>
      <c r="K111"/>
      <c r="L111" s="134"/>
      <c r="M111" s="22"/>
      <c r="O111" s="22"/>
      <c r="Q111" s="22"/>
      <c r="S111" s="22"/>
      <c r="T111" s="6"/>
      <c r="U111" s="6"/>
      <c r="V111" s="6"/>
      <c r="X111" s="6"/>
      <c r="Z111" s="6"/>
      <c r="AB111" s="6"/>
      <c r="AD111" s="6"/>
      <c r="BJ111" s="6"/>
      <c r="BK111" s="6"/>
      <c r="BM111" s="6"/>
      <c r="BN111" s="6"/>
      <c r="BO111" s="6"/>
      <c r="BQ111" s="22"/>
      <c r="BS111" s="22"/>
      <c r="BU111" s="6"/>
    </row>
    <row r="112" spans="1:73">
      <c r="A112" s="61"/>
      <c r="B112" s="17" t="s">
        <v>529</v>
      </c>
      <c r="E112" s="4"/>
      <c r="G112" s="4"/>
      <c r="I112" s="4"/>
      <c r="J112" s="5" t="s">
        <v>0</v>
      </c>
      <c r="L112" s="134" t="s">
        <v>202</v>
      </c>
      <c r="M112" s="22"/>
      <c r="N112" s="6">
        <v>0</v>
      </c>
      <c r="O112" s="22"/>
      <c r="P112" s="6">
        <v>0</v>
      </c>
      <c r="Q112" s="22"/>
      <c r="R112" s="6">
        <v>185000</v>
      </c>
      <c r="S112" s="22"/>
      <c r="T112" s="6">
        <v>0</v>
      </c>
      <c r="U112" s="6"/>
      <c r="V112" s="6">
        <v>0</v>
      </c>
      <c r="X112" s="6">
        <v>0</v>
      </c>
      <c r="Z112" s="6">
        <v>0</v>
      </c>
      <c r="AB112" s="6">
        <v>0</v>
      </c>
      <c r="AD112" s="6">
        <v>0</v>
      </c>
      <c r="AF112" s="6">
        <v>0</v>
      </c>
      <c r="AH112" s="6">
        <v>0</v>
      </c>
      <c r="AJ112" s="6">
        <v>0</v>
      </c>
      <c r="AL112" s="6">
        <v>0</v>
      </c>
      <c r="AN112" s="6">
        <v>0</v>
      </c>
      <c r="AP112" s="6">
        <v>0</v>
      </c>
      <c r="AR112" s="6">
        <v>0</v>
      </c>
      <c r="AT112" s="6">
        <v>0</v>
      </c>
      <c r="AV112" s="6">
        <v>37000</v>
      </c>
      <c r="AX112" s="6">
        <v>37000</v>
      </c>
      <c r="AZ112" s="6">
        <v>37000</v>
      </c>
      <c r="BB112" s="6">
        <v>0</v>
      </c>
      <c r="BD112" s="6">
        <v>0</v>
      </c>
      <c r="BF112" s="6">
        <v>0</v>
      </c>
      <c r="BH112" s="6">
        <v>0</v>
      </c>
      <c r="BJ112" s="6">
        <v>0</v>
      </c>
      <c r="BK112" s="6"/>
      <c r="BL112" s="6">
        <f>SUM(T112:BK112)</f>
        <v>111000</v>
      </c>
      <c r="BM112" s="6"/>
      <c r="BN112" s="6">
        <v>0</v>
      </c>
      <c r="BO112" s="6"/>
      <c r="BP112" s="6">
        <f>IF(+R112-BL112+BN112&gt;0,R112-BL112+BN112,0)</f>
        <v>74000</v>
      </c>
      <c r="BQ112" s="22"/>
      <c r="BR112" s="6">
        <f>+BL112+BP112</f>
        <v>185000</v>
      </c>
      <c r="BS112" s="22"/>
      <c r="BT112" s="6">
        <f>+R112-BR112</f>
        <v>0</v>
      </c>
      <c r="BU112" s="6"/>
    </row>
    <row r="113" spans="1:73">
      <c r="A113" s="61"/>
      <c r="B113" s="17" t="s">
        <v>532</v>
      </c>
      <c r="E113" s="4"/>
      <c r="G113" s="4"/>
      <c r="I113" s="4"/>
      <c r="L113" s="134" t="s">
        <v>202</v>
      </c>
      <c r="M113" s="22"/>
      <c r="N113" s="6">
        <v>0</v>
      </c>
      <c r="O113" s="22"/>
      <c r="P113" s="6">
        <v>0</v>
      </c>
      <c r="Q113" s="22"/>
      <c r="R113" s="6">
        <v>723786</v>
      </c>
      <c r="S113" s="22"/>
      <c r="T113" s="6">
        <v>0</v>
      </c>
      <c r="U113" s="6"/>
      <c r="V113" s="6">
        <v>0</v>
      </c>
      <c r="X113" s="6">
        <v>0</v>
      </c>
      <c r="Z113" s="6">
        <v>0</v>
      </c>
      <c r="AB113" s="6">
        <v>0</v>
      </c>
      <c r="AD113" s="6">
        <v>0</v>
      </c>
      <c r="AF113" s="6">
        <v>0</v>
      </c>
      <c r="AH113" s="6">
        <v>0</v>
      </c>
      <c r="AJ113" s="6">
        <v>0</v>
      </c>
      <c r="AL113" s="6">
        <v>0</v>
      </c>
      <c r="AN113" s="6">
        <v>0</v>
      </c>
      <c r="AP113" s="6">
        <v>0</v>
      </c>
      <c r="AR113" s="6">
        <v>0</v>
      </c>
      <c r="AT113" s="6">
        <v>0</v>
      </c>
      <c r="AV113" s="6">
        <v>0</v>
      </c>
      <c r="AX113" s="6">
        <f>62387.82+110932</f>
        <v>173319.82</v>
      </c>
      <c r="AZ113" s="6">
        <v>125493.07</v>
      </c>
      <c r="BB113" s="6">
        <v>0</v>
      </c>
      <c r="BD113" s="6">
        <v>0</v>
      </c>
      <c r="BF113" s="6">
        <v>0</v>
      </c>
      <c r="BH113" s="6">
        <v>0</v>
      </c>
      <c r="BJ113" s="6">
        <v>0</v>
      </c>
      <c r="BK113" s="6"/>
      <c r="BL113" s="6">
        <f>SUM(T113:BK113)</f>
        <v>298812.89</v>
      </c>
      <c r="BM113" s="6"/>
      <c r="BN113" s="6">
        <v>0</v>
      </c>
      <c r="BO113" s="6"/>
      <c r="BP113" s="6">
        <f>+R113-BL113+BN113</f>
        <v>424973.11</v>
      </c>
      <c r="BQ113" s="22"/>
      <c r="BR113" s="6">
        <f>+BL113+BP113</f>
        <v>723786</v>
      </c>
      <c r="BS113" s="22"/>
      <c r="BT113" s="6">
        <f>+R113-BR113</f>
        <v>0</v>
      </c>
      <c r="BU113" s="6"/>
    </row>
    <row r="114" spans="1:73" hidden="1">
      <c r="A114" s="61"/>
      <c r="B114" s="17" t="s">
        <v>121</v>
      </c>
      <c r="E114" s="4"/>
      <c r="G114" s="4"/>
      <c r="I114" s="4"/>
      <c r="L114" s="134" t="s">
        <v>202</v>
      </c>
      <c r="M114" s="22"/>
      <c r="N114" s="6">
        <v>0</v>
      </c>
      <c r="O114" s="22"/>
      <c r="P114" s="6">
        <v>0</v>
      </c>
      <c r="Q114" s="22"/>
      <c r="R114" s="6">
        <v>0</v>
      </c>
      <c r="S114" s="22"/>
      <c r="T114" s="6">
        <v>0</v>
      </c>
      <c r="U114" s="6"/>
      <c r="V114" s="6">
        <v>0</v>
      </c>
      <c r="X114" s="6">
        <v>0</v>
      </c>
      <c r="Z114" s="6">
        <v>0</v>
      </c>
      <c r="AB114" s="6">
        <v>0</v>
      </c>
      <c r="AD114" s="6">
        <v>0</v>
      </c>
      <c r="AF114" s="6">
        <v>0</v>
      </c>
      <c r="AH114" s="6">
        <v>0</v>
      </c>
      <c r="AJ114" s="6">
        <v>0</v>
      </c>
      <c r="AL114" s="6">
        <v>0</v>
      </c>
      <c r="AN114" s="6">
        <v>0</v>
      </c>
      <c r="AP114" s="6">
        <v>0</v>
      </c>
      <c r="AR114" s="6">
        <v>0</v>
      </c>
      <c r="AT114" s="6">
        <v>0</v>
      </c>
      <c r="AV114" s="6">
        <v>0</v>
      </c>
      <c r="AX114" s="6">
        <v>0</v>
      </c>
      <c r="AZ114" s="6">
        <v>0</v>
      </c>
      <c r="BB114" s="6">
        <v>0</v>
      </c>
      <c r="BD114" s="6">
        <v>0</v>
      </c>
      <c r="BF114" s="6">
        <v>0</v>
      </c>
      <c r="BH114" s="6">
        <v>0</v>
      </c>
      <c r="BJ114" s="6">
        <v>0</v>
      </c>
      <c r="BK114" s="6"/>
      <c r="BL114" s="6">
        <f>SUM(T114:BK114)</f>
        <v>0</v>
      </c>
      <c r="BM114" s="6"/>
      <c r="BN114" s="6">
        <v>0</v>
      </c>
      <c r="BO114" s="6"/>
      <c r="BP114" s="6">
        <f>+R114-BL114+BN114</f>
        <v>0</v>
      </c>
      <c r="BQ114" s="22"/>
      <c r="BR114" s="6">
        <f>+BL114+BP114</f>
        <v>0</v>
      </c>
      <c r="BS114" s="22"/>
      <c r="BT114" s="6">
        <f>+R114-BR114</f>
        <v>0</v>
      </c>
      <c r="BU114" s="6"/>
    </row>
    <row r="115" spans="1:73" s="21" customFormat="1">
      <c r="A115" s="56"/>
      <c r="B115" s="58" t="s">
        <v>247</v>
      </c>
      <c r="J115" s="8"/>
      <c r="L115" s="143"/>
      <c r="M115" s="16"/>
      <c r="N115" s="102">
        <f>SUM(N112:N114)</f>
        <v>0</v>
      </c>
      <c r="O115" s="16"/>
      <c r="P115" s="102">
        <f>SUM(P112:P114)</f>
        <v>0</v>
      </c>
      <c r="Q115" s="16"/>
      <c r="R115" s="102">
        <f>SUM(R112:R114)</f>
        <v>908786</v>
      </c>
      <c r="S115" s="16"/>
      <c r="T115" s="102">
        <f>SUM(T112:T114)</f>
        <v>0</v>
      </c>
      <c r="U115" s="9"/>
      <c r="V115" s="102">
        <f>SUM(V112:V114)</f>
        <v>0</v>
      </c>
      <c r="W115" s="9"/>
      <c r="X115" s="102">
        <f>SUM(X112:X114)</f>
        <v>0</v>
      </c>
      <c r="Y115" s="9"/>
      <c r="Z115" s="102">
        <f>SUM(Z112:Z114)</f>
        <v>0</v>
      </c>
      <c r="AA115" s="9"/>
      <c r="AB115" s="102">
        <f>SUM(AB112:AB114)</f>
        <v>0</v>
      </c>
      <c r="AC115" s="9"/>
      <c r="AD115" s="102">
        <f>SUM(AD112:AD114)</f>
        <v>0</v>
      </c>
      <c r="AE115" s="9"/>
      <c r="AF115" s="102">
        <f>SUM(AF112:AF114)</f>
        <v>0</v>
      </c>
      <c r="AG115" s="9"/>
      <c r="AH115" s="102">
        <f>SUM(AH112:AH114)</f>
        <v>0</v>
      </c>
      <c r="AI115" s="9"/>
      <c r="AJ115" s="102">
        <f>SUM(AJ112:AJ114)</f>
        <v>0</v>
      </c>
      <c r="AK115" s="9"/>
      <c r="AL115" s="102">
        <f>SUM(AL112:AL114)</f>
        <v>0</v>
      </c>
      <c r="AM115" s="9"/>
      <c r="AN115" s="102">
        <f>SUM(AN112:AN114)</f>
        <v>0</v>
      </c>
      <c r="AO115" s="9"/>
      <c r="AP115" s="102">
        <f>SUM(AP112:AP114)</f>
        <v>0</v>
      </c>
      <c r="AQ115" s="9"/>
      <c r="AR115" s="102">
        <f>SUM(AR112:AR114)</f>
        <v>0</v>
      </c>
      <c r="AS115" s="9"/>
      <c r="AT115" s="102">
        <f>SUM(AT112:AT114)</f>
        <v>0</v>
      </c>
      <c r="AU115" s="10"/>
      <c r="AV115" s="102">
        <f>SUM(AV112:AV114)</f>
        <v>37000</v>
      </c>
      <c r="AW115" s="10"/>
      <c r="AX115" s="102">
        <f>SUM(AX112:AX114)</f>
        <v>210319.82</v>
      </c>
      <c r="AY115" s="10"/>
      <c r="AZ115" s="102">
        <f>SUM(AZ112:AZ114)</f>
        <v>162493.07</v>
      </c>
      <c r="BA115" s="10"/>
      <c r="BB115" s="102">
        <f>SUM(BB112:BB114)</f>
        <v>0</v>
      </c>
      <c r="BC115" s="10"/>
      <c r="BD115" s="102">
        <f>SUM(BD112:BD114)</f>
        <v>0</v>
      </c>
      <c r="BE115" s="10"/>
      <c r="BF115" s="102">
        <f>SUM(BF112:BF114)</f>
        <v>0</v>
      </c>
      <c r="BG115" s="10"/>
      <c r="BH115" s="102">
        <f>SUM(BH112:BH114)</f>
        <v>0</v>
      </c>
      <c r="BI115" s="10"/>
      <c r="BJ115" s="102">
        <f>SUM(BJ112:BJ114)</f>
        <v>0</v>
      </c>
      <c r="BK115" s="9"/>
      <c r="BL115" s="102">
        <f>SUM(BL112:BL114)</f>
        <v>409812.89</v>
      </c>
      <c r="BM115" s="9"/>
      <c r="BN115" s="102">
        <f>SUM(BN112:BN114)</f>
        <v>0</v>
      </c>
      <c r="BO115" s="9"/>
      <c r="BP115" s="102">
        <f>SUM(BP112:BP114)</f>
        <v>498973.11</v>
      </c>
      <c r="BQ115" s="16"/>
      <c r="BR115" s="102">
        <f>SUM(BR112:BR114)</f>
        <v>908786</v>
      </c>
      <c r="BS115" s="16"/>
      <c r="BT115" s="102">
        <f>SUM(BT112:BT114)</f>
        <v>0</v>
      </c>
      <c r="BU115" s="9"/>
    </row>
    <row r="116" spans="1:73" s="21" customFormat="1">
      <c r="A116" s="56"/>
      <c r="B116" s="58"/>
      <c r="J116" s="8"/>
      <c r="L116" s="143"/>
      <c r="M116" s="16"/>
      <c r="N116" s="10"/>
      <c r="O116" s="16"/>
      <c r="P116" s="10"/>
      <c r="Q116" s="16"/>
      <c r="R116" s="10"/>
      <c r="S116" s="16"/>
      <c r="T116" s="10"/>
      <c r="U116" s="9"/>
      <c r="V116" s="10"/>
      <c r="W116" s="9"/>
      <c r="X116" s="10"/>
      <c r="Y116" s="9"/>
      <c r="Z116" s="10"/>
      <c r="AA116" s="9"/>
      <c r="AB116" s="10"/>
      <c r="AC116" s="9"/>
      <c r="AD116" s="10"/>
      <c r="AE116" s="9"/>
      <c r="AF116" s="10"/>
      <c r="AG116" s="9"/>
      <c r="AH116" s="10"/>
      <c r="AI116" s="9"/>
      <c r="AJ116" s="10"/>
      <c r="AK116" s="9"/>
      <c r="AL116" s="10"/>
      <c r="AM116" s="9"/>
      <c r="AN116" s="10"/>
      <c r="AO116" s="9"/>
      <c r="AP116" s="10"/>
      <c r="AQ116" s="9"/>
      <c r="AR116" s="10"/>
      <c r="AS116" s="9"/>
      <c r="AT116" s="10"/>
      <c r="AU116" s="10"/>
      <c r="AV116" s="10"/>
      <c r="AW116" s="10"/>
      <c r="AX116" s="10"/>
      <c r="AY116" s="10"/>
      <c r="AZ116" s="10"/>
      <c r="BA116" s="10"/>
      <c r="BB116" s="10"/>
      <c r="BC116" s="10"/>
      <c r="BD116" s="10"/>
      <c r="BE116" s="10"/>
      <c r="BF116" s="10"/>
      <c r="BG116" s="10"/>
      <c r="BH116" s="10"/>
      <c r="BI116" s="10"/>
      <c r="BJ116" s="10"/>
      <c r="BK116" s="9"/>
      <c r="BL116" s="10"/>
      <c r="BM116" s="9"/>
      <c r="BN116" s="10"/>
      <c r="BO116" s="9"/>
      <c r="BP116" s="10"/>
      <c r="BQ116" s="16"/>
      <c r="BR116" s="10"/>
      <c r="BS116" s="16"/>
      <c r="BT116" s="10"/>
      <c r="BU116" s="9"/>
    </row>
    <row r="117" spans="1:73" s="21" customFormat="1">
      <c r="A117" s="62" t="s">
        <v>120</v>
      </c>
      <c r="B117" s="58"/>
      <c r="J117" s="8" t="s">
        <v>0</v>
      </c>
      <c r="L117" s="143" t="s">
        <v>202</v>
      </c>
      <c r="M117" s="9"/>
      <c r="N117" s="9">
        <v>0</v>
      </c>
      <c r="O117" s="9"/>
      <c r="P117" s="9">
        <v>0</v>
      </c>
      <c r="Q117" s="9"/>
      <c r="R117" s="9">
        <v>0</v>
      </c>
      <c r="S117" s="9"/>
      <c r="T117" s="9">
        <v>0</v>
      </c>
      <c r="U117" s="9"/>
      <c r="V117" s="9">
        <v>0</v>
      </c>
      <c r="W117" s="9"/>
      <c r="X117" s="9">
        <v>0</v>
      </c>
      <c r="Y117" s="9"/>
      <c r="Z117" s="9">
        <v>0</v>
      </c>
      <c r="AA117" s="9"/>
      <c r="AB117" s="9">
        <v>0</v>
      </c>
      <c r="AC117" s="9"/>
      <c r="AD117" s="9">
        <v>0</v>
      </c>
      <c r="AE117" s="9"/>
      <c r="AF117" s="9">
        <v>0</v>
      </c>
      <c r="AG117" s="9"/>
      <c r="AH117" s="9">
        <v>0</v>
      </c>
      <c r="AI117" s="9"/>
      <c r="AJ117" s="9">
        <v>0</v>
      </c>
      <c r="AK117" s="9"/>
      <c r="AL117" s="9">
        <v>0</v>
      </c>
      <c r="AM117" s="9"/>
      <c r="AN117" s="9">
        <v>0</v>
      </c>
      <c r="AO117" s="9"/>
      <c r="AP117" s="9">
        <v>0</v>
      </c>
      <c r="AQ117" s="9"/>
      <c r="AR117" s="9">
        <v>0</v>
      </c>
      <c r="AS117" s="9"/>
      <c r="AT117" s="9">
        <v>0</v>
      </c>
      <c r="AU117" s="9"/>
      <c r="AV117" s="9">
        <v>0</v>
      </c>
      <c r="AW117" s="9"/>
      <c r="AX117" s="9">
        <v>0</v>
      </c>
      <c r="AY117" s="9"/>
      <c r="AZ117" s="9">
        <v>0</v>
      </c>
      <c r="BA117" s="9"/>
      <c r="BB117" s="9">
        <v>0</v>
      </c>
      <c r="BC117" s="9"/>
      <c r="BD117" s="9">
        <v>0</v>
      </c>
      <c r="BE117" s="9"/>
      <c r="BF117" s="9">
        <v>0</v>
      </c>
      <c r="BG117" s="9"/>
      <c r="BH117" s="9">
        <v>0</v>
      </c>
      <c r="BI117" s="9"/>
      <c r="BJ117" s="9">
        <v>0</v>
      </c>
      <c r="BK117" s="9"/>
      <c r="BL117" s="9">
        <f>SUM(T117:BK117)</f>
        <v>0</v>
      </c>
      <c r="BM117" s="9"/>
      <c r="BN117" s="9">
        <v>0</v>
      </c>
      <c r="BO117" s="9"/>
      <c r="BP117" s="6">
        <f>IF(+R117-BL117+BN117&gt;0,R117-BL117+BN117,0)</f>
        <v>0</v>
      </c>
      <c r="BQ117" s="9"/>
      <c r="BR117" s="9">
        <f>+BL117+BP117</f>
        <v>0</v>
      </c>
      <c r="BS117" s="9"/>
      <c r="BT117" s="9">
        <f>+R117-BR117</f>
        <v>0</v>
      </c>
      <c r="BU117" s="9"/>
    </row>
    <row r="118" spans="1:73" s="21" customFormat="1">
      <c r="A118" s="62"/>
      <c r="B118" s="58"/>
      <c r="J118" s="8"/>
      <c r="L118" s="143"/>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row>
    <row r="119" spans="1:73" s="21" customFormat="1">
      <c r="A119" s="56" t="s">
        <v>216</v>
      </c>
      <c r="B119" s="31"/>
      <c r="J119" s="8" t="s">
        <v>0</v>
      </c>
      <c r="L119" s="134" t="s">
        <v>202</v>
      </c>
      <c r="M119" s="9"/>
      <c r="N119" s="9">
        <v>400000</v>
      </c>
      <c r="O119" s="9"/>
      <c r="P119" s="9">
        <v>100000</v>
      </c>
      <c r="Q119" s="9"/>
      <c r="R119" s="9">
        <v>1500000</v>
      </c>
      <c r="S119" s="9"/>
      <c r="T119" s="9">
        <v>0</v>
      </c>
      <c r="U119" s="9"/>
      <c r="V119" s="9">
        <v>0</v>
      </c>
      <c r="W119" s="9"/>
      <c r="X119" s="9">
        <v>0</v>
      </c>
      <c r="Y119" s="9"/>
      <c r="Z119" s="9">
        <v>0</v>
      </c>
      <c r="AA119" s="9"/>
      <c r="AB119" s="9">
        <v>0</v>
      </c>
      <c r="AC119" s="9"/>
      <c r="AD119" s="9">
        <v>0</v>
      </c>
      <c r="AE119" s="9"/>
      <c r="AF119" s="9">
        <v>0</v>
      </c>
      <c r="AG119" s="9"/>
      <c r="AH119" s="9">
        <v>0</v>
      </c>
      <c r="AI119" s="9"/>
      <c r="AJ119" s="9">
        <v>0</v>
      </c>
      <c r="AK119" s="9"/>
      <c r="AL119" s="9">
        <v>0</v>
      </c>
      <c r="AM119" s="9"/>
      <c r="AN119" s="9">
        <v>0</v>
      </c>
      <c r="AO119" s="9"/>
      <c r="AP119" s="9">
        <v>38083.5</v>
      </c>
      <c r="AQ119" s="9"/>
      <c r="AR119" s="9">
        <v>0</v>
      </c>
      <c r="AS119" s="9"/>
      <c r="AT119" s="9">
        <v>16047.5</v>
      </c>
      <c r="AU119" s="9"/>
      <c r="AV119" s="9">
        <v>750</v>
      </c>
      <c r="AW119" s="9"/>
      <c r="AX119" s="9">
        <v>44229</v>
      </c>
      <c r="AY119" s="9"/>
      <c r="AZ119" s="9">
        <v>0</v>
      </c>
      <c r="BA119" s="9"/>
      <c r="BB119" s="9">
        <v>0</v>
      </c>
      <c r="BC119" s="9"/>
      <c r="BD119" s="9">
        <v>0</v>
      </c>
      <c r="BE119" s="9"/>
      <c r="BF119" s="9">
        <v>0</v>
      </c>
      <c r="BG119" s="9"/>
      <c r="BH119" s="9">
        <v>0</v>
      </c>
      <c r="BI119" s="9"/>
      <c r="BJ119" s="9">
        <v>0</v>
      </c>
      <c r="BK119" s="9"/>
      <c r="BL119" s="9">
        <f>SUM(T119:BK119)</f>
        <v>99110</v>
      </c>
      <c r="BM119" s="9"/>
      <c r="BN119" s="9">
        <v>0</v>
      </c>
      <c r="BO119" s="9"/>
      <c r="BP119" s="6">
        <f>IF(+R119-BL119+BN119&gt;0,R119-BL119+BN119,0)</f>
        <v>1400890</v>
      </c>
      <c r="BQ119" s="9"/>
      <c r="BR119" s="9">
        <f>+BL119+BP119</f>
        <v>1500000</v>
      </c>
      <c r="BS119" s="9"/>
      <c r="BT119" s="9">
        <f>+R119-BR119</f>
        <v>0</v>
      </c>
      <c r="BU119" s="9"/>
    </row>
    <row r="120" spans="1:73" s="21" customFormat="1">
      <c r="A120" s="56"/>
      <c r="B120" s="31"/>
      <c r="J120" s="8"/>
      <c r="L120" s="134"/>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row>
    <row r="121" spans="1:73" s="31" customFormat="1">
      <c r="A121" s="58" t="s">
        <v>30</v>
      </c>
      <c r="J121" s="159" t="s">
        <v>0</v>
      </c>
      <c r="L121" s="145" t="s">
        <v>202</v>
      </c>
      <c r="M121" s="10"/>
      <c r="N121" s="10">
        <v>0</v>
      </c>
      <c r="O121" s="10"/>
      <c r="P121" s="10">
        <v>0</v>
      </c>
      <c r="Q121" s="10"/>
      <c r="R121" s="9">
        <v>50000</v>
      </c>
      <c r="S121" s="10"/>
      <c r="T121" s="10">
        <v>0</v>
      </c>
      <c r="U121" s="10"/>
      <c r="V121" s="10">
        <v>0</v>
      </c>
      <c r="W121" s="10"/>
      <c r="X121" s="10">
        <v>0</v>
      </c>
      <c r="Y121" s="10"/>
      <c r="Z121" s="10">
        <v>0</v>
      </c>
      <c r="AA121" s="10"/>
      <c r="AB121" s="10">
        <v>0</v>
      </c>
      <c r="AC121" s="10"/>
      <c r="AD121" s="10">
        <v>0</v>
      </c>
      <c r="AE121" s="10"/>
      <c r="AF121" s="10">
        <v>0</v>
      </c>
      <c r="AG121" s="10"/>
      <c r="AH121" s="10">
        <v>0</v>
      </c>
      <c r="AI121" s="10"/>
      <c r="AJ121" s="10">
        <v>0</v>
      </c>
      <c r="AK121" s="10"/>
      <c r="AL121" s="10">
        <v>0</v>
      </c>
      <c r="AM121" s="10"/>
      <c r="AN121" s="10">
        <v>0</v>
      </c>
      <c r="AO121" s="10"/>
      <c r="AP121" s="10">
        <v>0</v>
      </c>
      <c r="AQ121" s="10"/>
      <c r="AR121" s="10">
        <v>0</v>
      </c>
      <c r="AS121" s="10"/>
      <c r="AT121" s="10">
        <v>0</v>
      </c>
      <c r="AU121" s="10"/>
      <c r="AV121" s="10">
        <v>0</v>
      </c>
      <c r="AW121" s="10"/>
      <c r="AX121" s="10">
        <v>0</v>
      </c>
      <c r="AY121" s="10"/>
      <c r="AZ121" s="10">
        <v>0</v>
      </c>
      <c r="BA121" s="10"/>
      <c r="BB121" s="10">
        <v>0</v>
      </c>
      <c r="BC121" s="10"/>
      <c r="BD121" s="10">
        <v>0</v>
      </c>
      <c r="BE121" s="10"/>
      <c r="BF121" s="10">
        <v>0</v>
      </c>
      <c r="BG121" s="10"/>
      <c r="BH121" s="10">
        <v>0</v>
      </c>
      <c r="BI121" s="10"/>
      <c r="BJ121" s="10">
        <v>0</v>
      </c>
      <c r="BK121" s="10"/>
      <c r="BL121" s="10">
        <f>SUM(T121:BK121)</f>
        <v>0</v>
      </c>
      <c r="BM121" s="10"/>
      <c r="BN121" s="10">
        <v>0</v>
      </c>
      <c r="BO121" s="10"/>
      <c r="BP121" s="6">
        <f>IF(+R121-BL121+BN121&gt;0,R121-BL121+BN121,0)</f>
        <v>50000</v>
      </c>
      <c r="BQ121" s="10"/>
      <c r="BR121" s="9">
        <f>+BL121+BP121</f>
        <v>50000</v>
      </c>
      <c r="BS121" s="10"/>
      <c r="BT121" s="9">
        <f>+R121-BR121</f>
        <v>0</v>
      </c>
      <c r="BU121" s="10"/>
    </row>
    <row r="122" spans="1:73" s="21" customFormat="1">
      <c r="A122" s="56"/>
      <c r="B122" s="31"/>
      <c r="J122" s="8"/>
      <c r="L122" s="134"/>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row>
    <row r="123" spans="1:73" s="21" customFormat="1">
      <c r="A123" s="56" t="s">
        <v>26</v>
      </c>
      <c r="B123" s="58"/>
      <c r="J123" s="8" t="s">
        <v>0</v>
      </c>
      <c r="L123" s="134" t="s">
        <v>202</v>
      </c>
      <c r="M123" s="16"/>
      <c r="N123" s="9">
        <v>0</v>
      </c>
      <c r="O123" s="16"/>
      <c r="P123" s="9">
        <v>0</v>
      </c>
      <c r="Q123" s="16"/>
      <c r="R123" s="9">
        <v>1172731</v>
      </c>
      <c r="S123" s="16"/>
      <c r="T123" s="9">
        <v>0</v>
      </c>
      <c r="U123" s="9"/>
      <c r="V123" s="9">
        <v>0</v>
      </c>
      <c r="W123" s="9"/>
      <c r="X123" s="9">
        <v>0</v>
      </c>
      <c r="Y123" s="9"/>
      <c r="Z123" s="9">
        <v>0</v>
      </c>
      <c r="AA123" s="9"/>
      <c r="AB123" s="9">
        <v>0</v>
      </c>
      <c r="AC123" s="9"/>
      <c r="AD123" s="9">
        <v>0</v>
      </c>
      <c r="AE123" s="9"/>
      <c r="AF123" s="9">
        <v>0</v>
      </c>
      <c r="AG123" s="9"/>
      <c r="AH123" s="9">
        <v>0</v>
      </c>
      <c r="AI123" s="9"/>
      <c r="AJ123" s="9">
        <v>0</v>
      </c>
      <c r="AK123" s="9"/>
      <c r="AL123" s="9">
        <v>0</v>
      </c>
      <c r="AM123" s="9"/>
      <c r="AN123" s="9">
        <v>0</v>
      </c>
      <c r="AO123" s="9"/>
      <c r="AP123" s="9">
        <v>0</v>
      </c>
      <c r="AQ123" s="9"/>
      <c r="AR123" s="9">
        <v>0</v>
      </c>
      <c r="AS123" s="9"/>
      <c r="AT123" s="9">
        <v>0</v>
      </c>
      <c r="AU123" s="9"/>
      <c r="AV123" s="9">
        <v>0</v>
      </c>
      <c r="AW123" s="9"/>
      <c r="AX123" s="9">
        <v>0</v>
      </c>
      <c r="AY123" s="9"/>
      <c r="AZ123" s="9">
        <v>0</v>
      </c>
      <c r="BA123" s="9"/>
      <c r="BB123" s="9">
        <v>0</v>
      </c>
      <c r="BC123" s="9"/>
      <c r="BD123" s="9">
        <v>0</v>
      </c>
      <c r="BE123" s="9"/>
      <c r="BF123" s="9">
        <v>0</v>
      </c>
      <c r="BG123" s="9"/>
      <c r="BH123" s="9">
        <v>0</v>
      </c>
      <c r="BI123" s="9"/>
      <c r="BJ123" s="9">
        <v>0</v>
      </c>
      <c r="BK123" s="9"/>
      <c r="BL123" s="9">
        <f>SUM(T123:BK123)</f>
        <v>0</v>
      </c>
      <c r="BM123" s="9"/>
      <c r="BN123" s="9">
        <v>0</v>
      </c>
      <c r="BO123" s="9"/>
      <c r="BP123" s="6">
        <f>IF(+R123-BL123+BN123&gt;0,R123-BL123+BN123,0)</f>
        <v>1172731</v>
      </c>
      <c r="BQ123" s="16"/>
      <c r="BR123" s="9">
        <f>+BL123+BP123</f>
        <v>1172731</v>
      </c>
      <c r="BS123" s="16"/>
      <c r="BT123" s="9">
        <f>+R123-BR123</f>
        <v>0</v>
      </c>
      <c r="BU123" s="9"/>
    </row>
    <row r="124" spans="1:73" s="21" customFormat="1">
      <c r="A124" s="56"/>
      <c r="B124" s="31"/>
      <c r="J124" s="8"/>
      <c r="L124" s="134"/>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row>
    <row r="125" spans="1:73">
      <c r="A125" s="56" t="s">
        <v>27</v>
      </c>
      <c r="B125" s="11"/>
      <c r="C125"/>
      <c r="D125"/>
      <c r="E125"/>
      <c r="F125"/>
      <c r="G125"/>
      <c r="H125"/>
      <c r="I125"/>
      <c r="J125" s="49"/>
      <c r="K125"/>
      <c r="L125" s="134"/>
      <c r="M125" s="6"/>
      <c r="O125" s="6"/>
      <c r="Q125" s="6"/>
      <c r="S125" s="6"/>
      <c r="T125" s="6"/>
      <c r="U125" s="6"/>
      <c r="V125" s="6"/>
      <c r="X125" s="6"/>
      <c r="Z125" s="6"/>
      <c r="AB125" s="6"/>
      <c r="AD125" s="6"/>
      <c r="BJ125" s="6"/>
      <c r="BK125" s="6"/>
      <c r="BM125" s="6"/>
      <c r="BN125" s="6"/>
      <c r="BO125" s="6"/>
      <c r="BU125" s="6"/>
    </row>
    <row r="126" spans="1:73">
      <c r="A126" s="61"/>
      <c r="B126" s="11" t="s">
        <v>207</v>
      </c>
      <c r="E126" s="4"/>
      <c r="G126" s="4"/>
      <c r="I126" s="4"/>
      <c r="J126" s="5" t="s">
        <v>0</v>
      </c>
      <c r="L126" s="134" t="s">
        <v>202</v>
      </c>
      <c r="M126" s="6"/>
      <c r="N126" s="6">
        <v>0</v>
      </c>
      <c r="O126" s="6"/>
      <c r="P126" s="6">
        <v>0</v>
      </c>
      <c r="Q126" s="6"/>
      <c r="R126" s="6">
        <v>42500</v>
      </c>
      <c r="S126" s="6"/>
      <c r="T126" s="6">
        <v>0</v>
      </c>
      <c r="U126" s="6"/>
      <c r="V126" s="6">
        <v>0</v>
      </c>
      <c r="X126" s="6">
        <v>15000</v>
      </c>
      <c r="Z126" s="6">
        <v>10000</v>
      </c>
      <c r="AB126" s="6">
        <v>10000</v>
      </c>
      <c r="AD126" s="6">
        <v>7500</v>
      </c>
      <c r="AF126" s="6">
        <v>0</v>
      </c>
      <c r="AH126" s="6">
        <v>0</v>
      </c>
      <c r="AJ126" s="6">
        <v>0</v>
      </c>
      <c r="AL126" s="6">
        <v>0</v>
      </c>
      <c r="AN126" s="6">
        <v>0</v>
      </c>
      <c r="AP126" s="6">
        <v>0</v>
      </c>
      <c r="AR126" s="6">
        <v>0</v>
      </c>
      <c r="AT126" s="6">
        <v>1500</v>
      </c>
      <c r="AV126" s="6">
        <v>15000</v>
      </c>
      <c r="AX126" s="6">
        <v>3220.61</v>
      </c>
      <c r="AZ126" s="6">
        <v>7500</v>
      </c>
      <c r="BB126" s="6">
        <v>0</v>
      </c>
      <c r="BD126" s="6">
        <v>0</v>
      </c>
      <c r="BF126" s="6">
        <v>0</v>
      </c>
      <c r="BH126" s="6">
        <v>0</v>
      </c>
      <c r="BJ126" s="6">
        <v>0</v>
      </c>
      <c r="BK126" s="6"/>
      <c r="BL126" s="6">
        <f>SUM(T126:BK126)</f>
        <v>69720.61</v>
      </c>
      <c r="BM126" s="6"/>
      <c r="BN126" s="6">
        <v>1000</v>
      </c>
      <c r="BO126" s="6"/>
      <c r="BP126" s="6">
        <f>IF(+R126-BL126+BN126&gt;0,R126-BL126+BN126,0)</f>
        <v>0</v>
      </c>
      <c r="BR126" s="6">
        <f>+BL126+BP126</f>
        <v>69720.61</v>
      </c>
      <c r="BT126" s="6">
        <f>+R126-BR126</f>
        <v>-27220.61</v>
      </c>
      <c r="BU126" s="6"/>
    </row>
    <row r="127" spans="1:73">
      <c r="A127" s="61"/>
      <c r="B127" s="11" t="s">
        <v>208</v>
      </c>
      <c r="E127" s="4"/>
      <c r="G127" s="4"/>
      <c r="I127" s="4"/>
      <c r="J127" s="5" t="s">
        <v>0</v>
      </c>
      <c r="L127" s="134" t="s">
        <v>202</v>
      </c>
      <c r="M127" s="6"/>
      <c r="O127" s="6"/>
      <c r="Q127" s="6"/>
      <c r="R127" s="6">
        <v>0</v>
      </c>
      <c r="S127" s="6"/>
      <c r="T127" s="6">
        <v>0</v>
      </c>
      <c r="U127" s="6"/>
      <c r="V127" s="6">
        <v>0</v>
      </c>
      <c r="X127" s="6">
        <v>0</v>
      </c>
      <c r="Z127" s="6">
        <v>0</v>
      </c>
      <c r="AB127" s="6">
        <v>0</v>
      </c>
      <c r="AD127" s="6">
        <v>0</v>
      </c>
      <c r="AF127" s="6">
        <v>0</v>
      </c>
      <c r="AH127" s="6">
        <v>0</v>
      </c>
      <c r="AJ127" s="6">
        <v>0</v>
      </c>
      <c r="AL127" s="6">
        <v>0</v>
      </c>
      <c r="AN127" s="6">
        <v>0</v>
      </c>
      <c r="AP127" s="6">
        <v>0</v>
      </c>
      <c r="AR127" s="6">
        <v>0</v>
      </c>
      <c r="AT127" s="6">
        <v>0</v>
      </c>
      <c r="AV127" s="6">
        <v>0</v>
      </c>
      <c r="AX127" s="6">
        <v>0</v>
      </c>
      <c r="AZ127" s="6">
        <v>0</v>
      </c>
      <c r="BB127" s="6">
        <v>0</v>
      </c>
      <c r="BD127" s="6">
        <v>0</v>
      </c>
      <c r="BF127" s="6">
        <v>0</v>
      </c>
      <c r="BH127" s="6">
        <v>0</v>
      </c>
      <c r="BJ127" s="6">
        <v>0</v>
      </c>
      <c r="BK127" s="6"/>
      <c r="BL127" s="6">
        <f>SUM(T127:BK127)</f>
        <v>0</v>
      </c>
      <c r="BM127" s="6"/>
      <c r="BN127" s="6">
        <v>0</v>
      </c>
      <c r="BO127" s="6"/>
      <c r="BP127" s="6">
        <f>IF(+R127-BL127+BN127&gt;0,R127-BL127+BN127,0)</f>
        <v>0</v>
      </c>
      <c r="BR127" s="6">
        <f>+BL127+BP127</f>
        <v>0</v>
      </c>
      <c r="BT127" s="6">
        <f>+R127-BR127</f>
        <v>0</v>
      </c>
      <c r="BU127" s="6"/>
    </row>
    <row r="128" spans="1:73">
      <c r="A128" s="61"/>
      <c r="B128" s="11" t="s">
        <v>209</v>
      </c>
      <c r="E128" s="4"/>
      <c r="G128" s="4"/>
      <c r="I128" s="4"/>
      <c r="J128" s="5" t="s">
        <v>0</v>
      </c>
      <c r="L128" s="134" t="s">
        <v>202</v>
      </c>
      <c r="M128" s="6"/>
      <c r="O128" s="6"/>
      <c r="Q128" s="6"/>
      <c r="R128" s="6">
        <f>770000-42500</f>
        <v>727500</v>
      </c>
      <c r="S128" s="6"/>
      <c r="T128" s="6">
        <v>0</v>
      </c>
      <c r="U128" s="6"/>
      <c r="V128" s="6">
        <v>0</v>
      </c>
      <c r="X128" s="6">
        <v>0</v>
      </c>
      <c r="Z128" s="6">
        <v>0</v>
      </c>
      <c r="AB128" s="6"/>
      <c r="AD128" s="6">
        <v>0</v>
      </c>
      <c r="AF128" s="6">
        <v>0</v>
      </c>
      <c r="AH128" s="6">
        <v>0</v>
      </c>
      <c r="AJ128" s="6">
        <v>0</v>
      </c>
      <c r="AL128" s="6">
        <f>101925+797359.26+33000</f>
        <v>932284.26</v>
      </c>
      <c r="AN128" s="6">
        <f>127995.16+664.44</f>
        <v>128659.6</v>
      </c>
      <c r="AP128" s="6">
        <v>8500</v>
      </c>
      <c r="AR128" s="6">
        <v>5000</v>
      </c>
      <c r="AT128" s="6">
        <v>257825</v>
      </c>
      <c r="AV128" s="6">
        <f>498821.1+2500</f>
        <v>501321.1</v>
      </c>
      <c r="AX128" s="6">
        <v>-25183</v>
      </c>
      <c r="AZ128" s="6">
        <v>28975</v>
      </c>
      <c r="BB128" s="6">
        <v>0</v>
      </c>
      <c r="BD128" s="6">
        <v>0</v>
      </c>
      <c r="BF128" s="6">
        <v>0</v>
      </c>
      <c r="BH128" s="6">
        <v>0</v>
      </c>
      <c r="BJ128" s="6">
        <v>0</v>
      </c>
      <c r="BK128" s="6"/>
      <c r="BL128" s="6">
        <f>SUM(T128:BK128)</f>
        <v>1837381.96</v>
      </c>
      <c r="BM128" s="6"/>
      <c r="BN128" s="6">
        <v>341944</v>
      </c>
      <c r="BO128" s="6"/>
      <c r="BP128" s="6">
        <f>IF(+R128-BL128+BN128&gt;0,R128-BL128+BN128,0)</f>
        <v>0</v>
      </c>
      <c r="BR128" s="6">
        <f>+BL128+BP128</f>
        <v>1837381.96</v>
      </c>
      <c r="BT128" s="6">
        <f>+R128-BR128</f>
        <v>-1109881.96</v>
      </c>
      <c r="BU128" s="6"/>
    </row>
    <row r="129" spans="1:73">
      <c r="A129" s="61"/>
      <c r="B129" s="11" t="s">
        <v>210</v>
      </c>
      <c r="E129" s="4"/>
      <c r="G129" s="4"/>
      <c r="I129" s="4"/>
      <c r="J129" s="5" t="s">
        <v>0</v>
      </c>
      <c r="L129" s="134" t="s">
        <v>202</v>
      </c>
      <c r="M129" s="6"/>
      <c r="O129" s="6"/>
      <c r="Q129" s="6"/>
      <c r="R129" s="6">
        <v>0</v>
      </c>
      <c r="S129" s="6"/>
      <c r="T129" s="6"/>
      <c r="U129" s="6"/>
      <c r="V129" s="6"/>
      <c r="X129" s="6"/>
      <c r="Z129" s="6"/>
      <c r="AB129" s="6"/>
      <c r="AD129" s="6"/>
      <c r="BJ129" s="6"/>
      <c r="BK129" s="6"/>
      <c r="BM129" s="6"/>
      <c r="BN129" s="6"/>
      <c r="BO129" s="6"/>
      <c r="BP129" s="6">
        <f>IF(+R129-BL129+BN129&gt;0,R129-BL129+BN129,0)</f>
        <v>0</v>
      </c>
      <c r="BR129" s="6">
        <f>+BL129+BP129</f>
        <v>0</v>
      </c>
      <c r="BT129" s="6">
        <f>+R129-BR129</f>
        <v>0</v>
      </c>
      <c r="BU129" s="6"/>
    </row>
    <row r="130" spans="1:73" s="21" customFormat="1">
      <c r="A130" s="56"/>
      <c r="B130" s="31" t="s">
        <v>182</v>
      </c>
      <c r="J130" s="8"/>
      <c r="L130" s="143"/>
      <c r="M130" s="9"/>
      <c r="N130" s="102">
        <f>SUM(N126:N129)</f>
        <v>0</v>
      </c>
      <c r="O130" s="9"/>
      <c r="P130" s="102">
        <f>SUM(P126:P129)</f>
        <v>0</v>
      </c>
      <c r="Q130" s="9"/>
      <c r="R130" s="102">
        <f>SUM(R126:R129)</f>
        <v>770000</v>
      </c>
      <c r="S130" s="9"/>
      <c r="T130" s="102">
        <f>SUM(T126:T129)</f>
        <v>0</v>
      </c>
      <c r="U130" s="9"/>
      <c r="V130" s="102">
        <f>SUM(V126:V129)</f>
        <v>0</v>
      </c>
      <c r="W130" s="9"/>
      <c r="X130" s="102">
        <f>SUM(X126:X129)</f>
        <v>15000</v>
      </c>
      <c r="Y130" s="9"/>
      <c r="Z130" s="102">
        <f>SUM(Z126:Z129)</f>
        <v>10000</v>
      </c>
      <c r="AA130" s="9"/>
      <c r="AB130" s="102">
        <f>SUM(AB126:AB129)</f>
        <v>10000</v>
      </c>
      <c r="AC130" s="9"/>
      <c r="AD130" s="102">
        <f>SUM(AD126:AD129)</f>
        <v>7500</v>
      </c>
      <c r="AE130" s="9"/>
      <c r="AF130" s="102">
        <f>SUM(AF126:AF129)</f>
        <v>0</v>
      </c>
      <c r="AG130" s="9"/>
      <c r="AH130" s="102">
        <f>SUM(AH126:AH129)</f>
        <v>0</v>
      </c>
      <c r="AI130" s="9"/>
      <c r="AJ130" s="102">
        <f>SUM(AJ126:AJ129)</f>
        <v>0</v>
      </c>
      <c r="AK130" s="9"/>
      <c r="AL130" s="102">
        <f>SUM(AL126:AL129)</f>
        <v>932284.26</v>
      </c>
      <c r="AM130" s="9"/>
      <c r="AN130" s="102">
        <f>SUM(AN126:AN129)</f>
        <v>128659.6</v>
      </c>
      <c r="AO130" s="9"/>
      <c r="AP130" s="102">
        <f>SUM(AP126:AP129)</f>
        <v>8500</v>
      </c>
      <c r="AQ130" s="9"/>
      <c r="AR130" s="102">
        <f>SUM(AR126:AR129)</f>
        <v>5000</v>
      </c>
      <c r="AS130" s="9"/>
      <c r="AT130" s="102">
        <f>SUM(AT126:AT129)</f>
        <v>259325</v>
      </c>
      <c r="AU130" s="10"/>
      <c r="AV130" s="102">
        <f>SUM(AV126:AV129)</f>
        <v>516321.1</v>
      </c>
      <c r="AW130" s="10"/>
      <c r="AX130" s="102">
        <f>SUM(AX126:AX129)</f>
        <v>-21962.39</v>
      </c>
      <c r="AY130" s="10"/>
      <c r="AZ130" s="102">
        <f>SUM(AZ126:AZ129)</f>
        <v>36475</v>
      </c>
      <c r="BA130" s="10"/>
      <c r="BB130" s="102">
        <f>SUM(BB126:BB129)</f>
        <v>0</v>
      </c>
      <c r="BC130" s="10"/>
      <c r="BD130" s="102">
        <f>SUM(BD126:BD129)</f>
        <v>0</v>
      </c>
      <c r="BE130" s="10"/>
      <c r="BF130" s="102">
        <f>SUM(BF126:BF129)</f>
        <v>0</v>
      </c>
      <c r="BG130" s="10"/>
      <c r="BH130" s="102">
        <f>SUM(BH126:BH129)</f>
        <v>0</v>
      </c>
      <c r="BI130" s="10"/>
      <c r="BJ130" s="102">
        <f>SUM(BJ126:BJ129)</f>
        <v>0</v>
      </c>
      <c r="BK130" s="9"/>
      <c r="BL130" s="102">
        <f>SUM(BL126:BL129)</f>
        <v>1907102.57</v>
      </c>
      <c r="BM130" s="9"/>
      <c r="BN130" s="102">
        <f>SUM(BN126:BN129)</f>
        <v>342944</v>
      </c>
      <c r="BO130" s="9"/>
      <c r="BP130" s="102">
        <f>SUM(BP126:BP129)</f>
        <v>0</v>
      </c>
      <c r="BQ130" s="9"/>
      <c r="BR130" s="102">
        <f>SUM(BR126:BR129)</f>
        <v>1907102.57</v>
      </c>
      <c r="BS130" s="9"/>
      <c r="BT130" s="102">
        <f>SUM(BT126:BT129)</f>
        <v>-1137102.57</v>
      </c>
      <c r="BU130" s="9"/>
    </row>
    <row r="131" spans="1:73" s="21" customFormat="1">
      <c r="A131" s="56"/>
      <c r="B131" s="31"/>
      <c r="J131" s="8"/>
      <c r="L131" s="134"/>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f>1869963.27-BL130</f>
        <v>-37139.300000000047</v>
      </c>
      <c r="BM131" s="9"/>
      <c r="BN131" s="9"/>
      <c r="BO131" s="9"/>
      <c r="BP131" s="9"/>
      <c r="BQ131" s="9"/>
      <c r="BR131" s="9"/>
      <c r="BS131" s="9"/>
      <c r="BT131" s="9"/>
      <c r="BU131" s="9"/>
    </row>
    <row r="132" spans="1:73">
      <c r="A132" s="56" t="s">
        <v>28</v>
      </c>
      <c r="B132" s="11"/>
      <c r="C132"/>
      <c r="D132"/>
      <c r="E132"/>
      <c r="F132"/>
      <c r="G132"/>
      <c r="H132"/>
      <c r="I132"/>
      <c r="J132" s="49"/>
      <c r="K132"/>
      <c r="L132" s="134"/>
      <c r="M132" s="6"/>
      <c r="O132" s="6"/>
      <c r="Q132" s="6"/>
      <c r="S132" s="6"/>
      <c r="T132" s="6"/>
      <c r="U132" s="6"/>
      <c r="V132" s="6"/>
      <c r="X132" s="6"/>
      <c r="Z132" s="6"/>
      <c r="AB132" s="6"/>
      <c r="AD132" s="6"/>
      <c r="BJ132" s="6"/>
      <c r="BK132" s="6"/>
      <c r="BM132" s="6"/>
      <c r="BN132" s="6"/>
      <c r="BO132" s="6"/>
      <c r="BU132" s="6"/>
    </row>
    <row r="133" spans="1:73">
      <c r="A133" s="56"/>
      <c r="B133" s="11" t="s">
        <v>260</v>
      </c>
      <c r="C133"/>
      <c r="D133"/>
      <c r="E133"/>
      <c r="F133"/>
      <c r="G133"/>
      <c r="H133"/>
      <c r="I133"/>
      <c r="J133" s="49"/>
      <c r="K133"/>
      <c r="L133" s="134" t="s">
        <v>203</v>
      </c>
      <c r="M133" s="6"/>
      <c r="N133" s="6">
        <v>0</v>
      </c>
      <c r="O133" s="6"/>
      <c r="P133" s="6">
        <v>0</v>
      </c>
      <c r="Q133" s="6"/>
      <c r="S133" s="6"/>
      <c r="T133" s="6">
        <v>0</v>
      </c>
      <c r="U133" s="6"/>
      <c r="V133" s="6">
        <v>0</v>
      </c>
      <c r="X133" s="6">
        <v>0</v>
      </c>
      <c r="Z133" s="6">
        <v>0</v>
      </c>
      <c r="AB133" s="6">
        <v>0</v>
      </c>
      <c r="AD133" s="6"/>
      <c r="AF133" s="6">
        <v>0</v>
      </c>
      <c r="AH133" s="6">
        <v>0</v>
      </c>
      <c r="AJ133" s="6">
        <v>0</v>
      </c>
      <c r="AL133" s="6">
        <v>0</v>
      </c>
      <c r="AN133" s="6">
        <v>0</v>
      </c>
      <c r="AP133" s="6">
        <v>0</v>
      </c>
      <c r="AR133" s="6">
        <v>0</v>
      </c>
      <c r="AT133" s="6">
        <v>0</v>
      </c>
      <c r="AV133" s="6">
        <v>0</v>
      </c>
      <c r="AX133" s="6">
        <v>0</v>
      </c>
      <c r="AZ133" s="6">
        <v>0</v>
      </c>
      <c r="BB133" s="6">
        <v>0</v>
      </c>
      <c r="BD133" s="6">
        <v>0</v>
      </c>
      <c r="BF133" s="6">
        <v>0</v>
      </c>
      <c r="BH133" s="6">
        <v>0</v>
      </c>
      <c r="BJ133" s="6">
        <v>0</v>
      </c>
      <c r="BK133" s="6"/>
      <c r="BL133" s="6">
        <f>SUM(T133:BK133)</f>
        <v>0</v>
      </c>
      <c r="BM133" s="6"/>
      <c r="BN133" s="6">
        <v>0</v>
      </c>
      <c r="BO133" s="6"/>
      <c r="BP133" s="6">
        <f>IF(+R133-BL133+BN133&gt;0,R133-BL133+BN133,0)</f>
        <v>0</v>
      </c>
      <c r="BR133" s="6">
        <f>+BL133+BP133</f>
        <v>0</v>
      </c>
      <c r="BT133" s="6">
        <f>+R133-BR133</f>
        <v>0</v>
      </c>
      <c r="BU133" s="6"/>
    </row>
    <row r="134" spans="1:73">
      <c r="A134" s="57"/>
      <c r="B134" s="17" t="s">
        <v>261</v>
      </c>
      <c r="C134"/>
      <c r="D134"/>
      <c r="E134"/>
      <c r="F134"/>
      <c r="G134"/>
      <c r="H134"/>
      <c r="I134"/>
      <c r="J134" s="49"/>
      <c r="K134"/>
      <c r="L134" s="134" t="s">
        <v>203</v>
      </c>
      <c r="M134" s="6"/>
      <c r="N134" s="6">
        <v>0</v>
      </c>
      <c r="O134" s="6"/>
      <c r="P134" s="6">
        <v>0</v>
      </c>
      <c r="Q134" s="6"/>
      <c r="S134" s="6"/>
      <c r="T134" s="6">
        <v>0</v>
      </c>
      <c r="U134" s="6"/>
      <c r="V134" s="6">
        <v>0</v>
      </c>
      <c r="X134" s="6">
        <v>0</v>
      </c>
      <c r="Z134" s="6">
        <v>0</v>
      </c>
      <c r="AB134" s="6">
        <v>0</v>
      </c>
      <c r="AD134" s="6"/>
      <c r="AF134" s="6">
        <v>0</v>
      </c>
      <c r="AH134" s="6">
        <v>0</v>
      </c>
      <c r="AJ134" s="6">
        <v>0</v>
      </c>
      <c r="AL134" s="6">
        <v>0</v>
      </c>
      <c r="AN134" s="6">
        <v>0</v>
      </c>
      <c r="AP134" s="6">
        <v>0</v>
      </c>
      <c r="AR134" s="6">
        <v>0</v>
      </c>
      <c r="AT134" s="6">
        <v>0</v>
      </c>
      <c r="AV134" s="6">
        <v>0</v>
      </c>
      <c r="AX134" s="6">
        <v>0</v>
      </c>
      <c r="AZ134" s="6">
        <v>0</v>
      </c>
      <c r="BB134" s="6">
        <v>0</v>
      </c>
      <c r="BD134" s="6">
        <v>0</v>
      </c>
      <c r="BF134" s="6">
        <v>0</v>
      </c>
      <c r="BH134" s="6">
        <v>0</v>
      </c>
      <c r="BJ134" s="6">
        <v>0</v>
      </c>
      <c r="BK134" s="6"/>
      <c r="BL134" s="6">
        <f>SUM(T134:BK134)</f>
        <v>0</v>
      </c>
      <c r="BM134" s="6"/>
      <c r="BN134" s="6">
        <v>0</v>
      </c>
      <c r="BO134" s="6"/>
      <c r="BP134" s="6">
        <f>IF(+R134-BL134+BN134&gt;0,R134-BL134+BN134,0)</f>
        <v>0</v>
      </c>
      <c r="BR134" s="6">
        <f>+BL134+BP134</f>
        <v>0</v>
      </c>
      <c r="BT134" s="6">
        <f>+R134-BR134</f>
        <v>0</v>
      </c>
      <c r="BU134" s="6"/>
    </row>
    <row r="135" spans="1:73">
      <c r="A135" s="57"/>
      <c r="B135" s="17" t="s">
        <v>262</v>
      </c>
      <c r="C135"/>
      <c r="D135"/>
      <c r="E135"/>
      <c r="F135"/>
      <c r="G135"/>
      <c r="H135"/>
      <c r="I135"/>
      <c r="J135" s="49"/>
      <c r="K135"/>
      <c r="L135" s="134" t="s">
        <v>203</v>
      </c>
      <c r="M135" s="6"/>
      <c r="O135" s="6"/>
      <c r="P135" s="6">
        <v>0</v>
      </c>
      <c r="Q135" s="6"/>
      <c r="R135" s="6">
        <v>450000</v>
      </c>
      <c r="S135" s="6"/>
      <c r="T135" s="6">
        <v>0</v>
      </c>
      <c r="U135" s="6"/>
      <c r="V135" s="6">
        <v>0</v>
      </c>
      <c r="X135" s="6">
        <v>0</v>
      </c>
      <c r="Z135" s="6">
        <f>17200+23635.1+13005.59</f>
        <v>53840.69</v>
      </c>
      <c r="AB135" s="6">
        <f>60240.81+22098.49</f>
        <v>82339.3</v>
      </c>
      <c r="AD135" s="6">
        <v>9930.43</v>
      </c>
      <c r="AF135" s="6">
        <v>32110.799999999999</v>
      </c>
      <c r="AH135" s="6">
        <v>22234</v>
      </c>
      <c r="AJ135" s="6">
        <v>64176.31</v>
      </c>
      <c r="AL135" s="6">
        <v>27327.91</v>
      </c>
      <c r="AN135" s="6">
        <v>8595.51</v>
      </c>
      <c r="AP135" s="6">
        <v>47810.12</v>
      </c>
      <c r="AR135" s="6">
        <f>1812+9493.06</f>
        <v>11305.06</v>
      </c>
      <c r="AT135" s="6">
        <v>28715.83</v>
      </c>
      <c r="AV135" s="6">
        <v>31364.26</v>
      </c>
      <c r="AX135" s="6">
        <v>9815.23</v>
      </c>
      <c r="AZ135" s="6">
        <v>0</v>
      </c>
      <c r="BB135" s="6">
        <v>0</v>
      </c>
      <c r="BD135" s="6">
        <v>0</v>
      </c>
      <c r="BF135" s="6">
        <v>0</v>
      </c>
      <c r="BH135" s="6">
        <v>0</v>
      </c>
      <c r="BJ135" s="6">
        <v>0</v>
      </c>
      <c r="BK135" s="6"/>
      <c r="BL135" s="6">
        <f>SUM(T135:BK135)</f>
        <v>429565.44999999995</v>
      </c>
      <c r="BM135" s="6"/>
      <c r="BN135" s="6">
        <v>0</v>
      </c>
      <c r="BO135" s="6"/>
      <c r="BP135" s="6">
        <f>IF(+R135-BL135+BN135&gt;0,R135-BL135+BN135,0)</f>
        <v>20434.550000000047</v>
      </c>
      <c r="BR135" s="6">
        <f>+BL135+BP135</f>
        <v>450000</v>
      </c>
      <c r="BT135" s="6">
        <f>+R135-BR135</f>
        <v>0</v>
      </c>
      <c r="BU135" s="6"/>
    </row>
    <row r="136" spans="1:73">
      <c r="A136" s="57"/>
      <c r="B136" s="17"/>
      <c r="C136"/>
      <c r="D136"/>
      <c r="E136"/>
      <c r="F136"/>
      <c r="G136"/>
      <c r="H136"/>
      <c r="I136"/>
      <c r="J136" s="49"/>
      <c r="K136"/>
      <c r="L136" s="134"/>
      <c r="M136" s="6"/>
      <c r="O136" s="6"/>
      <c r="Q136" s="6"/>
      <c r="S136" s="6"/>
      <c r="T136" s="6"/>
      <c r="U136" s="6"/>
      <c r="V136" s="6"/>
      <c r="X136" s="6"/>
      <c r="Z136" s="6"/>
      <c r="AB136" s="6"/>
      <c r="AD136" s="6"/>
      <c r="BJ136" s="6"/>
      <c r="BK136" s="6"/>
      <c r="BM136" s="6"/>
      <c r="BN136" s="6"/>
      <c r="BO136" s="6"/>
      <c r="BU136" s="6"/>
    </row>
    <row r="137" spans="1:73" s="21" customFormat="1">
      <c r="A137" s="118"/>
      <c r="B137" s="58" t="s">
        <v>183</v>
      </c>
      <c r="J137" s="8"/>
      <c r="L137" s="143"/>
      <c r="M137" s="9"/>
      <c r="N137" s="102">
        <f>SUM(N133:N136)</f>
        <v>0</v>
      </c>
      <c r="O137" s="9"/>
      <c r="P137" s="102">
        <f>SUM(P133:P136)</f>
        <v>0</v>
      </c>
      <c r="Q137" s="9"/>
      <c r="R137" s="102">
        <f>SUM(R133:R136)</f>
        <v>450000</v>
      </c>
      <c r="S137" s="9"/>
      <c r="T137" s="102">
        <f>SUM(T133:T136)</f>
        <v>0</v>
      </c>
      <c r="U137" s="9"/>
      <c r="V137" s="102">
        <f>SUM(V133:V136)</f>
        <v>0</v>
      </c>
      <c r="W137" s="9"/>
      <c r="X137" s="102">
        <f>SUM(X133:X136)</f>
        <v>0</v>
      </c>
      <c r="Y137" s="9"/>
      <c r="Z137" s="102">
        <f>SUM(Z133:Z136)</f>
        <v>53840.69</v>
      </c>
      <c r="AA137" s="9"/>
      <c r="AB137" s="102">
        <f>SUM(AB133:AB136)</f>
        <v>82339.3</v>
      </c>
      <c r="AC137" s="9"/>
      <c r="AD137" s="102">
        <f>SUM(AD133:AD136)</f>
        <v>9930.43</v>
      </c>
      <c r="AE137" s="9"/>
      <c r="AF137" s="102">
        <f>SUM(AF133:AF136)</f>
        <v>32110.799999999999</v>
      </c>
      <c r="AG137" s="9"/>
      <c r="AH137" s="102">
        <f>SUM(AH133:AH136)</f>
        <v>22234</v>
      </c>
      <c r="AI137" s="9"/>
      <c r="AJ137" s="102">
        <f>SUM(AJ133:AJ136)</f>
        <v>64176.31</v>
      </c>
      <c r="AK137" s="9"/>
      <c r="AL137" s="102">
        <f>SUM(AL133:AL136)</f>
        <v>27327.91</v>
      </c>
      <c r="AM137" s="9"/>
      <c r="AN137" s="102">
        <f>SUM(AN133:AN136)</f>
        <v>8595.51</v>
      </c>
      <c r="AO137" s="9"/>
      <c r="AP137" s="102">
        <f>SUM(AP133:AP136)</f>
        <v>47810.12</v>
      </c>
      <c r="AQ137" s="9"/>
      <c r="AR137" s="102">
        <f>SUM(AR133:AR136)</f>
        <v>11305.06</v>
      </c>
      <c r="AS137" s="9"/>
      <c r="AT137" s="102">
        <f>SUM(AT133:AT136)</f>
        <v>28715.83</v>
      </c>
      <c r="AU137" s="10"/>
      <c r="AV137" s="102">
        <f>SUM(AV133:AV136)</f>
        <v>31364.26</v>
      </c>
      <c r="AW137" s="10"/>
      <c r="AX137" s="102">
        <f>SUM(AX133:AX136)</f>
        <v>9815.23</v>
      </c>
      <c r="AY137" s="10"/>
      <c r="AZ137" s="102">
        <f>SUM(AZ133:AZ136)</f>
        <v>0</v>
      </c>
      <c r="BA137" s="10"/>
      <c r="BB137" s="102">
        <f>SUM(BB133:BB136)</f>
        <v>0</v>
      </c>
      <c r="BC137" s="10"/>
      <c r="BD137" s="102">
        <f>SUM(BD133:BD136)</f>
        <v>0</v>
      </c>
      <c r="BE137" s="10"/>
      <c r="BF137" s="102">
        <f>SUM(BF133:BF136)</f>
        <v>0</v>
      </c>
      <c r="BG137" s="10"/>
      <c r="BH137" s="102">
        <f>SUM(BH133:BH136)</f>
        <v>0</v>
      </c>
      <c r="BI137" s="10"/>
      <c r="BJ137" s="102">
        <f>SUM(BJ133:BJ136)</f>
        <v>0</v>
      </c>
      <c r="BK137" s="9"/>
      <c r="BL137" s="102">
        <f>SUM(BL133:BL136)</f>
        <v>429565.44999999995</v>
      </c>
      <c r="BM137" s="9"/>
      <c r="BN137" s="102">
        <f>SUM(BN133:BN136)</f>
        <v>0</v>
      </c>
      <c r="BO137" s="9"/>
      <c r="BP137" s="102">
        <f>SUM(BP133:BP136)</f>
        <v>20434.550000000047</v>
      </c>
      <c r="BQ137" s="9"/>
      <c r="BR137" s="102">
        <f>SUM(BR133:BR136)</f>
        <v>450000</v>
      </c>
      <c r="BS137" s="9"/>
      <c r="BT137" s="102">
        <f>SUM(BT133:BT136)</f>
        <v>0</v>
      </c>
      <c r="BU137" s="9"/>
    </row>
    <row r="138" spans="1:73" s="21" customFormat="1">
      <c r="A138" s="118"/>
      <c r="B138" s="58"/>
      <c r="J138" s="8"/>
      <c r="L138" s="143"/>
      <c r="M138" s="9"/>
      <c r="N138" s="10"/>
      <c r="O138" s="9"/>
      <c r="P138" s="10"/>
      <c r="Q138" s="9"/>
      <c r="R138" s="10"/>
      <c r="S138" s="9"/>
      <c r="T138" s="10"/>
      <c r="U138" s="9"/>
      <c r="V138" s="10"/>
      <c r="W138" s="9"/>
      <c r="X138" s="10"/>
      <c r="Y138" s="9"/>
      <c r="Z138" s="10"/>
      <c r="AA138" s="9"/>
      <c r="AB138" s="10"/>
      <c r="AC138" s="9"/>
      <c r="AD138" s="10"/>
      <c r="AE138" s="9"/>
      <c r="AF138" s="10"/>
      <c r="AG138" s="9"/>
      <c r="AH138" s="10"/>
      <c r="AI138" s="9"/>
      <c r="AJ138" s="10"/>
      <c r="AK138" s="9"/>
      <c r="AL138" s="10"/>
      <c r="AM138" s="9"/>
      <c r="AN138" s="10"/>
      <c r="AO138" s="9"/>
      <c r="AP138" s="10"/>
      <c r="AQ138" s="9"/>
      <c r="AR138" s="10"/>
      <c r="AS138" s="9"/>
      <c r="AT138" s="10"/>
      <c r="AU138" s="10"/>
      <c r="AV138" s="10"/>
      <c r="AW138" s="10"/>
      <c r="AX138" s="10"/>
      <c r="AY138" s="10"/>
      <c r="AZ138" s="10"/>
      <c r="BA138" s="10"/>
      <c r="BB138" s="10"/>
      <c r="BC138" s="10"/>
      <c r="BD138" s="10"/>
      <c r="BE138" s="10"/>
      <c r="BF138" s="10"/>
      <c r="BG138" s="10"/>
      <c r="BH138" s="10"/>
      <c r="BI138" s="10"/>
      <c r="BJ138" s="10"/>
      <c r="BK138" s="9"/>
      <c r="BL138" s="10"/>
      <c r="BM138" s="9"/>
      <c r="BN138" s="10"/>
      <c r="BO138" s="9"/>
      <c r="BP138" s="10"/>
      <c r="BQ138" s="9"/>
      <c r="BR138" s="10"/>
      <c r="BS138" s="9"/>
      <c r="BT138" s="10"/>
      <c r="BU138" s="9"/>
    </row>
    <row r="139" spans="1:73" s="21" customFormat="1">
      <c r="A139" s="56" t="s">
        <v>278</v>
      </c>
      <c r="B139" s="31"/>
      <c r="J139" s="8" t="s">
        <v>0</v>
      </c>
      <c r="L139" s="134" t="s">
        <v>202</v>
      </c>
      <c r="M139" s="9"/>
      <c r="N139" s="9">
        <v>0</v>
      </c>
      <c r="O139" s="9"/>
      <c r="P139" s="9">
        <v>0</v>
      </c>
      <c r="Q139" s="9"/>
      <c r="R139" s="9">
        <v>5000000</v>
      </c>
      <c r="S139" s="9"/>
      <c r="T139" s="9">
        <v>0</v>
      </c>
      <c r="U139" s="9"/>
      <c r="V139" s="9">
        <v>0</v>
      </c>
      <c r="W139" s="9"/>
      <c r="X139" s="9">
        <v>0</v>
      </c>
      <c r="Y139" s="9"/>
      <c r="Z139" s="9">
        <v>0</v>
      </c>
      <c r="AA139" s="9"/>
      <c r="AB139" s="9">
        <v>0</v>
      </c>
      <c r="AC139" s="9"/>
      <c r="AD139" s="9">
        <v>0</v>
      </c>
      <c r="AE139" s="9"/>
      <c r="AF139" s="9">
        <v>0</v>
      </c>
      <c r="AG139" s="9"/>
      <c r="AH139" s="9">
        <v>0</v>
      </c>
      <c r="AI139" s="9"/>
      <c r="AJ139" s="9">
        <v>0</v>
      </c>
      <c r="AK139" s="9"/>
      <c r="AL139" s="9">
        <v>10000</v>
      </c>
      <c r="AM139" s="9"/>
      <c r="AN139" s="9">
        <v>0</v>
      </c>
      <c r="AO139" s="9"/>
      <c r="AP139" s="9">
        <v>0</v>
      </c>
      <c r="AQ139" s="9"/>
      <c r="AR139" s="9">
        <v>15000</v>
      </c>
      <c r="AS139" s="9"/>
      <c r="AT139" s="9">
        <v>9120</v>
      </c>
      <c r="AU139" s="9"/>
      <c r="AV139" s="9">
        <v>0</v>
      </c>
      <c r="AW139" s="9"/>
      <c r="AX139" s="9">
        <v>0</v>
      </c>
      <c r="AY139" s="9"/>
      <c r="AZ139" s="9">
        <v>0</v>
      </c>
      <c r="BA139" s="9"/>
      <c r="BB139" s="9">
        <v>0</v>
      </c>
      <c r="BC139" s="9"/>
      <c r="BD139" s="9">
        <v>0</v>
      </c>
      <c r="BE139" s="9"/>
      <c r="BF139" s="9">
        <v>0</v>
      </c>
      <c r="BG139" s="9"/>
      <c r="BH139" s="9">
        <v>0</v>
      </c>
      <c r="BI139" s="9"/>
      <c r="BJ139" s="9">
        <v>0</v>
      </c>
      <c r="BK139" s="9"/>
      <c r="BL139" s="9">
        <f>SUM(T139:BK139)</f>
        <v>34120</v>
      </c>
      <c r="BM139" s="9"/>
      <c r="BN139" s="9">
        <v>0</v>
      </c>
      <c r="BO139" s="9"/>
      <c r="BP139" s="6">
        <f>IF(+R139-BL139+BN139&gt;0,R139-BL139+BN139,0)</f>
        <v>4965880</v>
      </c>
      <c r="BQ139" s="9"/>
      <c r="BR139" s="9">
        <f>+BL139+BP139</f>
        <v>5000000</v>
      </c>
      <c r="BS139" s="9"/>
      <c r="BT139" s="9">
        <f>+R139-BR139</f>
        <v>0</v>
      </c>
      <c r="BU139" s="9"/>
    </row>
    <row r="140" spans="1:73" s="21" customFormat="1">
      <c r="A140" s="118"/>
      <c r="B140" s="58"/>
      <c r="J140" s="8"/>
      <c r="L140" s="143"/>
      <c r="M140" s="9"/>
      <c r="N140" s="10"/>
      <c r="O140" s="9"/>
      <c r="P140" s="10"/>
      <c r="Q140" s="9"/>
      <c r="R140" s="10"/>
      <c r="S140" s="9"/>
      <c r="T140" s="10"/>
      <c r="U140" s="9"/>
      <c r="V140" s="10"/>
      <c r="W140" s="9"/>
      <c r="X140" s="10"/>
      <c r="Y140" s="9"/>
      <c r="Z140" s="10"/>
      <c r="AA140" s="9"/>
      <c r="AB140" s="10"/>
      <c r="AC140" s="9"/>
      <c r="AD140" s="10"/>
      <c r="AE140" s="9"/>
      <c r="AF140" s="10"/>
      <c r="AG140" s="9"/>
      <c r="AH140" s="10"/>
      <c r="AI140" s="9"/>
      <c r="AJ140" s="10"/>
      <c r="AK140" s="9"/>
      <c r="AL140" s="10"/>
      <c r="AM140" s="9"/>
      <c r="AN140" s="10"/>
      <c r="AO140" s="9"/>
      <c r="AP140" s="10"/>
      <c r="AQ140" s="9"/>
      <c r="AR140" s="10"/>
      <c r="AS140" s="9"/>
      <c r="AT140" s="10"/>
      <c r="AU140" s="10"/>
      <c r="AV140" s="10"/>
      <c r="AW140" s="10"/>
      <c r="AX140" s="10"/>
      <c r="AY140" s="10"/>
      <c r="AZ140" s="10"/>
      <c r="BA140" s="10"/>
      <c r="BB140" s="10"/>
      <c r="BC140" s="10"/>
      <c r="BD140" s="10"/>
      <c r="BE140" s="10"/>
      <c r="BF140" s="10"/>
      <c r="BG140" s="10"/>
      <c r="BH140" s="10"/>
      <c r="BI140" s="10"/>
      <c r="BJ140" s="10"/>
      <c r="BK140" s="9"/>
      <c r="BL140" s="10"/>
      <c r="BM140" s="9"/>
      <c r="BN140" s="10"/>
      <c r="BO140" s="9"/>
      <c r="BP140" s="10"/>
      <c r="BQ140" s="9"/>
      <c r="BR140" s="10"/>
      <c r="BS140" s="9"/>
      <c r="BT140" s="10"/>
      <c r="BU140" s="9"/>
    </row>
    <row r="141" spans="1:73" s="21" customFormat="1">
      <c r="A141" s="56" t="s">
        <v>29</v>
      </c>
      <c r="B141" s="31"/>
      <c r="J141" s="8" t="s">
        <v>0</v>
      </c>
      <c r="L141" s="134" t="s">
        <v>202</v>
      </c>
      <c r="M141" s="9"/>
      <c r="N141" s="9">
        <v>0</v>
      </c>
      <c r="O141" s="9"/>
      <c r="P141" s="9">
        <v>0</v>
      </c>
      <c r="Q141" s="9"/>
      <c r="R141" s="9">
        <v>1500000</v>
      </c>
      <c r="S141" s="9"/>
      <c r="T141" s="9">
        <v>0</v>
      </c>
      <c r="U141" s="9"/>
      <c r="V141" s="9">
        <v>0</v>
      </c>
      <c r="W141" s="9"/>
      <c r="X141" s="9">
        <v>0</v>
      </c>
      <c r="Y141" s="9"/>
      <c r="Z141" s="9">
        <v>0</v>
      </c>
      <c r="AA141" s="9"/>
      <c r="AB141" s="9">
        <v>0</v>
      </c>
      <c r="AC141" s="9"/>
      <c r="AD141" s="9">
        <v>0</v>
      </c>
      <c r="AE141" s="9"/>
      <c r="AF141" s="9">
        <v>0</v>
      </c>
      <c r="AG141" s="9"/>
      <c r="AH141" s="9">
        <v>0</v>
      </c>
      <c r="AI141" s="9"/>
      <c r="AJ141" s="9">
        <v>0</v>
      </c>
      <c r="AK141" s="9"/>
      <c r="AL141" s="9">
        <v>0</v>
      </c>
      <c r="AM141" s="9"/>
      <c r="AN141" s="9">
        <v>0</v>
      </c>
      <c r="AO141" s="9"/>
      <c r="AP141" s="9">
        <v>0</v>
      </c>
      <c r="AQ141" s="9"/>
      <c r="AR141" s="9">
        <v>946000</v>
      </c>
      <c r="AS141" s="9"/>
      <c r="AT141" s="9">
        <v>0</v>
      </c>
      <c r="AU141" s="9"/>
      <c r="AV141" s="9">
        <v>0</v>
      </c>
      <c r="AW141" s="9"/>
      <c r="AX141" s="9">
        <v>385500</v>
      </c>
      <c r="AY141" s="9"/>
      <c r="AZ141" s="9">
        <v>0</v>
      </c>
      <c r="BA141" s="9"/>
      <c r="BB141" s="9">
        <v>0</v>
      </c>
      <c r="BC141" s="9"/>
      <c r="BD141" s="9">
        <v>0</v>
      </c>
      <c r="BE141" s="9"/>
      <c r="BF141" s="9">
        <v>0</v>
      </c>
      <c r="BG141" s="9"/>
      <c r="BH141" s="9">
        <v>0</v>
      </c>
      <c r="BI141" s="9"/>
      <c r="BJ141" s="9">
        <v>0</v>
      </c>
      <c r="BK141" s="9"/>
      <c r="BL141" s="9">
        <f>SUM(T141:BK141)</f>
        <v>1331500</v>
      </c>
      <c r="BM141" s="9"/>
      <c r="BN141" s="9">
        <v>0</v>
      </c>
      <c r="BO141" s="9"/>
      <c r="BP141" s="6">
        <f>IF(+R141-BL141+BN141&gt;0,R141-BL141+BN141,0)</f>
        <v>168500</v>
      </c>
      <c r="BQ141" s="9"/>
      <c r="BR141" s="9">
        <f>+BL141+BP141</f>
        <v>1500000</v>
      </c>
      <c r="BS141" s="9"/>
      <c r="BT141" s="9">
        <f>+R141-BR141</f>
        <v>0</v>
      </c>
      <c r="BU141" s="9"/>
    </row>
    <row r="142" spans="1:73" s="21" customFormat="1">
      <c r="A142" s="118"/>
      <c r="B142" s="58"/>
      <c r="J142" s="8"/>
      <c r="L142" s="143"/>
      <c r="M142" s="9"/>
      <c r="N142" s="10"/>
      <c r="O142" s="9"/>
      <c r="P142" s="10"/>
      <c r="Q142" s="9"/>
      <c r="R142" s="10"/>
      <c r="S142" s="9"/>
      <c r="T142" s="10"/>
      <c r="U142" s="9"/>
      <c r="V142" s="10"/>
      <c r="W142" s="9"/>
      <c r="X142" s="10"/>
      <c r="Y142" s="9"/>
      <c r="Z142" s="10"/>
      <c r="AA142" s="9"/>
      <c r="AB142" s="10"/>
      <c r="AC142" s="9"/>
      <c r="AD142" s="10"/>
      <c r="AE142" s="9"/>
      <c r="AF142" s="10"/>
      <c r="AG142" s="9"/>
      <c r="AH142" s="10"/>
      <c r="AI142" s="9"/>
      <c r="AJ142" s="10"/>
      <c r="AK142" s="9"/>
      <c r="AL142" s="10"/>
      <c r="AM142" s="9"/>
      <c r="AN142" s="10"/>
      <c r="AO142" s="9"/>
      <c r="AP142" s="10"/>
      <c r="AQ142" s="9"/>
      <c r="AR142" s="10"/>
      <c r="AS142" s="9"/>
      <c r="AT142" s="10"/>
      <c r="AU142" s="10"/>
      <c r="AV142" s="10"/>
      <c r="AW142" s="10"/>
      <c r="AX142" s="10"/>
      <c r="AY142" s="10"/>
      <c r="AZ142" s="10"/>
      <c r="BA142" s="10"/>
      <c r="BB142" s="10"/>
      <c r="BC142" s="10"/>
      <c r="BD142" s="10"/>
      <c r="BE142" s="10"/>
      <c r="BF142" s="10"/>
      <c r="BG142" s="10"/>
      <c r="BH142" s="10"/>
      <c r="BI142" s="10"/>
      <c r="BJ142" s="10"/>
      <c r="BK142" s="9"/>
      <c r="BL142" s="10"/>
      <c r="BM142" s="9"/>
      <c r="BN142" s="10"/>
      <c r="BO142" s="9"/>
      <c r="BP142" s="10"/>
      <c r="BQ142" s="9"/>
      <c r="BR142" s="10"/>
      <c r="BS142" s="9"/>
      <c r="BT142" s="10"/>
      <c r="BU142" s="9"/>
    </row>
    <row r="143" spans="1:73" s="15" customFormat="1">
      <c r="A143" s="111" t="s">
        <v>178</v>
      </c>
      <c r="B143" s="60"/>
      <c r="C143"/>
      <c r="D143"/>
      <c r="E143"/>
      <c r="F143"/>
      <c r="G143"/>
      <c r="H143"/>
      <c r="I143"/>
      <c r="J143" s="49"/>
      <c r="K143"/>
      <c r="L143" s="134"/>
      <c r="M143" s="22"/>
      <c r="N143" s="22"/>
      <c r="O143" s="22"/>
      <c r="P143" s="22"/>
      <c r="Q143" s="22"/>
      <c r="R143" s="22"/>
      <c r="S143" s="22"/>
      <c r="T143" s="22"/>
      <c r="U143" s="22"/>
      <c r="V143" s="22"/>
      <c r="W143" s="22"/>
      <c r="X143" s="22"/>
      <c r="Y143" s="22"/>
      <c r="Z143" s="22"/>
      <c r="AA143" s="22"/>
      <c r="AB143" s="22"/>
      <c r="AC143" s="22"/>
      <c r="AD143" s="22"/>
      <c r="AE143" s="22"/>
      <c r="AF143" s="22"/>
      <c r="AG143" s="22"/>
      <c r="AH143" s="22"/>
      <c r="AI143" s="22"/>
      <c r="AJ143" s="22"/>
      <c r="AK143" s="22"/>
      <c r="AL143" s="22"/>
      <c r="AM143" s="22"/>
      <c r="AN143" s="22"/>
      <c r="AO143" s="22"/>
      <c r="AP143" s="22"/>
      <c r="AQ143" s="22"/>
      <c r="AR143" s="22"/>
      <c r="AS143" s="22"/>
      <c r="AT143" s="22"/>
      <c r="AU143" s="22"/>
      <c r="AV143" s="22"/>
      <c r="AW143" s="22"/>
      <c r="AX143" s="22"/>
      <c r="AY143" s="22"/>
      <c r="AZ143" s="22"/>
      <c r="BA143" s="22"/>
      <c r="BB143" s="22"/>
      <c r="BC143" s="22"/>
      <c r="BD143" s="22"/>
      <c r="BE143" s="22"/>
      <c r="BF143" s="22"/>
      <c r="BG143" s="22"/>
      <c r="BH143" s="22"/>
      <c r="BI143" s="22"/>
      <c r="BJ143" s="22"/>
      <c r="BK143" s="22"/>
      <c r="BL143" s="22"/>
      <c r="BM143" s="22"/>
      <c r="BN143" s="22"/>
      <c r="BO143" s="22"/>
      <c r="BP143" s="22"/>
      <c r="BQ143" s="22"/>
      <c r="BR143" s="22"/>
      <c r="BS143" s="22"/>
      <c r="BT143" s="22"/>
      <c r="BU143" s="22"/>
    </row>
    <row r="144" spans="1:73" s="15" customFormat="1" hidden="1">
      <c r="A144" s="14"/>
      <c r="B144" s="60" t="s">
        <v>179</v>
      </c>
      <c r="C144"/>
      <c r="D144"/>
      <c r="E144"/>
      <c r="F144"/>
      <c r="G144"/>
      <c r="H144"/>
      <c r="I144"/>
      <c r="J144" s="49"/>
      <c r="K144"/>
      <c r="L144" s="134" t="s">
        <v>202</v>
      </c>
      <c r="M144" s="22"/>
      <c r="N144" s="22">
        <v>0</v>
      </c>
      <c r="O144" s="22"/>
      <c r="P144" s="22">
        <v>0</v>
      </c>
      <c r="Q144" s="22"/>
      <c r="R144" s="6">
        <f>+N144+P144</f>
        <v>0</v>
      </c>
      <c r="S144" s="22"/>
      <c r="T144" s="22">
        <v>0</v>
      </c>
      <c r="U144" s="22"/>
      <c r="V144" s="22">
        <v>0</v>
      </c>
      <c r="W144" s="22"/>
      <c r="X144" s="22">
        <v>0</v>
      </c>
      <c r="Y144" s="22"/>
      <c r="Z144" s="22">
        <v>0</v>
      </c>
      <c r="AA144" s="22"/>
      <c r="AB144" s="22">
        <v>0</v>
      </c>
      <c r="AC144" s="22"/>
      <c r="AD144" s="22">
        <v>0</v>
      </c>
      <c r="AE144" s="22"/>
      <c r="AF144" s="22">
        <v>0</v>
      </c>
      <c r="AG144" s="22"/>
      <c r="AH144" s="22">
        <v>0</v>
      </c>
      <c r="AI144" s="22"/>
      <c r="AJ144" s="22">
        <v>0</v>
      </c>
      <c r="AK144" s="22"/>
      <c r="AL144" s="22">
        <v>0</v>
      </c>
      <c r="AM144" s="22"/>
      <c r="AN144" s="22">
        <v>0</v>
      </c>
      <c r="AO144" s="22"/>
      <c r="AP144" s="22">
        <v>0</v>
      </c>
      <c r="AQ144" s="22"/>
      <c r="AR144" s="22">
        <v>0</v>
      </c>
      <c r="AS144" s="22"/>
      <c r="AT144" s="22">
        <v>0</v>
      </c>
      <c r="AU144" s="22"/>
      <c r="AV144" s="22">
        <v>0</v>
      </c>
      <c r="AW144" s="22"/>
      <c r="AX144" s="22">
        <v>0</v>
      </c>
      <c r="AY144" s="22"/>
      <c r="AZ144" s="22">
        <v>0</v>
      </c>
      <c r="BA144" s="22"/>
      <c r="BB144" s="22">
        <v>0</v>
      </c>
      <c r="BC144" s="22"/>
      <c r="BD144" s="22">
        <v>0</v>
      </c>
      <c r="BE144" s="22"/>
      <c r="BF144" s="22">
        <v>0</v>
      </c>
      <c r="BG144" s="22"/>
      <c r="BH144" s="22">
        <v>0</v>
      </c>
      <c r="BI144" s="22"/>
      <c r="BJ144" s="22">
        <v>0</v>
      </c>
      <c r="BK144" s="22"/>
      <c r="BL144" s="22">
        <f>SUM(T144:BK144)</f>
        <v>0</v>
      </c>
      <c r="BM144" s="22"/>
      <c r="BN144" s="22">
        <v>0</v>
      </c>
      <c r="BO144" s="22"/>
      <c r="BP144" s="22">
        <f>+R144-BL144+BN144</f>
        <v>0</v>
      </c>
      <c r="BQ144" s="22"/>
      <c r="BR144" s="6">
        <f>+BL144+BP144</f>
        <v>0</v>
      </c>
      <c r="BS144" s="22"/>
      <c r="BT144" s="6">
        <f>+R144-BR144</f>
        <v>0</v>
      </c>
      <c r="BU144" s="22"/>
    </row>
    <row r="145" spans="1:122" s="15" customFormat="1">
      <c r="A145" s="14"/>
      <c r="B145" s="60" t="s">
        <v>180</v>
      </c>
      <c r="C145"/>
      <c r="D145"/>
      <c r="E145"/>
      <c r="F145"/>
      <c r="G145"/>
      <c r="H145"/>
      <c r="I145"/>
      <c r="J145" s="49"/>
      <c r="K145"/>
      <c r="L145" s="134" t="s">
        <v>202</v>
      </c>
      <c r="M145" s="22"/>
      <c r="N145" s="22">
        <v>0</v>
      </c>
      <c r="O145" s="22"/>
      <c r="P145" s="22">
        <v>0</v>
      </c>
      <c r="Q145" s="22"/>
      <c r="R145" s="6">
        <v>1000000</v>
      </c>
      <c r="S145" s="22"/>
      <c r="T145" s="22">
        <v>0</v>
      </c>
      <c r="U145" s="22"/>
      <c r="V145" s="22">
        <v>0</v>
      </c>
      <c r="W145" s="22"/>
      <c r="X145" s="22">
        <v>0</v>
      </c>
      <c r="Y145" s="22"/>
      <c r="Z145" s="22">
        <v>0</v>
      </c>
      <c r="AA145" s="22"/>
      <c r="AB145" s="22">
        <v>0</v>
      </c>
      <c r="AC145" s="22"/>
      <c r="AD145" s="22">
        <v>0</v>
      </c>
      <c r="AE145" s="22"/>
      <c r="AF145" s="22">
        <v>0</v>
      </c>
      <c r="AG145" s="22"/>
      <c r="AH145" s="22">
        <v>0</v>
      </c>
      <c r="AI145" s="22"/>
      <c r="AJ145" s="22">
        <v>0</v>
      </c>
      <c r="AK145" s="22"/>
      <c r="AL145" s="22">
        <v>0</v>
      </c>
      <c r="AM145" s="22"/>
      <c r="AN145" s="22">
        <v>0</v>
      </c>
      <c r="AO145" s="22"/>
      <c r="AP145" s="22">
        <v>0</v>
      </c>
      <c r="AQ145" s="22"/>
      <c r="AR145" s="22">
        <v>0</v>
      </c>
      <c r="AS145" s="22"/>
      <c r="AT145" s="22">
        <v>0</v>
      </c>
      <c r="AU145" s="22"/>
      <c r="AV145" s="22">
        <v>0</v>
      </c>
      <c r="AW145" s="22"/>
      <c r="AX145" s="22">
        <v>0</v>
      </c>
      <c r="AY145" s="22"/>
      <c r="AZ145" s="22">
        <v>0</v>
      </c>
      <c r="BA145" s="22"/>
      <c r="BB145" s="22">
        <v>0</v>
      </c>
      <c r="BC145" s="22"/>
      <c r="BD145" s="22">
        <v>0</v>
      </c>
      <c r="BE145" s="22"/>
      <c r="BF145" s="22">
        <v>0</v>
      </c>
      <c r="BG145" s="22"/>
      <c r="BH145" s="22">
        <v>0</v>
      </c>
      <c r="BI145" s="22"/>
      <c r="BJ145" s="22">
        <v>0</v>
      </c>
      <c r="BK145" s="22"/>
      <c r="BL145" s="22">
        <f>SUM(T145:BK145)</f>
        <v>0</v>
      </c>
      <c r="BM145" s="22"/>
      <c r="BN145" s="22">
        <v>0</v>
      </c>
      <c r="BO145" s="22"/>
      <c r="BP145" s="6">
        <f>IF(+R145-BL145+BN145&gt;0,R145-BL145+BN145,0)</f>
        <v>1000000</v>
      </c>
      <c r="BQ145" s="22"/>
      <c r="BR145" s="6">
        <f>+BL145+BP145</f>
        <v>1000000</v>
      </c>
      <c r="BS145" s="22"/>
      <c r="BT145" s="6">
        <f>+R145-BR145</f>
        <v>0</v>
      </c>
      <c r="BU145" s="22"/>
    </row>
    <row r="146" spans="1:122" s="15" customFormat="1" hidden="1">
      <c r="A146" s="14"/>
      <c r="B146" s="60" t="s">
        <v>121</v>
      </c>
      <c r="C146"/>
      <c r="D146"/>
      <c r="E146"/>
      <c r="F146"/>
      <c r="G146"/>
      <c r="H146"/>
      <c r="I146"/>
      <c r="J146" s="49"/>
      <c r="K146"/>
      <c r="L146" s="134" t="s">
        <v>202</v>
      </c>
      <c r="M146" s="22"/>
      <c r="N146" s="22">
        <v>0</v>
      </c>
      <c r="O146" s="22"/>
      <c r="P146" s="22">
        <v>0</v>
      </c>
      <c r="Q146" s="22"/>
      <c r="R146" s="6">
        <v>0</v>
      </c>
      <c r="S146" s="22"/>
      <c r="T146" s="22">
        <v>0</v>
      </c>
      <c r="U146" s="22"/>
      <c r="V146" s="22">
        <v>0</v>
      </c>
      <c r="W146" s="22"/>
      <c r="X146" s="22">
        <v>0</v>
      </c>
      <c r="Y146" s="22"/>
      <c r="Z146" s="22">
        <v>0</v>
      </c>
      <c r="AA146" s="22"/>
      <c r="AB146" s="22">
        <v>0</v>
      </c>
      <c r="AC146" s="22"/>
      <c r="AD146" s="22">
        <v>0</v>
      </c>
      <c r="AE146" s="22"/>
      <c r="AF146" s="22">
        <v>0</v>
      </c>
      <c r="AG146" s="22"/>
      <c r="AH146" s="22">
        <v>0</v>
      </c>
      <c r="AI146" s="22"/>
      <c r="AJ146" s="22">
        <v>0</v>
      </c>
      <c r="AK146" s="22"/>
      <c r="AL146" s="22">
        <v>0</v>
      </c>
      <c r="AM146" s="22"/>
      <c r="AN146" s="22">
        <v>0</v>
      </c>
      <c r="AO146" s="22"/>
      <c r="AP146" s="22">
        <v>0</v>
      </c>
      <c r="AQ146" s="22"/>
      <c r="AR146" s="22">
        <v>0</v>
      </c>
      <c r="AS146" s="22"/>
      <c r="AT146" s="22">
        <v>0</v>
      </c>
      <c r="AU146" s="22"/>
      <c r="AV146" s="22">
        <v>0</v>
      </c>
      <c r="AW146" s="22"/>
      <c r="AX146" s="22">
        <v>0</v>
      </c>
      <c r="AY146" s="22"/>
      <c r="AZ146" s="22">
        <v>0</v>
      </c>
      <c r="BA146" s="22"/>
      <c r="BB146" s="22">
        <v>0</v>
      </c>
      <c r="BC146" s="22"/>
      <c r="BD146" s="22">
        <v>0</v>
      </c>
      <c r="BE146" s="22"/>
      <c r="BF146" s="22">
        <v>0</v>
      </c>
      <c r="BG146" s="22"/>
      <c r="BH146" s="22">
        <v>0</v>
      </c>
      <c r="BI146" s="22"/>
      <c r="BJ146" s="22">
        <v>0</v>
      </c>
      <c r="BK146" s="22"/>
      <c r="BL146" s="22">
        <f>SUM(T146:BK146)</f>
        <v>0</v>
      </c>
      <c r="BM146" s="22"/>
      <c r="BN146" s="22">
        <v>0</v>
      </c>
      <c r="BO146" s="22"/>
      <c r="BP146" s="22">
        <f>+R146-BL146+BN146</f>
        <v>0</v>
      </c>
      <c r="BQ146" s="22"/>
      <c r="BR146" s="6">
        <f>+BL146+BP146</f>
        <v>0</v>
      </c>
      <c r="BS146" s="22"/>
      <c r="BT146" s="6">
        <f>+R146-BR146</f>
        <v>0</v>
      </c>
      <c r="BU146" s="22"/>
    </row>
    <row r="147" spans="1:122" s="104" customFormat="1">
      <c r="A147" s="111"/>
      <c r="B147" s="77" t="s">
        <v>181</v>
      </c>
      <c r="C147" s="21"/>
      <c r="D147" s="21"/>
      <c r="E147" s="21"/>
      <c r="F147" s="21"/>
      <c r="G147" s="21"/>
      <c r="H147" s="21"/>
      <c r="I147" s="21"/>
      <c r="J147" s="8"/>
      <c r="K147" s="21"/>
      <c r="L147" s="143"/>
      <c r="M147" s="16"/>
      <c r="N147" s="108">
        <f>SUM(N144:N146)</f>
        <v>0</v>
      </c>
      <c r="O147" s="16"/>
      <c r="P147" s="108">
        <f>SUM(P144:P146)</f>
        <v>0</v>
      </c>
      <c r="Q147" s="16"/>
      <c r="R147" s="108">
        <f>SUM(R144:R146)</f>
        <v>1000000</v>
      </c>
      <c r="S147" s="16"/>
      <c r="T147" s="108">
        <f>SUM(T144:T146)</f>
        <v>0</v>
      </c>
      <c r="U147" s="16"/>
      <c r="V147" s="108">
        <f>SUM(V144:V146)</f>
        <v>0</v>
      </c>
      <c r="W147" s="16"/>
      <c r="X147" s="108">
        <f>SUM(X144:X146)</f>
        <v>0</v>
      </c>
      <c r="Y147" s="16"/>
      <c r="Z147" s="108">
        <f>SUM(Z144:Z146)</f>
        <v>0</v>
      </c>
      <c r="AA147" s="16"/>
      <c r="AB147" s="108">
        <f>SUM(AB144:AB146)</f>
        <v>0</v>
      </c>
      <c r="AC147" s="16"/>
      <c r="AD147" s="108">
        <f>SUM(AD144:AD146)</f>
        <v>0</v>
      </c>
      <c r="AE147" s="16"/>
      <c r="AF147" s="108">
        <f>SUM(AF144:AF146)</f>
        <v>0</v>
      </c>
      <c r="AG147" s="16"/>
      <c r="AH147" s="108">
        <f>SUM(AH144:AH146)</f>
        <v>0</v>
      </c>
      <c r="AI147" s="16"/>
      <c r="AJ147" s="108">
        <f>SUM(AJ144:AJ146)</f>
        <v>0</v>
      </c>
      <c r="AK147" s="16"/>
      <c r="AL147" s="108">
        <f>SUM(AL144:AL146)</f>
        <v>0</v>
      </c>
      <c r="AM147" s="16"/>
      <c r="AN147" s="108">
        <f>SUM(AN144:AN146)</f>
        <v>0</v>
      </c>
      <c r="AO147" s="16"/>
      <c r="AP147" s="108">
        <f>SUM(AP144:AP146)</f>
        <v>0</v>
      </c>
      <c r="AQ147" s="16"/>
      <c r="AR147" s="108">
        <f>SUM(AR144:AR146)</f>
        <v>0</v>
      </c>
      <c r="AS147" s="16"/>
      <c r="AT147" s="108">
        <f>SUM(AT144:AT146)</f>
        <v>0</v>
      </c>
      <c r="AU147" s="103"/>
      <c r="AV147" s="108">
        <f>SUM(AV144:AV146)</f>
        <v>0</v>
      </c>
      <c r="AW147" s="103"/>
      <c r="AX147" s="108">
        <f>SUM(AX144:AX146)</f>
        <v>0</v>
      </c>
      <c r="AY147" s="103"/>
      <c r="AZ147" s="108">
        <f>SUM(AZ144:AZ146)</f>
        <v>0</v>
      </c>
      <c r="BA147" s="103"/>
      <c r="BB147" s="108">
        <f>SUM(BB144:BB146)</f>
        <v>0</v>
      </c>
      <c r="BC147" s="103"/>
      <c r="BD147" s="108">
        <f>SUM(BD144:BD146)</f>
        <v>0</v>
      </c>
      <c r="BE147" s="103"/>
      <c r="BF147" s="108">
        <f>SUM(BF144:BF146)</f>
        <v>0</v>
      </c>
      <c r="BG147" s="103"/>
      <c r="BH147" s="108">
        <f>SUM(BH144:BH146)</f>
        <v>0</v>
      </c>
      <c r="BI147" s="103"/>
      <c r="BJ147" s="108">
        <f>SUM(BJ144:BJ146)</f>
        <v>0</v>
      </c>
      <c r="BK147" s="16"/>
      <c r="BL147" s="108">
        <f>SUM(BL144:BL146)</f>
        <v>0</v>
      </c>
      <c r="BM147" s="16"/>
      <c r="BN147" s="108">
        <f>SUM(BN144:BN146)</f>
        <v>0</v>
      </c>
      <c r="BO147" s="16"/>
      <c r="BP147" s="108">
        <f>SUM(BP144:BP146)</f>
        <v>1000000</v>
      </c>
      <c r="BQ147" s="16"/>
      <c r="BR147" s="108">
        <f>SUM(BR144:BR146)</f>
        <v>1000000</v>
      </c>
      <c r="BS147" s="16"/>
      <c r="BT147" s="108">
        <f>SUM(BT144:BT146)</f>
        <v>0</v>
      </c>
      <c r="BU147" s="16"/>
    </row>
    <row r="148" spans="1:122" s="104" customFormat="1">
      <c r="A148" s="32"/>
      <c r="B148" s="77"/>
      <c r="C148" s="21"/>
      <c r="D148" s="21"/>
      <c r="E148" s="21"/>
      <c r="F148" s="21"/>
      <c r="G148" s="21"/>
      <c r="H148" s="21"/>
      <c r="I148" s="21"/>
      <c r="J148" s="8"/>
      <c r="K148" s="21"/>
      <c r="L148" s="143"/>
      <c r="M148" s="16"/>
      <c r="N148" s="103"/>
      <c r="O148" s="16"/>
      <c r="P148" s="103"/>
      <c r="Q148" s="16"/>
      <c r="R148" s="103"/>
      <c r="S148" s="16"/>
      <c r="T148" s="103"/>
      <c r="U148" s="16"/>
      <c r="V148" s="103"/>
      <c r="W148" s="16"/>
      <c r="X148" s="103"/>
      <c r="Y148" s="16"/>
      <c r="Z148" s="103"/>
      <c r="AA148" s="16"/>
      <c r="AB148" s="103"/>
      <c r="AC148" s="16"/>
      <c r="AD148" s="103"/>
      <c r="AE148" s="16"/>
      <c r="AF148" s="103"/>
      <c r="AG148" s="16"/>
      <c r="AH148" s="103"/>
      <c r="AI148" s="16"/>
      <c r="AJ148" s="103"/>
      <c r="AK148" s="16"/>
      <c r="AL148" s="103"/>
      <c r="AM148" s="16"/>
      <c r="AN148" s="103"/>
      <c r="AO148" s="16"/>
      <c r="AP148" s="103"/>
      <c r="AQ148" s="16"/>
      <c r="AR148" s="103"/>
      <c r="AS148" s="16"/>
      <c r="AT148" s="103"/>
      <c r="AU148" s="103"/>
      <c r="AV148" s="103"/>
      <c r="AW148" s="103"/>
      <c r="AX148" s="103"/>
      <c r="AY148" s="103"/>
      <c r="AZ148" s="103"/>
      <c r="BA148" s="103"/>
      <c r="BB148" s="103"/>
      <c r="BC148" s="103"/>
      <c r="BD148" s="103"/>
      <c r="BE148" s="103"/>
      <c r="BF148" s="103"/>
      <c r="BG148" s="103"/>
      <c r="BH148" s="103"/>
      <c r="BI148" s="103"/>
      <c r="BJ148" s="103"/>
      <c r="BK148" s="16"/>
      <c r="BL148" s="103"/>
      <c r="BM148" s="16"/>
      <c r="BN148" s="103"/>
      <c r="BO148" s="16"/>
      <c r="BP148" s="103"/>
      <c r="BQ148" s="16"/>
      <c r="BR148" s="103"/>
      <c r="BS148" s="16"/>
      <c r="BT148" s="103"/>
      <c r="BU148" s="16"/>
    </row>
    <row r="149" spans="1:122" s="31" customFormat="1">
      <c r="A149" s="58" t="s">
        <v>31</v>
      </c>
      <c r="J149" s="159"/>
      <c r="L149" s="145" t="s">
        <v>202</v>
      </c>
      <c r="M149" s="10"/>
      <c r="N149" s="10">
        <v>0</v>
      </c>
      <c r="O149" s="10"/>
      <c r="P149" s="10">
        <v>0</v>
      </c>
      <c r="Q149" s="10"/>
      <c r="R149" s="9">
        <v>200000</v>
      </c>
      <c r="S149" s="10"/>
      <c r="T149" s="10">
        <v>0</v>
      </c>
      <c r="U149" s="10"/>
      <c r="V149" s="10">
        <v>0</v>
      </c>
      <c r="W149" s="10"/>
      <c r="X149" s="10">
        <v>0</v>
      </c>
      <c r="Y149" s="10"/>
      <c r="Z149" s="10">
        <v>0</v>
      </c>
      <c r="AA149" s="10"/>
      <c r="AB149" s="10">
        <v>0</v>
      </c>
      <c r="AC149" s="10"/>
      <c r="AD149" s="10">
        <v>0</v>
      </c>
      <c r="AE149" s="10"/>
      <c r="AF149" s="10">
        <v>0</v>
      </c>
      <c r="AG149" s="10"/>
      <c r="AH149" s="10">
        <v>0</v>
      </c>
      <c r="AI149" s="10"/>
      <c r="AJ149" s="10">
        <v>0</v>
      </c>
      <c r="AK149" s="10"/>
      <c r="AL149" s="10">
        <v>0</v>
      </c>
      <c r="AM149" s="10"/>
      <c r="AN149" s="10">
        <v>0</v>
      </c>
      <c r="AO149" s="10"/>
      <c r="AP149" s="10">
        <v>0</v>
      </c>
      <c r="AQ149" s="10"/>
      <c r="AR149" s="10">
        <v>175875</v>
      </c>
      <c r="AS149" s="10"/>
      <c r="AT149" s="10">
        <v>0</v>
      </c>
      <c r="AU149" s="10"/>
      <c r="AV149" s="10">
        <v>0</v>
      </c>
      <c r="AW149" s="10"/>
      <c r="AX149" s="10">
        <v>0</v>
      </c>
      <c r="AY149" s="10"/>
      <c r="AZ149" s="10">
        <v>0</v>
      </c>
      <c r="BA149" s="10"/>
      <c r="BB149" s="10">
        <v>0</v>
      </c>
      <c r="BC149" s="10"/>
      <c r="BD149" s="10">
        <v>0</v>
      </c>
      <c r="BE149" s="10"/>
      <c r="BF149" s="10">
        <v>0</v>
      </c>
      <c r="BG149" s="10"/>
      <c r="BH149" s="10">
        <v>0</v>
      </c>
      <c r="BI149" s="10"/>
      <c r="BJ149" s="10">
        <v>0</v>
      </c>
      <c r="BK149" s="10"/>
      <c r="BL149" s="10">
        <f>SUM(T149:BK149)</f>
        <v>175875</v>
      </c>
      <c r="BM149" s="10"/>
      <c r="BN149" s="10">
        <v>0</v>
      </c>
      <c r="BO149" s="10"/>
      <c r="BP149" s="6">
        <f>IF(+R149-BL149+BN149&gt;0,R149-BL149+BN149,0)</f>
        <v>24125</v>
      </c>
      <c r="BQ149" s="10"/>
      <c r="BR149" s="9">
        <f>+BL149+BP149</f>
        <v>200000</v>
      </c>
      <c r="BS149" s="10"/>
      <c r="BT149" s="9">
        <f>+R149-BR149</f>
        <v>0</v>
      </c>
      <c r="BU149" s="10"/>
    </row>
    <row r="150" spans="1:122" s="15" customFormat="1">
      <c r="A150" s="14"/>
      <c r="B150" s="60"/>
      <c r="C150"/>
      <c r="D150"/>
      <c r="E150"/>
      <c r="F150"/>
      <c r="G150"/>
      <c r="H150"/>
      <c r="I150"/>
      <c r="J150" s="49"/>
      <c r="K150"/>
      <c r="L150" s="134"/>
      <c r="M150" s="22"/>
      <c r="N150" s="22"/>
      <c r="O150" s="22"/>
      <c r="P150" s="22"/>
      <c r="Q150" s="22"/>
      <c r="R150" s="22"/>
      <c r="S150" s="22"/>
      <c r="T150" s="22"/>
      <c r="U150" s="22"/>
      <c r="V150" s="22"/>
      <c r="W150" s="22"/>
      <c r="X150" s="22"/>
      <c r="Y150" s="22"/>
      <c r="Z150" s="22"/>
      <c r="AA150" s="22"/>
      <c r="AB150" s="22"/>
      <c r="AC150" s="22"/>
      <c r="AD150" s="22"/>
      <c r="AE150" s="22"/>
      <c r="AF150" s="22"/>
      <c r="AG150" s="22"/>
      <c r="AH150" s="22"/>
      <c r="AI150" s="22"/>
      <c r="AJ150" s="22"/>
      <c r="AK150" s="22"/>
      <c r="AL150" s="22"/>
      <c r="AM150" s="22"/>
      <c r="AN150" s="22"/>
      <c r="AO150" s="22"/>
      <c r="AP150" s="22"/>
      <c r="AQ150" s="22"/>
      <c r="AR150" s="22"/>
      <c r="AS150" s="22"/>
      <c r="AT150" s="22"/>
      <c r="AU150" s="22"/>
      <c r="AV150" s="22"/>
      <c r="AW150" s="22"/>
      <c r="AX150" s="22"/>
      <c r="AY150" s="22"/>
      <c r="AZ150" s="22"/>
      <c r="BA150" s="22"/>
      <c r="BB150" s="22"/>
      <c r="BC150" s="22"/>
      <c r="BD150" s="22"/>
      <c r="BE150" s="22"/>
      <c r="BF150" s="22"/>
      <c r="BG150" s="22"/>
      <c r="BH150" s="22"/>
      <c r="BI150" s="22"/>
      <c r="BJ150" s="22"/>
      <c r="BK150" s="22"/>
      <c r="BL150" s="22"/>
      <c r="BM150" s="22"/>
      <c r="BN150" s="22"/>
      <c r="BO150" s="22"/>
      <c r="BP150" s="22"/>
      <c r="BQ150" s="22"/>
      <c r="BR150" s="22"/>
      <c r="BS150" s="22"/>
      <c r="BT150" s="22"/>
      <c r="BU150" s="22"/>
    </row>
    <row r="151" spans="1:122" s="31" customFormat="1">
      <c r="A151" s="58" t="s">
        <v>32</v>
      </c>
      <c r="J151" s="159"/>
      <c r="L151" s="145" t="s">
        <v>202</v>
      </c>
      <c r="M151" s="10"/>
      <c r="N151" s="10">
        <v>0</v>
      </c>
      <c r="O151" s="10"/>
      <c r="P151" s="10">
        <v>0</v>
      </c>
      <c r="Q151" s="10"/>
      <c r="R151" s="9">
        <v>200000</v>
      </c>
      <c r="S151" s="10"/>
      <c r="T151" s="10">
        <v>0</v>
      </c>
      <c r="U151" s="10"/>
      <c r="V151" s="10">
        <v>0</v>
      </c>
      <c r="W151" s="10"/>
      <c r="X151" s="10"/>
      <c r="Y151" s="10"/>
      <c r="Z151" s="10">
        <v>0</v>
      </c>
      <c r="AA151" s="10"/>
      <c r="AB151" s="10">
        <f>3365.69+304.38</f>
        <v>3670.07</v>
      </c>
      <c r="AC151" s="10"/>
      <c r="AD151" s="10">
        <f>7225.26+6587.53+6939.71+1074.93+910.57</f>
        <v>22738</v>
      </c>
      <c r="AE151" s="10"/>
      <c r="AF151" s="10">
        <v>14946.71</v>
      </c>
      <c r="AG151" s="10"/>
      <c r="AH151" s="10">
        <v>7606.71</v>
      </c>
      <c r="AI151" s="10"/>
      <c r="AJ151" s="10">
        <v>10911.6</v>
      </c>
      <c r="AK151" s="10"/>
      <c r="AL151" s="10">
        <v>18233.16</v>
      </c>
      <c r="AM151" s="10"/>
      <c r="AN151" s="10">
        <v>0</v>
      </c>
      <c r="AO151" s="10"/>
      <c r="AP151" s="10">
        <v>0</v>
      </c>
      <c r="AQ151" s="10"/>
      <c r="AR151" s="10">
        <v>0</v>
      </c>
      <c r="AS151" s="10"/>
      <c r="AT151" s="10">
        <v>1468.85</v>
      </c>
      <c r="AU151" s="10"/>
      <c r="AV151" s="10">
        <v>24646.400000000001</v>
      </c>
      <c r="AW151" s="10"/>
      <c r="AX151" s="10">
        <v>11209.91</v>
      </c>
      <c r="AY151" s="10"/>
      <c r="AZ151" s="10">
        <v>0</v>
      </c>
      <c r="BA151" s="10"/>
      <c r="BB151" s="10">
        <v>0</v>
      </c>
      <c r="BC151" s="10"/>
      <c r="BD151" s="10">
        <v>0</v>
      </c>
      <c r="BE151" s="10"/>
      <c r="BF151" s="10">
        <v>0</v>
      </c>
      <c r="BG151" s="10"/>
      <c r="BH151" s="10">
        <v>0</v>
      </c>
      <c r="BI151" s="10"/>
      <c r="BJ151" s="10">
        <v>0</v>
      </c>
      <c r="BK151" s="10"/>
      <c r="BL151" s="10">
        <f>SUM(T151:BK151)</f>
        <v>115431.41</v>
      </c>
      <c r="BM151" s="10"/>
      <c r="BN151" s="10">
        <v>0</v>
      </c>
      <c r="BO151" s="10"/>
      <c r="BP151" s="6">
        <f>IF(+R151-BL151+BN151&gt;0,R151-BL151+BN151,0)</f>
        <v>84568.59</v>
      </c>
      <c r="BQ151" s="10"/>
      <c r="BR151" s="9">
        <f>+BL151+BP151</f>
        <v>200000</v>
      </c>
      <c r="BS151" s="10"/>
      <c r="BT151" s="9">
        <f>+R151-BR151</f>
        <v>0</v>
      </c>
      <c r="BU151" s="10"/>
    </row>
    <row r="152" spans="1:122" s="15" customFormat="1">
      <c r="A152" s="14"/>
      <c r="B152" s="60"/>
      <c r="C152"/>
      <c r="D152"/>
      <c r="E152"/>
      <c r="F152"/>
      <c r="G152"/>
      <c r="H152"/>
      <c r="I152"/>
      <c r="J152" s="49"/>
      <c r="K152"/>
      <c r="L152" s="134"/>
      <c r="M152" s="22"/>
      <c r="N152" s="22"/>
      <c r="O152" s="22"/>
      <c r="P152" s="22"/>
      <c r="Q152" s="22"/>
      <c r="R152" s="22"/>
      <c r="S152" s="22"/>
      <c r="T152" s="22"/>
      <c r="U152" s="22"/>
      <c r="V152" s="22"/>
      <c r="W152" s="22"/>
      <c r="X152" s="22"/>
      <c r="Y152" s="22"/>
      <c r="Z152" s="22"/>
      <c r="AA152" s="22"/>
      <c r="AB152" s="22"/>
      <c r="AC152" s="22"/>
      <c r="AD152" s="22"/>
      <c r="AE152" s="22"/>
      <c r="AF152" s="22"/>
      <c r="AG152" s="22"/>
      <c r="AH152" s="22"/>
      <c r="AI152" s="22"/>
      <c r="AJ152" s="22"/>
      <c r="AK152" s="22"/>
      <c r="AL152" s="22"/>
      <c r="AM152" s="22"/>
      <c r="AN152" s="22"/>
      <c r="AO152" s="22"/>
      <c r="AP152" s="22"/>
      <c r="AQ152" s="22"/>
      <c r="AR152" s="22"/>
      <c r="AS152" s="22"/>
      <c r="AT152" s="22"/>
      <c r="AU152" s="22"/>
      <c r="AV152" s="22"/>
      <c r="AW152" s="22"/>
      <c r="AX152" s="22"/>
      <c r="AY152" s="22"/>
      <c r="AZ152" s="22"/>
      <c r="BA152" s="22"/>
      <c r="BB152" s="22"/>
      <c r="BC152" s="22"/>
      <c r="BD152" s="22"/>
      <c r="BE152" s="22"/>
      <c r="BF152" s="22"/>
      <c r="BG152" s="22"/>
      <c r="BH152" s="22"/>
      <c r="BI152" s="22"/>
      <c r="BJ152" s="22"/>
      <c r="BK152" s="22"/>
      <c r="BL152" s="22"/>
      <c r="BM152" s="22"/>
      <c r="BN152" s="22"/>
      <c r="BO152" s="22"/>
      <c r="BP152" s="22"/>
      <c r="BQ152" s="22"/>
      <c r="BR152" s="22"/>
      <c r="BS152" s="22"/>
      <c r="BT152" s="22"/>
      <c r="BU152" s="22"/>
    </row>
    <row r="153" spans="1:122">
      <c r="A153" s="56" t="s">
        <v>33</v>
      </c>
      <c r="B153" s="11"/>
      <c r="C153"/>
      <c r="D153"/>
      <c r="E153"/>
      <c r="F153"/>
      <c r="G153"/>
      <c r="H153"/>
      <c r="I153"/>
      <c r="J153" s="49"/>
      <c r="K153"/>
      <c r="L153" s="134"/>
      <c r="M153" s="6"/>
      <c r="O153" s="6"/>
      <c r="Q153" s="6"/>
      <c r="S153" s="6"/>
      <c r="T153" s="6"/>
      <c r="U153" s="6"/>
      <c r="V153" s="6"/>
      <c r="X153" s="6"/>
      <c r="Z153" s="6"/>
      <c r="AB153" s="6"/>
      <c r="AD153" s="6"/>
      <c r="BJ153" s="6"/>
      <c r="BK153" s="6"/>
      <c r="BM153" s="6"/>
      <c r="BN153" s="6"/>
      <c r="BO153" s="6"/>
      <c r="BU153" s="6"/>
    </row>
    <row r="154" spans="1:122" s="11" customFormat="1">
      <c r="A154" s="17"/>
      <c r="B154" s="11" t="s">
        <v>184</v>
      </c>
      <c r="J154" s="160"/>
      <c r="L154" s="146" t="s">
        <v>203</v>
      </c>
      <c r="M154" s="12"/>
      <c r="N154" s="12">
        <v>200000</v>
      </c>
      <c r="O154" s="12"/>
      <c r="P154" s="12">
        <v>0</v>
      </c>
      <c r="Q154" s="12"/>
      <c r="R154" s="6">
        <v>30000</v>
      </c>
      <c r="S154" s="12"/>
      <c r="T154" s="12">
        <v>0</v>
      </c>
      <c r="U154" s="12"/>
      <c r="V154" s="12">
        <v>0</v>
      </c>
      <c r="W154" s="12"/>
      <c r="X154" s="12">
        <v>14497.18</v>
      </c>
      <c r="Y154" s="12"/>
      <c r="Z154" s="12">
        <v>0</v>
      </c>
      <c r="AA154" s="12"/>
      <c r="AB154" s="12">
        <v>0</v>
      </c>
      <c r="AC154" s="12"/>
      <c r="AD154" s="12">
        <v>0</v>
      </c>
      <c r="AE154" s="12"/>
      <c r="AF154" s="12">
        <v>0</v>
      </c>
      <c r="AG154" s="12"/>
      <c r="AH154" s="12">
        <v>0</v>
      </c>
      <c r="AI154" s="12"/>
      <c r="AJ154" s="12">
        <v>0</v>
      </c>
      <c r="AK154" s="12"/>
      <c r="AL154" s="12">
        <v>0</v>
      </c>
      <c r="AM154" s="12"/>
      <c r="AN154" s="12">
        <v>0</v>
      </c>
      <c r="AO154" s="12"/>
      <c r="AP154" s="12">
        <v>0</v>
      </c>
      <c r="AQ154" s="12"/>
      <c r="AR154" s="12">
        <v>0</v>
      </c>
      <c r="AS154" s="12"/>
      <c r="AT154" s="12">
        <v>0</v>
      </c>
      <c r="AU154" s="12"/>
      <c r="AV154" s="12">
        <v>0</v>
      </c>
      <c r="AW154" s="12"/>
      <c r="AX154" s="12">
        <v>0</v>
      </c>
      <c r="AY154" s="12"/>
      <c r="AZ154" s="12">
        <v>0</v>
      </c>
      <c r="BA154" s="12"/>
      <c r="BB154" s="12">
        <v>0</v>
      </c>
      <c r="BC154" s="12"/>
      <c r="BD154" s="12">
        <v>0</v>
      </c>
      <c r="BE154" s="12"/>
      <c r="BF154" s="12">
        <v>0</v>
      </c>
      <c r="BG154" s="12"/>
      <c r="BH154" s="12">
        <v>0</v>
      </c>
      <c r="BI154" s="12"/>
      <c r="BJ154" s="12">
        <v>0</v>
      </c>
      <c r="BK154" s="12"/>
      <c r="BL154" s="12">
        <f t="shared" ref="BL154:BL159" si="26">SUM(T154:BK154)</f>
        <v>14497.18</v>
      </c>
      <c r="BM154" s="12"/>
      <c r="BN154" s="12">
        <v>0</v>
      </c>
      <c r="BO154" s="12"/>
      <c r="BP154" s="6">
        <f t="shared" ref="BP154:BP159" si="27">IF(+R154-BL154+BN154&gt;0,R154-BL154+BN154,0)</f>
        <v>15502.82</v>
      </c>
      <c r="BQ154" s="12"/>
      <c r="BR154" s="6">
        <f t="shared" ref="BR154:BR159" si="28">+BL154+BP154</f>
        <v>30000</v>
      </c>
      <c r="BS154" s="12"/>
      <c r="BT154" s="6">
        <f t="shared" ref="BT154:BT159" si="29">+R154-BR154</f>
        <v>0</v>
      </c>
      <c r="BU154" s="12"/>
    </row>
    <row r="155" spans="1:122" s="11" customFormat="1">
      <c r="A155" s="17"/>
      <c r="B155" s="11" t="s">
        <v>34</v>
      </c>
      <c r="J155" s="160"/>
      <c r="L155" s="146" t="s">
        <v>203</v>
      </c>
      <c r="M155" s="12"/>
      <c r="N155" s="12">
        <v>0</v>
      </c>
      <c r="O155" s="12"/>
      <c r="P155" s="12">
        <v>50000</v>
      </c>
      <c r="Q155" s="12"/>
      <c r="R155" s="6">
        <v>150000</v>
      </c>
      <c r="S155" s="12"/>
      <c r="T155" s="12">
        <v>0</v>
      </c>
      <c r="U155" s="12"/>
      <c r="V155" s="12">
        <v>1177.53</v>
      </c>
      <c r="W155" s="12"/>
      <c r="X155" s="12">
        <v>426.75</v>
      </c>
      <c r="Y155" s="12"/>
      <c r="Z155" s="12">
        <f>825.67+21.17+687.5+96.74+1098.18</f>
        <v>2729.26</v>
      </c>
      <c r="AA155" s="12"/>
      <c r="AB155" s="12">
        <v>1480.06</v>
      </c>
      <c r="AC155" s="12"/>
      <c r="AD155" s="12">
        <f>828.24+1000.53+13.74+42+868.24</f>
        <v>2752.75</v>
      </c>
      <c r="AE155" s="12"/>
      <c r="AF155" s="12">
        <v>11808.68</v>
      </c>
      <c r="AG155" s="12"/>
      <c r="AH155" s="12">
        <v>12739.96</v>
      </c>
      <c r="AI155" s="12"/>
      <c r="AJ155" s="12">
        <v>11636.6</v>
      </c>
      <c r="AK155" s="12"/>
      <c r="AL155" s="12">
        <v>3911.51</v>
      </c>
      <c r="AM155" s="12"/>
      <c r="AN155" s="12">
        <v>3113.56</v>
      </c>
      <c r="AO155" s="12"/>
      <c r="AP155" s="12">
        <v>7537.43</v>
      </c>
      <c r="AQ155" s="12"/>
      <c r="AR155" s="12">
        <v>3430.47</v>
      </c>
      <c r="AS155" s="12"/>
      <c r="AT155" s="12">
        <v>6123.69</v>
      </c>
      <c r="AU155" s="12"/>
      <c r="AV155" s="12">
        <v>1927.44</v>
      </c>
      <c r="AW155" s="12"/>
      <c r="AX155" s="12">
        <v>5311.06</v>
      </c>
      <c r="AY155" s="12"/>
      <c r="AZ155" s="12">
        <v>0</v>
      </c>
      <c r="BA155" s="12"/>
      <c r="BB155" s="12">
        <v>0</v>
      </c>
      <c r="BC155" s="12"/>
      <c r="BD155" s="12">
        <v>0</v>
      </c>
      <c r="BE155" s="12"/>
      <c r="BF155" s="12">
        <v>0</v>
      </c>
      <c r="BG155" s="12"/>
      <c r="BH155" s="12">
        <v>0</v>
      </c>
      <c r="BI155" s="12"/>
      <c r="BJ155" s="12">
        <v>0</v>
      </c>
      <c r="BK155" s="12"/>
      <c r="BL155" s="12">
        <f t="shared" si="26"/>
        <v>76106.75</v>
      </c>
      <c r="BM155" s="12"/>
      <c r="BN155" s="12">
        <v>0</v>
      </c>
      <c r="BO155" s="12"/>
      <c r="BP155" s="6">
        <f t="shared" si="27"/>
        <v>73893.25</v>
      </c>
      <c r="BQ155" s="12"/>
      <c r="BR155" s="6">
        <f t="shared" si="28"/>
        <v>150000</v>
      </c>
      <c r="BS155" s="12"/>
      <c r="BT155" s="6">
        <f t="shared" si="29"/>
        <v>0</v>
      </c>
      <c r="BU155" s="12"/>
    </row>
    <row r="156" spans="1:122" s="11" customFormat="1">
      <c r="A156" s="17"/>
      <c r="B156" s="11" t="s">
        <v>217</v>
      </c>
      <c r="J156" s="160"/>
      <c r="L156" s="146" t="s">
        <v>203</v>
      </c>
      <c r="M156" s="12"/>
      <c r="N156" s="12">
        <v>0</v>
      </c>
      <c r="O156" s="12"/>
      <c r="P156" s="12">
        <v>24235</v>
      </c>
      <c r="Q156" s="12"/>
      <c r="R156" s="6"/>
      <c r="S156" s="12"/>
      <c r="T156" s="12">
        <v>0</v>
      </c>
      <c r="U156" s="12"/>
      <c r="V156" s="12">
        <v>0</v>
      </c>
      <c r="W156" s="12"/>
      <c r="X156" s="12">
        <v>0</v>
      </c>
      <c r="Y156" s="12"/>
      <c r="Z156" s="12">
        <v>0</v>
      </c>
      <c r="AA156" s="12"/>
      <c r="AB156" s="12">
        <v>0</v>
      </c>
      <c r="AC156" s="12"/>
      <c r="AD156" s="12">
        <v>0</v>
      </c>
      <c r="AE156" s="12"/>
      <c r="AF156" s="12">
        <v>0</v>
      </c>
      <c r="AG156" s="12"/>
      <c r="AH156" s="12">
        <v>0</v>
      </c>
      <c r="AI156" s="12"/>
      <c r="AJ156" s="12">
        <v>0</v>
      </c>
      <c r="AK156" s="12"/>
      <c r="AL156" s="12">
        <v>0</v>
      </c>
      <c r="AM156" s="12"/>
      <c r="AN156" s="12">
        <v>0</v>
      </c>
      <c r="AO156" s="12"/>
      <c r="AP156" s="12">
        <v>0</v>
      </c>
      <c r="AQ156" s="12"/>
      <c r="AR156" s="12">
        <v>0</v>
      </c>
      <c r="AS156" s="12"/>
      <c r="AT156" s="12">
        <v>0</v>
      </c>
      <c r="AU156" s="12"/>
      <c r="AV156" s="12">
        <v>0</v>
      </c>
      <c r="AW156" s="12"/>
      <c r="AX156" s="12">
        <v>0</v>
      </c>
      <c r="AY156" s="12"/>
      <c r="AZ156" s="12">
        <v>0</v>
      </c>
      <c r="BA156" s="12"/>
      <c r="BB156" s="12">
        <v>0</v>
      </c>
      <c r="BC156" s="12"/>
      <c r="BD156" s="12">
        <v>0</v>
      </c>
      <c r="BE156" s="12"/>
      <c r="BF156" s="12">
        <v>0</v>
      </c>
      <c r="BG156" s="12"/>
      <c r="BH156" s="12">
        <v>0</v>
      </c>
      <c r="BI156" s="12"/>
      <c r="BJ156" s="12">
        <v>0</v>
      </c>
      <c r="BK156" s="12"/>
      <c r="BL156" s="12">
        <f t="shared" si="26"/>
        <v>0</v>
      </c>
      <c r="BM156" s="12"/>
      <c r="BN156" s="12">
        <v>0</v>
      </c>
      <c r="BO156" s="12"/>
      <c r="BP156" s="6">
        <f t="shared" si="27"/>
        <v>0</v>
      </c>
      <c r="BQ156" s="12"/>
      <c r="BR156" s="6">
        <f t="shared" si="28"/>
        <v>0</v>
      </c>
      <c r="BS156" s="12"/>
      <c r="BT156" s="6">
        <f t="shared" si="29"/>
        <v>0</v>
      </c>
      <c r="BU156" s="12"/>
    </row>
    <row r="157" spans="1:122" s="11" customFormat="1">
      <c r="A157" s="17"/>
      <c r="B157" s="11" t="s">
        <v>121</v>
      </c>
      <c r="J157" s="160"/>
      <c r="L157" s="146" t="s">
        <v>203</v>
      </c>
      <c r="M157" s="12"/>
      <c r="N157" s="12">
        <v>400000</v>
      </c>
      <c r="O157" s="12"/>
      <c r="P157" s="12">
        <f>49065-N157-6000</f>
        <v>-356935</v>
      </c>
      <c r="Q157" s="12"/>
      <c r="R157" s="6">
        <v>220000</v>
      </c>
      <c r="S157" s="12"/>
      <c r="T157" s="12">
        <v>0</v>
      </c>
      <c r="U157" s="12"/>
      <c r="V157" s="12">
        <v>0</v>
      </c>
      <c r="W157" s="12"/>
      <c r="X157" s="12"/>
      <c r="Y157" s="12"/>
      <c r="Z157" s="12"/>
      <c r="AA157" s="12"/>
      <c r="AB157" s="12"/>
      <c r="AC157" s="12"/>
      <c r="AD157" s="12">
        <f>2287.5</f>
        <v>2287.5</v>
      </c>
      <c r="AE157" s="12"/>
      <c r="AF157" s="12">
        <v>7317.49</v>
      </c>
      <c r="AG157" s="12"/>
      <c r="AH157" s="12">
        <v>20400</v>
      </c>
      <c r="AI157" s="12"/>
      <c r="AJ157" s="12">
        <v>875</v>
      </c>
      <c r="AK157" s="12"/>
      <c r="AL157" s="12">
        <v>26869.599999999999</v>
      </c>
      <c r="AM157" s="12"/>
      <c r="AN157" s="12">
        <v>11540.02</v>
      </c>
      <c r="AO157" s="12"/>
      <c r="AP157" s="12">
        <f>106180-83333.35</f>
        <v>22846.649999999994</v>
      </c>
      <c r="AQ157" s="12"/>
      <c r="AR157" s="12">
        <f>23517.61+1866.18+2591+150</f>
        <v>28124.79</v>
      </c>
      <c r="AS157" s="12"/>
      <c r="AT157" s="12">
        <v>28858.74</v>
      </c>
      <c r="AU157" s="12"/>
      <c r="AV157" s="12">
        <v>29874.240000000002</v>
      </c>
      <c r="AW157" s="12"/>
      <c r="AX157" s="12">
        <v>47425</v>
      </c>
      <c r="AY157" s="12"/>
      <c r="AZ157" s="12">
        <f>66831-2500</f>
        <v>64331</v>
      </c>
      <c r="BA157" s="12"/>
      <c r="BB157" s="12">
        <v>0</v>
      </c>
      <c r="BC157" s="12"/>
      <c r="BD157" s="12">
        <v>0</v>
      </c>
      <c r="BE157" s="12"/>
      <c r="BF157" s="12">
        <v>0</v>
      </c>
      <c r="BG157" s="12"/>
      <c r="BH157" s="12">
        <v>0</v>
      </c>
      <c r="BI157" s="12"/>
      <c r="BJ157" s="12">
        <v>0</v>
      </c>
      <c r="BK157" s="12"/>
      <c r="BL157" s="12">
        <f t="shared" si="26"/>
        <v>290750.02999999997</v>
      </c>
      <c r="BM157" s="12"/>
      <c r="BN157" s="12">
        <v>0</v>
      </c>
      <c r="BO157" s="12"/>
      <c r="BP157" s="6">
        <f t="shared" si="27"/>
        <v>0</v>
      </c>
      <c r="BQ157" s="12"/>
      <c r="BR157" s="6">
        <f t="shared" si="28"/>
        <v>290750.02999999997</v>
      </c>
      <c r="BS157" s="12"/>
      <c r="BT157" s="6">
        <f t="shared" si="29"/>
        <v>-70750.02999999997</v>
      </c>
      <c r="BU157" s="12"/>
    </row>
    <row r="158" spans="1:122" s="11" customFormat="1">
      <c r="A158" s="17"/>
      <c r="B158" s="11" t="s">
        <v>441</v>
      </c>
      <c r="J158" s="160"/>
      <c r="L158" s="146"/>
      <c r="M158" s="12"/>
      <c r="N158" s="12"/>
      <c r="O158" s="12"/>
      <c r="P158" s="12"/>
      <c r="Q158" s="12"/>
      <c r="R158" s="6"/>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v>83333.350000000006</v>
      </c>
      <c r="AQ158" s="12"/>
      <c r="AR158" s="12">
        <f>82333.33+25346.23+4027.9</f>
        <v>111707.45999999999</v>
      </c>
      <c r="AS158" s="12"/>
      <c r="AT158" s="12"/>
      <c r="AU158" s="12"/>
      <c r="AV158" s="12"/>
      <c r="AW158" s="12"/>
      <c r="AX158" s="12"/>
      <c r="AY158" s="12"/>
      <c r="AZ158" s="12"/>
      <c r="BA158" s="12"/>
      <c r="BB158" s="12"/>
      <c r="BC158" s="12"/>
      <c r="BD158" s="12"/>
      <c r="BE158" s="12"/>
      <c r="BF158" s="12"/>
      <c r="BG158" s="12"/>
      <c r="BH158" s="12"/>
      <c r="BI158" s="12"/>
      <c r="BJ158" s="12"/>
      <c r="BK158" s="12"/>
      <c r="BL158" s="12">
        <f t="shared" si="26"/>
        <v>195040.81</v>
      </c>
      <c r="BM158" s="12"/>
      <c r="BN158" s="12">
        <v>0</v>
      </c>
      <c r="BO158" s="12"/>
      <c r="BP158" s="6">
        <f t="shared" si="27"/>
        <v>0</v>
      </c>
      <c r="BQ158" s="12"/>
      <c r="BR158" s="6">
        <f t="shared" si="28"/>
        <v>195040.81</v>
      </c>
      <c r="BS158" s="12"/>
      <c r="BT158" s="6">
        <f t="shared" si="29"/>
        <v>-195040.81</v>
      </c>
      <c r="BU158" s="12"/>
    </row>
    <row r="159" spans="1:122" s="11" customFormat="1">
      <c r="A159" s="17"/>
      <c r="B159" s="11" t="s">
        <v>282</v>
      </c>
      <c r="J159" s="160"/>
      <c r="L159" s="146"/>
      <c r="M159" s="12"/>
      <c r="N159" s="12"/>
      <c r="O159" s="12"/>
      <c r="P159" s="12"/>
      <c r="Q159" s="12"/>
      <c r="R159" s="6"/>
      <c r="S159" s="12"/>
      <c r="T159" s="12"/>
      <c r="U159" s="12"/>
      <c r="V159" s="12"/>
      <c r="W159" s="12"/>
      <c r="X159" s="12"/>
      <c r="Y159" s="12"/>
      <c r="Z159" s="12"/>
      <c r="AA159" s="12"/>
      <c r="AB159" s="12"/>
      <c r="AC159" s="12"/>
      <c r="AD159" s="12"/>
      <c r="AE159" s="12"/>
      <c r="AF159" s="12">
        <v>75487.009999999995</v>
      </c>
      <c r="AG159" s="12"/>
      <c r="AH159" s="12">
        <f>17132.73+566.91+17351.65+16608.78+10439.68+3047.17</f>
        <v>65146.92</v>
      </c>
      <c r="AI159" s="12"/>
      <c r="AJ159" s="12">
        <v>18599.240000000002</v>
      </c>
      <c r="AK159" s="12"/>
      <c r="AL159" s="12"/>
      <c r="AM159" s="12"/>
      <c r="AN159" s="12"/>
      <c r="AO159" s="12"/>
      <c r="AP159" s="12"/>
      <c r="AQ159" s="12"/>
      <c r="AR159" s="12"/>
      <c r="AS159" s="12"/>
      <c r="AT159" s="12"/>
      <c r="AU159" s="12"/>
      <c r="AV159" s="12">
        <v>9122.91</v>
      </c>
      <c r="AW159" s="12"/>
      <c r="AX159" s="12"/>
      <c r="AY159" s="12"/>
      <c r="AZ159" s="12"/>
      <c r="BA159" s="12"/>
      <c r="BB159" s="12"/>
      <c r="BC159" s="12"/>
      <c r="BD159" s="12"/>
      <c r="BE159" s="12"/>
      <c r="BF159" s="12"/>
      <c r="BG159" s="12"/>
      <c r="BH159" s="12"/>
      <c r="BI159" s="12"/>
      <c r="BJ159" s="12"/>
      <c r="BK159" s="12"/>
      <c r="BL159" s="12">
        <f t="shared" si="26"/>
        <v>168356.08</v>
      </c>
      <c r="BM159" s="12"/>
      <c r="BN159" s="12">
        <v>159233</v>
      </c>
      <c r="BO159" s="12"/>
      <c r="BP159" s="6">
        <f t="shared" si="27"/>
        <v>0</v>
      </c>
      <c r="BQ159" s="12"/>
      <c r="BR159" s="6">
        <f t="shared" si="28"/>
        <v>168356.08</v>
      </c>
      <c r="BS159" s="12"/>
      <c r="BT159" s="6">
        <f t="shared" si="29"/>
        <v>-168356.08</v>
      </c>
      <c r="BU159" s="12"/>
    </row>
    <row r="160" spans="1:122" s="21" customFormat="1">
      <c r="A160" s="56"/>
      <c r="B160" s="31" t="s">
        <v>40</v>
      </c>
      <c r="J160" s="8"/>
      <c r="L160" s="143"/>
      <c r="M160" s="9"/>
      <c r="N160" s="102">
        <f>SUM(N154:N157)</f>
        <v>600000</v>
      </c>
      <c r="O160" s="9"/>
      <c r="P160" s="102">
        <f>SUM(P154:P157)</f>
        <v>-282700</v>
      </c>
      <c r="Q160" s="9"/>
      <c r="R160" s="102">
        <f>SUM(R154:R159)</f>
        <v>400000</v>
      </c>
      <c r="S160" s="102">
        <f t="shared" ref="S160:BT160" si="30">SUM(S154:S159)</f>
        <v>0</v>
      </c>
      <c r="T160" s="102">
        <f t="shared" si="30"/>
        <v>0</v>
      </c>
      <c r="U160" s="102">
        <f t="shared" si="30"/>
        <v>0</v>
      </c>
      <c r="V160" s="102">
        <f t="shared" si="30"/>
        <v>1177.53</v>
      </c>
      <c r="W160" s="102">
        <f t="shared" si="30"/>
        <v>0</v>
      </c>
      <c r="X160" s="102">
        <f t="shared" si="30"/>
        <v>14923.93</v>
      </c>
      <c r="Y160" s="102">
        <f t="shared" si="30"/>
        <v>0</v>
      </c>
      <c r="Z160" s="102">
        <f t="shared" si="30"/>
        <v>2729.26</v>
      </c>
      <c r="AA160" s="102">
        <f t="shared" si="30"/>
        <v>0</v>
      </c>
      <c r="AB160" s="102">
        <f t="shared" si="30"/>
        <v>1480.06</v>
      </c>
      <c r="AC160" s="102">
        <f t="shared" si="30"/>
        <v>0</v>
      </c>
      <c r="AD160" s="102">
        <f t="shared" si="30"/>
        <v>5040.25</v>
      </c>
      <c r="AE160" s="102">
        <f t="shared" si="30"/>
        <v>0</v>
      </c>
      <c r="AF160" s="102">
        <f t="shared" si="30"/>
        <v>94613.18</v>
      </c>
      <c r="AG160" s="102">
        <f t="shared" si="30"/>
        <v>0</v>
      </c>
      <c r="AH160" s="102">
        <f t="shared" si="30"/>
        <v>98286.88</v>
      </c>
      <c r="AI160" s="102">
        <f t="shared" si="30"/>
        <v>0</v>
      </c>
      <c r="AJ160" s="102">
        <f t="shared" si="30"/>
        <v>31110.840000000004</v>
      </c>
      <c r="AK160" s="102">
        <f t="shared" si="30"/>
        <v>0</v>
      </c>
      <c r="AL160" s="102">
        <f t="shared" si="30"/>
        <v>30781.11</v>
      </c>
      <c r="AM160" s="102">
        <f t="shared" si="30"/>
        <v>0</v>
      </c>
      <c r="AN160" s="102">
        <f t="shared" si="30"/>
        <v>14653.58</v>
      </c>
      <c r="AO160" s="102">
        <f t="shared" si="30"/>
        <v>0</v>
      </c>
      <c r="AP160" s="102">
        <f t="shared" si="30"/>
        <v>113717.43</v>
      </c>
      <c r="AQ160" s="102">
        <f t="shared" si="30"/>
        <v>0</v>
      </c>
      <c r="AR160" s="102">
        <f t="shared" si="30"/>
        <v>143262.72</v>
      </c>
      <c r="AS160" s="102">
        <f t="shared" si="30"/>
        <v>0</v>
      </c>
      <c r="AT160" s="102">
        <f t="shared" si="30"/>
        <v>34982.43</v>
      </c>
      <c r="AU160" s="102">
        <f t="shared" si="30"/>
        <v>0</v>
      </c>
      <c r="AV160" s="102">
        <f t="shared" si="30"/>
        <v>40924.589999999997</v>
      </c>
      <c r="AW160" s="102">
        <f t="shared" si="30"/>
        <v>0</v>
      </c>
      <c r="AX160" s="102">
        <f t="shared" si="30"/>
        <v>52736.06</v>
      </c>
      <c r="AY160" s="102">
        <f t="shared" si="30"/>
        <v>0</v>
      </c>
      <c r="AZ160" s="102">
        <f t="shared" si="30"/>
        <v>64331</v>
      </c>
      <c r="BA160" s="102">
        <f t="shared" si="30"/>
        <v>0</v>
      </c>
      <c r="BB160" s="102">
        <f t="shared" si="30"/>
        <v>0</v>
      </c>
      <c r="BC160" s="102">
        <f t="shared" si="30"/>
        <v>0</v>
      </c>
      <c r="BD160" s="102">
        <f t="shared" si="30"/>
        <v>0</v>
      </c>
      <c r="BE160" s="102">
        <f t="shared" si="30"/>
        <v>0</v>
      </c>
      <c r="BF160" s="102">
        <f t="shared" si="30"/>
        <v>0</v>
      </c>
      <c r="BG160" s="102">
        <f t="shared" si="30"/>
        <v>0</v>
      </c>
      <c r="BH160" s="102">
        <f t="shared" si="30"/>
        <v>0</v>
      </c>
      <c r="BI160" s="102">
        <f t="shared" si="30"/>
        <v>0</v>
      </c>
      <c r="BJ160" s="102">
        <f t="shared" si="30"/>
        <v>0</v>
      </c>
      <c r="BK160" s="102">
        <f t="shared" si="30"/>
        <v>0</v>
      </c>
      <c r="BL160" s="102">
        <f t="shared" si="30"/>
        <v>744750.85</v>
      </c>
      <c r="BM160" s="102">
        <f t="shared" si="30"/>
        <v>0</v>
      </c>
      <c r="BN160" s="102">
        <f t="shared" si="30"/>
        <v>159233</v>
      </c>
      <c r="BO160" s="102">
        <f t="shared" si="30"/>
        <v>0</v>
      </c>
      <c r="BP160" s="102">
        <f t="shared" si="30"/>
        <v>89396.07</v>
      </c>
      <c r="BQ160" s="102">
        <f t="shared" si="30"/>
        <v>0</v>
      </c>
      <c r="BR160" s="102">
        <f t="shared" si="30"/>
        <v>834146.91999999993</v>
      </c>
      <c r="BS160" s="102">
        <f t="shared" si="30"/>
        <v>0</v>
      </c>
      <c r="BT160" s="102">
        <f t="shared" si="30"/>
        <v>-434146.91999999993</v>
      </c>
      <c r="BU160" s="9"/>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row>
    <row r="161" spans="1:122" s="21" customFormat="1">
      <c r="A161" s="56"/>
      <c r="B161" s="31"/>
      <c r="J161" s="8"/>
      <c r="L161" s="143"/>
      <c r="M161" s="9"/>
      <c r="N161" s="10"/>
      <c r="O161" s="9"/>
      <c r="P161" s="10"/>
      <c r="Q161" s="9"/>
      <c r="R161" s="10"/>
      <c r="S161" s="9"/>
      <c r="T161" s="10"/>
      <c r="U161" s="9"/>
      <c r="V161" s="10"/>
      <c r="W161" s="9"/>
      <c r="X161" s="10"/>
      <c r="Y161" s="9"/>
      <c r="Z161" s="10"/>
      <c r="AA161" s="9"/>
      <c r="AB161" s="10"/>
      <c r="AC161" s="9"/>
      <c r="AD161" s="10"/>
      <c r="AE161" s="9"/>
      <c r="AF161" s="10"/>
      <c r="AG161" s="9"/>
      <c r="AH161" s="10"/>
      <c r="AI161" s="9"/>
      <c r="AJ161" s="10"/>
      <c r="AK161" s="9"/>
      <c r="AL161" s="10"/>
      <c r="AM161" s="9"/>
      <c r="AN161" s="10"/>
      <c r="AO161" s="9"/>
      <c r="AP161" s="10"/>
      <c r="AQ161" s="9"/>
      <c r="AR161" s="10"/>
      <c r="AS161" s="9"/>
      <c r="AT161" s="10"/>
      <c r="AU161" s="10"/>
      <c r="AV161" s="10"/>
      <c r="AW161" s="10"/>
      <c r="AX161" s="10"/>
      <c r="AY161" s="10"/>
      <c r="AZ161" s="10"/>
      <c r="BA161" s="10"/>
      <c r="BB161" s="10"/>
      <c r="BC161" s="10"/>
      <c r="BD161" s="10"/>
      <c r="BE161" s="10"/>
      <c r="BF161" s="10"/>
      <c r="BG161" s="10"/>
      <c r="BH161" s="10"/>
      <c r="BI161" s="10"/>
      <c r="BJ161" s="10"/>
      <c r="BK161" s="9"/>
      <c r="BL161" s="10"/>
      <c r="BM161" s="9"/>
      <c r="BN161" s="10"/>
      <c r="BO161" s="9"/>
      <c r="BP161" s="10"/>
      <c r="BQ161" s="9"/>
      <c r="BR161" s="10"/>
      <c r="BS161" s="9"/>
      <c r="BT161" s="10"/>
      <c r="BU161" s="9"/>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row>
    <row r="162" spans="1:122">
      <c r="A162" s="56" t="s">
        <v>35</v>
      </c>
      <c r="B162" s="11"/>
      <c r="C162"/>
      <c r="D162"/>
      <c r="E162"/>
      <c r="F162"/>
      <c r="G162"/>
      <c r="H162"/>
      <c r="I162"/>
      <c r="J162" s="49"/>
      <c r="K162"/>
      <c r="L162" s="134"/>
      <c r="M162" s="6"/>
      <c r="O162" s="6"/>
      <c r="Q162" s="6"/>
      <c r="S162" s="6"/>
      <c r="T162" s="6"/>
      <c r="U162" s="12"/>
      <c r="V162" s="6"/>
      <c r="W162" s="12"/>
      <c r="X162" s="6"/>
      <c r="Y162" s="12"/>
      <c r="Z162" s="6"/>
      <c r="AA162" s="12"/>
      <c r="AB162" s="6"/>
      <c r="AC162" s="12"/>
      <c r="AD162" s="6"/>
      <c r="AE162" s="12"/>
      <c r="AG162" s="12"/>
      <c r="AI162" s="12"/>
      <c r="AK162" s="12"/>
      <c r="AM162" s="12"/>
      <c r="AO162" s="12"/>
      <c r="AQ162" s="12"/>
      <c r="AS162" s="12"/>
      <c r="BJ162" s="6"/>
      <c r="BK162" s="6"/>
      <c r="BM162" s="6"/>
      <c r="BN162" s="6"/>
      <c r="BO162" s="6"/>
      <c r="BU162" s="1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row>
    <row r="163" spans="1:122" s="11" customFormat="1">
      <c r="A163" s="17"/>
      <c r="B163" s="11" t="s">
        <v>37</v>
      </c>
      <c r="J163" s="160"/>
      <c r="L163" s="146" t="s">
        <v>203</v>
      </c>
      <c r="M163" s="12"/>
      <c r="N163" s="12">
        <v>0</v>
      </c>
      <c r="O163" s="12"/>
      <c r="P163" s="12">
        <f>300000-5511</f>
        <v>294489</v>
      </c>
      <c r="Q163" s="12"/>
      <c r="R163" s="6">
        <v>0</v>
      </c>
      <c r="S163" s="12"/>
      <c r="T163" s="12">
        <v>0</v>
      </c>
      <c r="U163" s="12"/>
      <c r="V163" s="12">
        <v>0</v>
      </c>
      <c r="W163" s="12"/>
      <c r="X163" s="12">
        <v>0</v>
      </c>
      <c r="Y163" s="12"/>
      <c r="Z163" s="12">
        <v>0</v>
      </c>
      <c r="AA163" s="12"/>
      <c r="AB163" s="12">
        <v>0</v>
      </c>
      <c r="AC163" s="12"/>
      <c r="AD163" s="12"/>
      <c r="AE163" s="12"/>
      <c r="AF163" s="12">
        <v>0</v>
      </c>
      <c r="AG163" s="12"/>
      <c r="AH163" s="12">
        <v>0</v>
      </c>
      <c r="AI163" s="12"/>
      <c r="AJ163" s="12">
        <v>0</v>
      </c>
      <c r="AK163" s="12"/>
      <c r="AL163" s="12">
        <v>0</v>
      </c>
      <c r="AM163" s="12"/>
      <c r="AN163" s="12">
        <v>0</v>
      </c>
      <c r="AO163" s="12"/>
      <c r="AP163" s="12">
        <v>0</v>
      </c>
      <c r="AQ163" s="12"/>
      <c r="AR163" s="12">
        <v>0</v>
      </c>
      <c r="AS163" s="12"/>
      <c r="AT163" s="12">
        <v>0</v>
      </c>
      <c r="AU163" s="12"/>
      <c r="AV163" s="12">
        <v>0</v>
      </c>
      <c r="AW163" s="12"/>
      <c r="AX163" s="12">
        <v>0</v>
      </c>
      <c r="AY163" s="12"/>
      <c r="AZ163" s="12">
        <v>0</v>
      </c>
      <c r="BA163" s="12"/>
      <c r="BB163" s="12">
        <v>0</v>
      </c>
      <c r="BC163" s="12"/>
      <c r="BD163" s="12">
        <v>0</v>
      </c>
      <c r="BE163" s="12"/>
      <c r="BF163" s="12">
        <v>0</v>
      </c>
      <c r="BG163" s="12"/>
      <c r="BH163" s="12">
        <v>0</v>
      </c>
      <c r="BI163" s="12"/>
      <c r="BJ163" s="12">
        <v>0</v>
      </c>
      <c r="BK163" s="12"/>
      <c r="BL163" s="12">
        <f>SUM(T163:BK163)</f>
        <v>0</v>
      </c>
      <c r="BM163" s="12"/>
      <c r="BN163" s="12">
        <v>0</v>
      </c>
      <c r="BO163" s="12"/>
      <c r="BP163" s="6">
        <f>IF(+R163-BL163+BN163&gt;0,R163-BL163+BN163,0)</f>
        <v>0</v>
      </c>
      <c r="BQ163" s="12"/>
      <c r="BR163" s="6">
        <f>+BL163+BP163</f>
        <v>0</v>
      </c>
      <c r="BS163" s="12"/>
      <c r="BT163" s="6">
        <f>+R163-BR163</f>
        <v>0</v>
      </c>
      <c r="BU163" s="12"/>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row>
    <row r="164" spans="1:122" s="11" customFormat="1">
      <c r="A164" s="17"/>
      <c r="B164" s="11" t="s">
        <v>450</v>
      </c>
      <c r="J164" s="160"/>
      <c r="L164" s="146"/>
      <c r="M164" s="12"/>
      <c r="N164" s="12"/>
      <c r="O164" s="12"/>
      <c r="P164" s="12"/>
      <c r="Q164" s="12"/>
      <c r="R164" s="6">
        <v>0</v>
      </c>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f>165893.1+86315.36</f>
        <v>252208.46000000002</v>
      </c>
      <c r="AS164" s="12"/>
      <c r="AT164" s="12">
        <v>49463.67</v>
      </c>
      <c r="AU164" s="12"/>
      <c r="AV164" s="12"/>
      <c r="AW164" s="12"/>
      <c r="AX164" s="12"/>
      <c r="AY164" s="12"/>
      <c r="AZ164" s="12"/>
      <c r="BA164" s="12"/>
      <c r="BB164" s="12"/>
      <c r="BC164" s="12"/>
      <c r="BD164" s="12"/>
      <c r="BE164" s="12"/>
      <c r="BF164" s="12"/>
      <c r="BG164" s="12"/>
      <c r="BH164" s="12"/>
      <c r="BI164" s="12"/>
      <c r="BJ164" s="12"/>
      <c r="BK164" s="12"/>
      <c r="BL164" s="12">
        <f>SUM(T164:BK164)</f>
        <v>301672.13</v>
      </c>
      <c r="BM164" s="12"/>
      <c r="BN164" s="12">
        <v>0</v>
      </c>
      <c r="BO164" s="12"/>
      <c r="BP164" s="6">
        <f>IF(+R164-BL164+BN164&gt;0,R164-BL164+BN164,0)</f>
        <v>0</v>
      </c>
      <c r="BQ164" s="12"/>
      <c r="BR164" s="6">
        <f>+BL164+BP164</f>
        <v>301672.13</v>
      </c>
      <c r="BS164" s="12"/>
      <c r="BT164" s="6">
        <f>+R164-BR164</f>
        <v>-301672.13</v>
      </c>
      <c r="BU164" s="12"/>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row>
    <row r="165" spans="1:122" s="11" customFormat="1">
      <c r="A165" s="17"/>
      <c r="B165" s="11" t="s">
        <v>121</v>
      </c>
      <c r="J165" s="160"/>
      <c r="L165" s="146" t="s">
        <v>203</v>
      </c>
      <c r="M165" s="12"/>
      <c r="N165" s="12">
        <v>500000</v>
      </c>
      <c r="O165" s="12"/>
      <c r="P165" s="12">
        <v>-300000</v>
      </c>
      <c r="Q165" s="12"/>
      <c r="R165" s="6">
        <v>400000</v>
      </c>
      <c r="S165" s="12"/>
      <c r="T165" s="12">
        <v>0</v>
      </c>
      <c r="U165" s="12"/>
      <c r="V165" s="12">
        <v>0</v>
      </c>
      <c r="W165" s="12"/>
      <c r="X165" s="12">
        <v>0</v>
      </c>
      <c r="Y165" s="12"/>
      <c r="Z165" s="12"/>
      <c r="AA165" s="12"/>
      <c r="AB165" s="12"/>
      <c r="AC165" s="12"/>
      <c r="AD165" s="12"/>
      <c r="AE165" s="12"/>
      <c r="AF165" s="12">
        <v>0</v>
      </c>
      <c r="AG165" s="12"/>
      <c r="AH165" s="12">
        <v>15169.98</v>
      </c>
      <c r="AI165" s="12"/>
      <c r="AJ165" s="12">
        <v>0</v>
      </c>
      <c r="AK165" s="12"/>
      <c r="AL165" s="12">
        <v>29399.49</v>
      </c>
      <c r="AM165" s="12"/>
      <c r="AN165" s="12">
        <v>20442.900000000001</v>
      </c>
      <c r="AO165" s="12"/>
      <c r="AP165" s="12">
        <v>10582.42</v>
      </c>
      <c r="AQ165" s="12"/>
      <c r="AR165" s="12">
        <f>589.73+2046.96+65709.82</f>
        <v>68346.510000000009</v>
      </c>
      <c r="AS165" s="12"/>
      <c r="AT165" s="12">
        <v>5360.34</v>
      </c>
      <c r="AU165" s="12"/>
      <c r="AV165" s="12">
        <v>13664.6</v>
      </c>
      <c r="AW165" s="12"/>
      <c r="AX165" s="12">
        <v>7710.95</v>
      </c>
      <c r="AY165" s="12"/>
      <c r="AZ165" s="12">
        <v>20000</v>
      </c>
      <c r="BA165" s="12"/>
      <c r="BB165" s="12">
        <v>0</v>
      </c>
      <c r="BC165" s="12"/>
      <c r="BD165" s="12">
        <v>0</v>
      </c>
      <c r="BE165" s="12"/>
      <c r="BF165" s="12">
        <v>0</v>
      </c>
      <c r="BG165" s="12"/>
      <c r="BH165" s="12">
        <v>0</v>
      </c>
      <c r="BI165" s="12"/>
      <c r="BJ165" s="12">
        <v>0</v>
      </c>
      <c r="BK165" s="12"/>
      <c r="BL165" s="12">
        <f>SUM(T165:BK165)</f>
        <v>190677.19000000003</v>
      </c>
      <c r="BM165" s="12"/>
      <c r="BN165" s="12">
        <v>0</v>
      </c>
      <c r="BO165" s="12"/>
      <c r="BP165" s="6">
        <f>IF(+R165-BL165+BN165&gt;0,R165-BL165+BN165,0)</f>
        <v>209322.80999999997</v>
      </c>
      <c r="BQ165" s="12"/>
      <c r="BR165" s="6">
        <f>+BL165+BP165</f>
        <v>400000</v>
      </c>
      <c r="BS165" s="12"/>
      <c r="BT165" s="6">
        <f>+R165-BR165</f>
        <v>0</v>
      </c>
      <c r="BU165" s="12"/>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row>
    <row r="166" spans="1:122" s="11" customFormat="1">
      <c r="A166" s="17"/>
      <c r="J166" s="160"/>
      <c r="L166" s="146"/>
      <c r="M166" s="12"/>
      <c r="N166" s="12"/>
      <c r="O166" s="12"/>
      <c r="P166" s="12">
        <v>5511</v>
      </c>
      <c r="Q166" s="12"/>
      <c r="R166" s="6"/>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f>SUM(T166:BK166)</f>
        <v>0</v>
      </c>
      <c r="BM166" s="12"/>
      <c r="BN166" s="12">
        <v>0</v>
      </c>
      <c r="BO166" s="12"/>
      <c r="BP166" s="6">
        <f>IF(+R166-BL166+BN166&gt;0,R166-BL166+BN166,0)</f>
        <v>0</v>
      </c>
      <c r="BQ166" s="12"/>
      <c r="BR166" s="6">
        <f>+BL166+BP166</f>
        <v>0</v>
      </c>
      <c r="BS166" s="12"/>
      <c r="BT166" s="6">
        <f>+R166-BR166</f>
        <v>0</v>
      </c>
      <c r="BU166" s="12"/>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row>
    <row r="167" spans="1:122" s="21" customFormat="1">
      <c r="A167" s="56"/>
      <c r="B167" s="31" t="s">
        <v>41</v>
      </c>
      <c r="J167" s="8"/>
      <c r="L167" s="143"/>
      <c r="M167" s="9"/>
      <c r="N167" s="102">
        <f>SUM(N163:N166)</f>
        <v>500000</v>
      </c>
      <c r="O167" s="102">
        <f>SUM(O163:O166)</f>
        <v>0</v>
      </c>
      <c r="P167" s="102">
        <f>SUM(P163:P166)</f>
        <v>0</v>
      </c>
      <c r="Q167" s="102">
        <f>SUM(Q163:Q166)</f>
        <v>0</v>
      </c>
      <c r="R167" s="102">
        <f>SUM(R163:R166)</f>
        <v>400000</v>
      </c>
      <c r="S167" s="9"/>
      <c r="T167" s="102">
        <f>SUM(T163:T166)</f>
        <v>0</v>
      </c>
      <c r="U167" s="9"/>
      <c r="V167" s="102">
        <f>SUM(V163:V166)</f>
        <v>0</v>
      </c>
      <c r="W167" s="9"/>
      <c r="X167" s="102">
        <f>SUM(X163:X166)</f>
        <v>0</v>
      </c>
      <c r="Y167" s="9"/>
      <c r="Z167" s="102">
        <f>SUM(Z163:Z166)</f>
        <v>0</v>
      </c>
      <c r="AA167" s="9"/>
      <c r="AB167" s="102">
        <f>SUM(AB163:AB166)</f>
        <v>0</v>
      </c>
      <c r="AC167" s="9"/>
      <c r="AD167" s="102">
        <f>SUM(AD163:AD166)</f>
        <v>0</v>
      </c>
      <c r="AE167" s="9"/>
      <c r="AF167" s="102">
        <f>SUM(AF163:AF166)</f>
        <v>0</v>
      </c>
      <c r="AG167" s="9"/>
      <c r="AH167" s="102">
        <f>SUM(AH163:AH166)</f>
        <v>15169.98</v>
      </c>
      <c r="AI167" s="9"/>
      <c r="AJ167" s="102">
        <f>SUM(AJ163:AJ166)</f>
        <v>0</v>
      </c>
      <c r="AK167" s="9"/>
      <c r="AL167" s="102">
        <f>SUM(AL163:AL166)</f>
        <v>29399.49</v>
      </c>
      <c r="AM167" s="9"/>
      <c r="AN167" s="102">
        <f>SUM(AN163:AN166)</f>
        <v>20442.900000000001</v>
      </c>
      <c r="AO167" s="9"/>
      <c r="AP167" s="102">
        <f>SUM(AP163:AP166)</f>
        <v>10582.42</v>
      </c>
      <c r="AQ167" s="9"/>
      <c r="AR167" s="102">
        <f>SUM(AR163:AR166)</f>
        <v>320554.97000000003</v>
      </c>
      <c r="AS167" s="9"/>
      <c r="AT167" s="102">
        <f>SUM(AT163:AT166)</f>
        <v>54824.009999999995</v>
      </c>
      <c r="AU167" s="10"/>
      <c r="AV167" s="102">
        <f>SUM(AV163:AV166)</f>
        <v>13664.6</v>
      </c>
      <c r="AW167" s="10"/>
      <c r="AX167" s="102">
        <f>SUM(AX163:AX166)</f>
        <v>7710.95</v>
      </c>
      <c r="AY167" s="10"/>
      <c r="AZ167" s="102">
        <f>SUM(AZ163:AZ166)</f>
        <v>20000</v>
      </c>
      <c r="BA167" s="10"/>
      <c r="BB167" s="102">
        <f>SUM(BB163:BB166)</f>
        <v>0</v>
      </c>
      <c r="BC167" s="10"/>
      <c r="BD167" s="102">
        <f>SUM(BD163:BD166)</f>
        <v>0</v>
      </c>
      <c r="BE167" s="10"/>
      <c r="BF167" s="102">
        <f>SUM(BF163:BF166)</f>
        <v>0</v>
      </c>
      <c r="BG167" s="10"/>
      <c r="BH167" s="102">
        <f>SUM(BH163:BH166)</f>
        <v>0</v>
      </c>
      <c r="BI167" s="10"/>
      <c r="BJ167" s="102">
        <f>SUM(BJ163:BJ166)</f>
        <v>0</v>
      </c>
      <c r="BK167" s="9"/>
      <c r="BL167" s="102">
        <f>SUM(BL163:BL166)</f>
        <v>492349.32000000007</v>
      </c>
      <c r="BM167" s="9"/>
      <c r="BN167" s="102">
        <f>SUM(BN163:BN166)</f>
        <v>0</v>
      </c>
      <c r="BO167" s="9"/>
      <c r="BP167" s="102">
        <f>SUM(BP163:BP166)</f>
        <v>209322.80999999997</v>
      </c>
      <c r="BQ167" s="9"/>
      <c r="BR167" s="102">
        <f>SUM(BR163:BR166)</f>
        <v>701672.13</v>
      </c>
      <c r="BS167" s="9"/>
      <c r="BT167" s="102">
        <f>SUM(BT163:BT166)</f>
        <v>-301672.13</v>
      </c>
      <c r="BU167" s="9"/>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row>
    <row r="168" spans="1:122" s="21" customFormat="1">
      <c r="A168" s="58"/>
      <c r="B168" s="31"/>
      <c r="J168" s="8"/>
      <c r="L168" s="143"/>
      <c r="M168" s="9"/>
      <c r="N168" s="10"/>
      <c r="O168" s="10"/>
      <c r="P168" s="10"/>
      <c r="Q168" s="10"/>
      <c r="R168" s="10"/>
      <c r="S168" s="9"/>
      <c r="T168" s="10"/>
      <c r="U168" s="9"/>
      <c r="V168" s="10"/>
      <c r="W168" s="9"/>
      <c r="X168" s="10"/>
      <c r="Y168" s="9"/>
      <c r="Z168" s="10"/>
      <c r="AA168" s="9"/>
      <c r="AB168" s="10"/>
      <c r="AC168" s="9"/>
      <c r="AD168" s="10"/>
      <c r="AE168" s="9"/>
      <c r="AF168" s="10"/>
      <c r="AG168" s="9"/>
      <c r="AH168" s="10"/>
      <c r="AI168" s="9"/>
      <c r="AJ168" s="10"/>
      <c r="AK168" s="9"/>
      <c r="AL168" s="10"/>
      <c r="AM168" s="9"/>
      <c r="AN168" s="10"/>
      <c r="AO168" s="9"/>
      <c r="AP168" s="10"/>
      <c r="AQ168" s="9"/>
      <c r="AR168" s="10"/>
      <c r="AS168" s="9"/>
      <c r="AT168" s="10"/>
      <c r="AU168" s="10"/>
      <c r="AV168" s="10"/>
      <c r="AW168" s="10"/>
      <c r="AX168" s="10"/>
      <c r="AY168" s="10"/>
      <c r="AZ168" s="10"/>
      <c r="BA168" s="10"/>
      <c r="BB168" s="10"/>
      <c r="BC168" s="10"/>
      <c r="BD168" s="10"/>
      <c r="BE168" s="10"/>
      <c r="BF168" s="10"/>
      <c r="BG168" s="10"/>
      <c r="BH168" s="10"/>
      <c r="BI168" s="10"/>
      <c r="BJ168" s="10"/>
      <c r="BK168" s="9"/>
      <c r="BL168" s="10"/>
      <c r="BM168" s="9"/>
      <c r="BN168" s="10"/>
      <c r="BO168" s="9"/>
      <c r="BP168" s="10"/>
      <c r="BQ168" s="9"/>
      <c r="BR168" s="10"/>
      <c r="BS168" s="9"/>
      <c r="BT168" s="10"/>
      <c r="BU168" s="9"/>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row>
    <row r="169" spans="1:122" s="31" customFormat="1">
      <c r="A169" s="58" t="s">
        <v>249</v>
      </c>
      <c r="J169" s="159"/>
      <c r="L169" s="145" t="s">
        <v>202</v>
      </c>
      <c r="M169" s="10"/>
      <c r="N169" s="10">
        <v>10922239</v>
      </c>
      <c r="O169" s="10"/>
      <c r="P169" s="10">
        <f>10969926-N169</f>
        <v>47687</v>
      </c>
      <c r="Q169" s="10"/>
      <c r="R169" s="9">
        <v>10032325</v>
      </c>
      <c r="S169" s="10"/>
      <c r="T169" s="10">
        <v>413818</v>
      </c>
      <c r="U169" s="10"/>
      <c r="V169" s="10">
        <f>250563-10722</f>
        <v>239841</v>
      </c>
      <c r="W169" s="10"/>
      <c r="X169" s="10">
        <v>375473</v>
      </c>
      <c r="Y169" s="10"/>
      <c r="Z169" s="10">
        <f>11622+362544-6</f>
        <v>374160</v>
      </c>
      <c r="AA169" s="10"/>
      <c r="AB169" s="10">
        <v>374175</v>
      </c>
      <c r="AC169" s="10"/>
      <c r="AD169" s="10">
        <v>479817</v>
      </c>
      <c r="AE169" s="10"/>
      <c r="AF169" s="10">
        <f ca="1">[2]Wheatland!$I$39</f>
        <v>431577.41862083337</v>
      </c>
      <c r="AG169" s="10"/>
      <c r="AH169" s="10">
        <f ca="1">[2]Wheatland!$J$39</f>
        <v>437225.48213836289</v>
      </c>
      <c r="AI169" s="10"/>
      <c r="AJ169" s="10">
        <f ca="1">[2]Wheatland!$K$39</f>
        <v>445286.67641661229</v>
      </c>
      <c r="AK169" s="10"/>
      <c r="AL169" s="10">
        <f ca="1">[2]Wheatland!$L$39</f>
        <v>454783</v>
      </c>
      <c r="AM169" s="10"/>
      <c r="AN169" s="10">
        <f ca="1">[2]Wheatland!$M$39</f>
        <v>462626.31550692458</v>
      </c>
      <c r="AO169" s="10"/>
      <c r="AP169" s="10">
        <f ca="1">[2]Wheatland!$N$39</f>
        <v>491955.34096592036</v>
      </c>
      <c r="AQ169" s="10"/>
      <c r="AR169" s="10">
        <f ca="1">[2]Wheatland!$O$39</f>
        <v>516340</v>
      </c>
      <c r="AS169" s="10"/>
      <c r="AT169" s="10">
        <f ca="1">[2]Wheatland!$P$39</f>
        <v>563836.3251100413</v>
      </c>
      <c r="AU169" s="10"/>
      <c r="AV169" s="10">
        <f ca="1">[2]Wheatland!$Q$39</f>
        <v>615994.85825994285</v>
      </c>
      <c r="AW169" s="10"/>
      <c r="AX169" s="10">
        <f ca="1">[2]Wheatland!$R$39</f>
        <v>668433.20015885099</v>
      </c>
      <c r="AY169" s="10"/>
      <c r="AZ169" s="10">
        <v>0</v>
      </c>
      <c r="BA169" s="10"/>
      <c r="BB169" s="10">
        <v>0</v>
      </c>
      <c r="BC169" s="10"/>
      <c r="BD169" s="10">
        <v>0</v>
      </c>
      <c r="BE169" s="10"/>
      <c r="BF169" s="10">
        <v>0</v>
      </c>
      <c r="BG169" s="10"/>
      <c r="BH169" s="10">
        <v>0</v>
      </c>
      <c r="BI169" s="10"/>
      <c r="BJ169" s="10">
        <v>0</v>
      </c>
      <c r="BK169" s="10"/>
      <c r="BL169" s="10">
        <f ca="1">SUM(T169:BK169)</f>
        <v>7345342.6171774883</v>
      </c>
      <c r="BM169" s="10"/>
      <c r="BN169" s="10">
        <f ca="1">-R169+[2]Wheatland!$Y$39</f>
        <v>-346929.14350331947</v>
      </c>
      <c r="BO169" s="10"/>
      <c r="BP169" s="6">
        <f ca="1">IF(+R169-BL169+BN169&gt;0,R169-BL169+BN169,0)</f>
        <v>2340053.2393191922</v>
      </c>
      <c r="BQ169" s="10"/>
      <c r="BR169" s="9">
        <f ca="1">+BL169+BP169</f>
        <v>9685395.8564966805</v>
      </c>
      <c r="BS169" s="10"/>
      <c r="BT169" s="9">
        <f ca="1">+R169-BR169</f>
        <v>346929.14350331947</v>
      </c>
      <c r="BU169" s="10"/>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row>
    <row r="170" spans="1:122" s="21" customFormat="1">
      <c r="A170" s="56"/>
      <c r="B170" s="31"/>
      <c r="J170" s="8"/>
      <c r="L170" s="143"/>
      <c r="M170" s="9"/>
      <c r="N170" s="10"/>
      <c r="O170" s="9"/>
      <c r="P170" s="10"/>
      <c r="Q170" s="9"/>
      <c r="R170" s="10"/>
      <c r="S170" s="9"/>
      <c r="T170" s="10"/>
      <c r="U170" s="9"/>
      <c r="V170" s="10"/>
      <c r="W170" s="9"/>
      <c r="X170" s="10"/>
      <c r="Y170" s="9"/>
      <c r="Z170" s="10"/>
      <c r="AA170" s="9"/>
      <c r="AB170" s="10"/>
      <c r="AC170" s="9"/>
      <c r="AD170" s="10"/>
      <c r="AE170" s="9"/>
      <c r="AF170" s="10"/>
      <c r="AG170" s="9"/>
      <c r="AH170" s="10"/>
      <c r="AI170" s="9"/>
      <c r="AJ170" s="10"/>
      <c r="AK170" s="9"/>
      <c r="AL170" s="10"/>
      <c r="AM170" s="9"/>
      <c r="AN170" s="10"/>
      <c r="AO170" s="9"/>
      <c r="AP170" s="10"/>
      <c r="AQ170" s="9"/>
      <c r="AR170" s="10"/>
      <c r="AS170" s="9"/>
      <c r="AT170" s="10"/>
      <c r="AU170" s="10"/>
      <c r="AV170" s="10"/>
      <c r="AW170" s="10"/>
      <c r="AX170" s="10"/>
      <c r="AY170" s="10"/>
      <c r="AZ170" s="10"/>
      <c r="BA170" s="10"/>
      <c r="BB170" s="10"/>
      <c r="BC170" s="10"/>
      <c r="BD170" s="10"/>
      <c r="BE170" s="10"/>
      <c r="BF170" s="10"/>
      <c r="BG170" s="10"/>
      <c r="BH170" s="10"/>
      <c r="BI170" s="10"/>
      <c r="BJ170" s="10"/>
      <c r="BK170" s="9"/>
      <c r="BL170" s="10"/>
      <c r="BM170" s="9"/>
      <c r="BN170" s="10"/>
      <c r="BO170" s="9"/>
      <c r="BP170" s="10"/>
      <c r="BQ170" s="9"/>
      <c r="BR170" s="10"/>
      <c r="BS170" s="9"/>
      <c r="BT170" s="10"/>
      <c r="BU170" s="9"/>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row>
    <row r="171" spans="1:122" s="105" customFormat="1">
      <c r="A171" s="84" t="s">
        <v>248</v>
      </c>
      <c r="B171" s="54"/>
      <c r="J171" s="158"/>
      <c r="L171" s="144"/>
      <c r="M171" s="13"/>
      <c r="N171" s="120"/>
      <c r="O171" s="13"/>
      <c r="P171" s="120"/>
      <c r="Q171" s="13"/>
      <c r="R171" s="120">
        <f>R169+R160+R151+R149+R147+R141+R139+R137+R130+R123+R121+R119+R117+R115+R167</f>
        <v>23583842</v>
      </c>
      <c r="S171" s="120">
        <f t="shared" ref="S171:BU171" si="31">S169+S160+S151+S149+S147+S141+S139+S137+S130+S123+S121+S119+S117+S115+S167</f>
        <v>0</v>
      </c>
      <c r="T171" s="120">
        <f t="shared" si="31"/>
        <v>413818</v>
      </c>
      <c r="U171" s="120">
        <f t="shared" si="31"/>
        <v>0</v>
      </c>
      <c r="V171" s="120">
        <f t="shared" si="31"/>
        <v>241018.53</v>
      </c>
      <c r="W171" s="120">
        <f t="shared" si="31"/>
        <v>0</v>
      </c>
      <c r="X171" s="120">
        <f t="shared" si="31"/>
        <v>405396.93</v>
      </c>
      <c r="Y171" s="120">
        <f t="shared" si="31"/>
        <v>0</v>
      </c>
      <c r="Z171" s="120">
        <f t="shared" si="31"/>
        <v>440729.95</v>
      </c>
      <c r="AA171" s="120">
        <f t="shared" si="31"/>
        <v>0</v>
      </c>
      <c r="AB171" s="120">
        <f t="shared" si="31"/>
        <v>471664.43</v>
      </c>
      <c r="AC171" s="120">
        <f t="shared" si="31"/>
        <v>0</v>
      </c>
      <c r="AD171" s="120">
        <f t="shared" si="31"/>
        <v>525025.67999999993</v>
      </c>
      <c r="AE171" s="120">
        <f t="shared" si="31"/>
        <v>0</v>
      </c>
      <c r="AF171" s="120">
        <f t="shared" ca="1" si="31"/>
        <v>573248.10862083337</v>
      </c>
      <c r="AG171" s="120">
        <f t="shared" si="31"/>
        <v>0</v>
      </c>
      <c r="AH171" s="120">
        <f t="shared" ca="1" si="31"/>
        <v>580523.05213836278</v>
      </c>
      <c r="AI171" s="120">
        <f t="shared" si="31"/>
        <v>0</v>
      </c>
      <c r="AJ171" s="120">
        <f t="shared" ca="1" si="31"/>
        <v>551485.42641661223</v>
      </c>
      <c r="AK171" s="120">
        <f t="shared" si="31"/>
        <v>0</v>
      </c>
      <c r="AL171" s="120">
        <f t="shared" ca="1" si="31"/>
        <v>1502808.93</v>
      </c>
      <c r="AM171" s="120">
        <f t="shared" si="31"/>
        <v>0</v>
      </c>
      <c r="AN171" s="120">
        <f t="shared" ca="1" si="31"/>
        <v>634977.90550692461</v>
      </c>
      <c r="AO171" s="120">
        <f t="shared" si="31"/>
        <v>0</v>
      </c>
      <c r="AP171" s="120">
        <f t="shared" ca="1" si="31"/>
        <v>710648.81096592033</v>
      </c>
      <c r="AQ171" s="120">
        <f t="shared" si="31"/>
        <v>0</v>
      </c>
      <c r="AR171" s="120">
        <f t="shared" ca="1" si="31"/>
        <v>2133337.75</v>
      </c>
      <c r="AS171" s="120">
        <f t="shared" si="31"/>
        <v>0</v>
      </c>
      <c r="AT171" s="120">
        <f t="shared" ca="1" si="31"/>
        <v>968319.9451100413</v>
      </c>
      <c r="AU171" s="120">
        <f t="shared" si="31"/>
        <v>0</v>
      </c>
      <c r="AV171" s="120">
        <f t="shared" ca="1" si="31"/>
        <v>1280665.808259943</v>
      </c>
      <c r="AW171" s="120">
        <f t="shared" si="31"/>
        <v>0</v>
      </c>
      <c r="AX171" s="120">
        <f t="shared" ca="1" si="31"/>
        <v>1367991.7801588511</v>
      </c>
      <c r="AY171" s="120">
        <f t="shared" si="31"/>
        <v>0</v>
      </c>
      <c r="AZ171" s="120">
        <f t="shared" si="31"/>
        <v>283299.07</v>
      </c>
      <c r="BA171" s="120">
        <f t="shared" si="31"/>
        <v>0</v>
      </c>
      <c r="BB171" s="120">
        <f t="shared" si="31"/>
        <v>0</v>
      </c>
      <c r="BC171" s="120">
        <f t="shared" si="31"/>
        <v>0</v>
      </c>
      <c r="BD171" s="120">
        <f t="shared" si="31"/>
        <v>0</v>
      </c>
      <c r="BE171" s="120">
        <f t="shared" si="31"/>
        <v>0</v>
      </c>
      <c r="BF171" s="120">
        <f t="shared" si="31"/>
        <v>0</v>
      </c>
      <c r="BG171" s="120">
        <f t="shared" si="31"/>
        <v>0</v>
      </c>
      <c r="BH171" s="120">
        <f t="shared" si="31"/>
        <v>0</v>
      </c>
      <c r="BI171" s="120">
        <f t="shared" si="31"/>
        <v>0</v>
      </c>
      <c r="BJ171" s="120">
        <f t="shared" si="31"/>
        <v>0</v>
      </c>
      <c r="BK171" s="120">
        <f t="shared" si="31"/>
        <v>0</v>
      </c>
      <c r="BL171" s="120">
        <f t="shared" ca="1" si="31"/>
        <v>13084960.107177489</v>
      </c>
      <c r="BM171" s="120">
        <f t="shared" si="31"/>
        <v>0</v>
      </c>
      <c r="BN171" s="120">
        <f t="shared" ca="1" si="31"/>
        <v>155247.85649668053</v>
      </c>
      <c r="BO171" s="120">
        <f t="shared" si="31"/>
        <v>0</v>
      </c>
      <c r="BP171" s="120">
        <f t="shared" ca="1" si="31"/>
        <v>12024874.369319193</v>
      </c>
      <c r="BQ171" s="120">
        <f t="shared" si="31"/>
        <v>0</v>
      </c>
      <c r="BR171" s="120">
        <f t="shared" ca="1" si="31"/>
        <v>25109834.476496678</v>
      </c>
      <c r="BS171" s="120">
        <f t="shared" si="31"/>
        <v>0</v>
      </c>
      <c r="BT171" s="120">
        <f t="shared" ca="1" si="31"/>
        <v>-1525992.4764966806</v>
      </c>
      <c r="BU171" s="120">
        <f t="shared" si="31"/>
        <v>0</v>
      </c>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row>
    <row r="172" spans="1:122" s="21" customFormat="1">
      <c r="A172" s="56"/>
      <c r="B172" s="31"/>
      <c r="J172" s="8"/>
      <c r="L172" s="143"/>
      <c r="M172" s="9"/>
      <c r="N172" s="10"/>
      <c r="O172" s="9"/>
      <c r="P172" s="10"/>
      <c r="Q172" s="9"/>
      <c r="R172" s="10"/>
      <c r="S172" s="9"/>
      <c r="T172" s="10"/>
      <c r="U172" s="9"/>
      <c r="V172" s="10"/>
      <c r="W172" s="9"/>
      <c r="X172" s="10"/>
      <c r="Y172" s="9"/>
      <c r="Z172" s="10"/>
      <c r="AA172" s="9"/>
      <c r="AB172" s="10"/>
      <c r="AC172" s="9"/>
      <c r="AD172" s="10"/>
      <c r="AE172" s="9"/>
      <c r="AF172" s="10"/>
      <c r="AG172" s="9"/>
      <c r="AH172" s="10"/>
      <c r="AI172" s="9"/>
      <c r="AJ172" s="10"/>
      <c r="AK172" s="9"/>
      <c r="AL172" s="10"/>
      <c r="AM172" s="9"/>
      <c r="AN172" s="10"/>
      <c r="AO172" s="9"/>
      <c r="AP172" s="10"/>
      <c r="AQ172" s="9"/>
      <c r="AR172" s="10"/>
      <c r="AS172" s="9"/>
      <c r="AT172" s="10"/>
      <c r="AU172" s="10"/>
      <c r="AV172" s="10"/>
      <c r="AW172" s="10"/>
      <c r="AX172" s="10"/>
      <c r="AY172" s="10"/>
      <c r="AZ172" s="10"/>
      <c r="BA172" s="10"/>
      <c r="BB172" s="10"/>
      <c r="BC172" s="10"/>
      <c r="BD172" s="10"/>
      <c r="BE172" s="10"/>
      <c r="BF172" s="10"/>
      <c r="BG172" s="10"/>
      <c r="BH172" s="10"/>
      <c r="BI172" s="10"/>
      <c r="BJ172" s="10"/>
      <c r="BK172" s="9"/>
      <c r="BL172" s="10"/>
      <c r="BM172" s="9"/>
      <c r="BN172" s="10"/>
      <c r="BO172" s="9"/>
      <c r="BP172" s="10"/>
      <c r="BQ172" s="9"/>
      <c r="BR172" s="10"/>
      <c r="BS172" s="9"/>
      <c r="BT172" s="10"/>
      <c r="BU172" s="9"/>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row>
    <row r="173" spans="1:122" s="21" customFormat="1">
      <c r="A173" s="56" t="s">
        <v>190</v>
      </c>
      <c r="B173" s="31"/>
      <c r="J173" s="8"/>
      <c r="L173" s="143" t="s">
        <v>202</v>
      </c>
      <c r="M173" s="9"/>
      <c r="N173" s="9">
        <v>5395729</v>
      </c>
      <c r="O173" s="9"/>
      <c r="P173" s="9">
        <f>5463580+-N173</f>
        <v>67851</v>
      </c>
      <c r="Q173" s="9"/>
      <c r="R173" s="9">
        <f>3088152.1+236000</f>
        <v>3324152.1</v>
      </c>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10"/>
      <c r="BM173" s="9">
        <v>2030320</v>
      </c>
      <c r="BN173" s="9">
        <v>-3324152</v>
      </c>
      <c r="BO173" s="9">
        <v>2030320</v>
      </c>
      <c r="BP173" s="6">
        <f>IF(+R173-BL173+BN173&gt;0,R173-BL173+BN173,0)</f>
        <v>0.10000000009313226</v>
      </c>
      <c r="BQ173" s="9">
        <v>2030320</v>
      </c>
      <c r="BR173" s="9">
        <f>+BL173+BP173</f>
        <v>0.10000000009313226</v>
      </c>
      <c r="BS173" s="9">
        <v>2030320</v>
      </c>
      <c r="BT173" s="6">
        <f>+R173-BR173</f>
        <v>3324152</v>
      </c>
      <c r="BU173" s="9"/>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row>
    <row r="174" spans="1:122" s="21" customFormat="1">
      <c r="A174" s="56"/>
      <c r="B174" s="31"/>
      <c r="J174" s="8"/>
      <c r="L174" s="143"/>
      <c r="M174" s="9"/>
      <c r="N174" s="10"/>
      <c r="O174" s="9"/>
      <c r="P174" s="10"/>
      <c r="Q174" s="9"/>
      <c r="R174" s="10"/>
      <c r="S174" s="9"/>
      <c r="T174" s="10"/>
      <c r="U174" s="9"/>
      <c r="V174" s="10"/>
      <c r="W174" s="9"/>
      <c r="X174" s="10"/>
      <c r="Y174" s="9"/>
      <c r="Z174" s="10"/>
      <c r="AA174" s="9"/>
      <c r="AB174" s="10"/>
      <c r="AC174" s="9"/>
      <c r="AD174" s="10"/>
      <c r="AE174" s="9"/>
      <c r="AF174" s="10"/>
      <c r="AG174" s="9"/>
      <c r="AH174" s="10"/>
      <c r="AI174" s="9"/>
      <c r="AJ174" s="10"/>
      <c r="AK174" s="9"/>
      <c r="AL174" s="10"/>
      <c r="AM174" s="9"/>
      <c r="AN174" s="10"/>
      <c r="AO174" s="9"/>
      <c r="AP174" s="10"/>
      <c r="AQ174" s="9"/>
      <c r="AR174" s="10"/>
      <c r="AS174" s="9"/>
      <c r="AT174" s="10"/>
      <c r="AU174" s="10"/>
      <c r="AV174" s="10"/>
      <c r="AW174" s="10"/>
      <c r="AX174" s="10"/>
      <c r="AY174" s="10"/>
      <c r="AZ174" s="10"/>
      <c r="BA174" s="10"/>
      <c r="BB174" s="10"/>
      <c r="BC174" s="10"/>
      <c r="BD174" s="10"/>
      <c r="BE174" s="10"/>
      <c r="BF174" s="10"/>
      <c r="BG174" s="10"/>
      <c r="BH174" s="10"/>
      <c r="BI174" s="10"/>
      <c r="BJ174" s="10"/>
      <c r="BK174" s="9"/>
      <c r="BL174" s="10"/>
      <c r="BM174" s="9"/>
      <c r="BN174" s="10"/>
      <c r="BO174" s="9"/>
      <c r="BP174" s="10"/>
      <c r="BQ174" s="9"/>
      <c r="BR174" s="10"/>
      <c r="BS174" s="9"/>
      <c r="BT174" s="10"/>
      <c r="BU174" s="9"/>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row>
    <row r="175" spans="1:122" s="21" customFormat="1">
      <c r="A175" s="56"/>
      <c r="B175" s="31"/>
      <c r="J175" s="8"/>
      <c r="L175" s="143"/>
      <c r="M175" s="9"/>
      <c r="N175" s="10"/>
      <c r="O175" s="9"/>
      <c r="P175" s="10"/>
      <c r="Q175" s="9"/>
      <c r="R175" s="10"/>
      <c r="S175" s="9"/>
      <c r="T175" s="10"/>
      <c r="U175" s="9"/>
      <c r="V175" s="10"/>
      <c r="W175" s="9"/>
      <c r="X175" s="10"/>
      <c r="Y175" s="9"/>
      <c r="Z175" s="10"/>
      <c r="AA175" s="9"/>
      <c r="AB175" s="10"/>
      <c r="AC175" s="9"/>
      <c r="AD175" s="10"/>
      <c r="AE175" s="9"/>
      <c r="AF175" s="10"/>
      <c r="AG175" s="9"/>
      <c r="AH175" s="10"/>
      <c r="AI175" s="9"/>
      <c r="AJ175" s="10"/>
      <c r="AK175" s="9"/>
      <c r="AL175" s="10"/>
      <c r="AM175" s="9"/>
      <c r="AN175" s="10"/>
      <c r="AO175" s="9"/>
      <c r="AP175" s="10"/>
      <c r="AQ175" s="9"/>
      <c r="AR175" s="10"/>
      <c r="AS175" s="9"/>
      <c r="AT175" s="10"/>
      <c r="AU175" s="10"/>
      <c r="AV175" s="10"/>
      <c r="AW175" s="10"/>
      <c r="AX175" s="10"/>
      <c r="AY175" s="10"/>
      <c r="AZ175" s="10"/>
      <c r="BA175" s="10"/>
      <c r="BB175" s="10"/>
      <c r="BC175" s="10"/>
      <c r="BD175" s="10"/>
      <c r="BE175" s="10"/>
      <c r="BF175" s="10"/>
      <c r="BG175" s="10"/>
      <c r="BH175" s="10"/>
      <c r="BI175" s="10"/>
      <c r="BJ175" s="10"/>
      <c r="BK175" s="9"/>
      <c r="BL175" s="10"/>
      <c r="BM175" s="9"/>
      <c r="BN175" s="10"/>
      <c r="BO175" s="9"/>
      <c r="BP175" s="10"/>
      <c r="BQ175" s="9"/>
      <c r="BR175" s="10"/>
      <c r="BS175" s="9"/>
      <c r="BT175" s="10"/>
      <c r="BU175" s="9"/>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row>
    <row r="176" spans="1:122" s="170" customFormat="1">
      <c r="A176" s="169" t="s">
        <v>253</v>
      </c>
      <c r="J176" s="171"/>
      <c r="L176" s="172"/>
      <c r="M176" s="173"/>
      <c r="N176" s="173"/>
      <c r="O176" s="173"/>
      <c r="P176" s="173"/>
      <c r="Q176" s="173"/>
      <c r="R176" s="168">
        <f t="shared" ref="R176:AW176" si="32">R34+R102+R91+R107+R171+R173</f>
        <v>158451248.09999999</v>
      </c>
      <c r="S176" s="168">
        <f t="shared" si="32"/>
        <v>0</v>
      </c>
      <c r="T176" s="168">
        <f t="shared" si="32"/>
        <v>17087218</v>
      </c>
      <c r="U176" s="168">
        <f t="shared" si="32"/>
        <v>0</v>
      </c>
      <c r="V176" s="168">
        <f t="shared" si="32"/>
        <v>43642668.530000001</v>
      </c>
      <c r="W176" s="168">
        <f t="shared" si="32"/>
        <v>0</v>
      </c>
      <c r="X176" s="168">
        <f t="shared" si="32"/>
        <v>4696471.93</v>
      </c>
      <c r="Y176" s="168">
        <f t="shared" si="32"/>
        <v>0</v>
      </c>
      <c r="Z176" s="168">
        <f t="shared" si="32"/>
        <v>440729.95</v>
      </c>
      <c r="AA176" s="168">
        <f t="shared" si="32"/>
        <v>0</v>
      </c>
      <c r="AB176" s="168">
        <f t="shared" si="32"/>
        <v>4762739.43</v>
      </c>
      <c r="AC176" s="168">
        <f t="shared" si="32"/>
        <v>0</v>
      </c>
      <c r="AD176" s="168">
        <f t="shared" si="32"/>
        <v>9142692.6799999997</v>
      </c>
      <c r="AE176" s="168">
        <f t="shared" si="32"/>
        <v>0</v>
      </c>
      <c r="AF176" s="168">
        <f t="shared" ca="1" si="32"/>
        <v>573248.10862083337</v>
      </c>
      <c r="AG176" s="168">
        <f t="shared" si="32"/>
        <v>0</v>
      </c>
      <c r="AH176" s="168">
        <f t="shared" ca="1" si="32"/>
        <v>1116780.7521383627</v>
      </c>
      <c r="AI176" s="168">
        <f t="shared" si="32"/>
        <v>0</v>
      </c>
      <c r="AJ176" s="168">
        <f t="shared" ca="1" si="32"/>
        <v>1496281.3264166121</v>
      </c>
      <c r="AK176" s="168">
        <f t="shared" si="32"/>
        <v>0</v>
      </c>
      <c r="AL176" s="168">
        <f t="shared" ca="1" si="32"/>
        <v>1780115.93</v>
      </c>
      <c r="AM176" s="168">
        <f t="shared" si="32"/>
        <v>0</v>
      </c>
      <c r="AN176" s="168">
        <f t="shared" ca="1" si="32"/>
        <v>1566383.0055069246</v>
      </c>
      <c r="AO176" s="168">
        <f t="shared" si="32"/>
        <v>0</v>
      </c>
      <c r="AP176" s="168">
        <f t="shared" ca="1" si="32"/>
        <v>5481999.3709659204</v>
      </c>
      <c r="AQ176" s="168">
        <f t="shared" si="32"/>
        <v>0</v>
      </c>
      <c r="AR176" s="168">
        <f t="shared" ca="1" si="32"/>
        <v>4677967.54</v>
      </c>
      <c r="AS176" s="168">
        <f t="shared" si="32"/>
        <v>0</v>
      </c>
      <c r="AT176" s="168">
        <f t="shared" ca="1" si="32"/>
        <v>8750380.3051100411</v>
      </c>
      <c r="AU176" s="168">
        <f t="shared" si="32"/>
        <v>0</v>
      </c>
      <c r="AV176" s="168">
        <f t="shared" ca="1" si="32"/>
        <v>9706071.6582599431</v>
      </c>
      <c r="AW176" s="168">
        <f t="shared" si="32"/>
        <v>0</v>
      </c>
      <c r="AX176" s="168">
        <f t="shared" ref="AX176:BT176" ca="1" si="33">AX34+AX102+AX91+AX107+AX171+AX173</f>
        <v>9777060.1201588511</v>
      </c>
      <c r="AY176" s="168">
        <f t="shared" si="33"/>
        <v>0</v>
      </c>
      <c r="AZ176" s="168">
        <f t="shared" si="33"/>
        <v>7186686.0700000003</v>
      </c>
      <c r="BA176" s="168">
        <f t="shared" si="33"/>
        <v>0</v>
      </c>
      <c r="BB176" s="168">
        <f t="shared" si="33"/>
        <v>0</v>
      </c>
      <c r="BC176" s="168">
        <f t="shared" si="33"/>
        <v>0</v>
      </c>
      <c r="BD176" s="168">
        <f t="shared" si="33"/>
        <v>0</v>
      </c>
      <c r="BE176" s="168">
        <f t="shared" si="33"/>
        <v>0</v>
      </c>
      <c r="BF176" s="168">
        <f t="shared" si="33"/>
        <v>0</v>
      </c>
      <c r="BG176" s="168">
        <f t="shared" si="33"/>
        <v>0</v>
      </c>
      <c r="BH176" s="168">
        <f t="shared" si="33"/>
        <v>0</v>
      </c>
      <c r="BI176" s="168">
        <f t="shared" si="33"/>
        <v>0</v>
      </c>
      <c r="BJ176" s="168">
        <f t="shared" si="33"/>
        <v>0</v>
      </c>
      <c r="BK176" s="168">
        <f t="shared" si="33"/>
        <v>0</v>
      </c>
      <c r="BL176" s="168">
        <f t="shared" ca="1" si="33"/>
        <v>131885494.70717752</v>
      </c>
      <c r="BM176" s="168">
        <f t="shared" si="33"/>
        <v>3202104</v>
      </c>
      <c r="BN176" s="168">
        <f t="shared" ca="1" si="33"/>
        <v>4039792.8564966805</v>
      </c>
      <c r="BO176" s="168">
        <f t="shared" si="33"/>
        <v>4673615</v>
      </c>
      <c r="BP176" s="168">
        <f t="shared" ca="1" si="33"/>
        <v>27150559.869319182</v>
      </c>
      <c r="BQ176" s="168">
        <f t="shared" si="33"/>
        <v>7699097</v>
      </c>
      <c r="BR176" s="168">
        <f t="shared" ca="1" si="33"/>
        <v>159979919.57649666</v>
      </c>
      <c r="BS176" s="168">
        <f t="shared" si="33"/>
        <v>14335953</v>
      </c>
      <c r="BT176" s="168">
        <f t="shared" ca="1" si="33"/>
        <v>-1528671.4764966806</v>
      </c>
      <c r="BU176" s="173"/>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row>
    <row r="177" spans="1:122" s="21" customFormat="1">
      <c r="A177" s="56" t="s">
        <v>251</v>
      </c>
      <c r="B177" s="31"/>
      <c r="J177" s="8"/>
      <c r="L177" s="143"/>
      <c r="M177" s="9"/>
      <c r="N177" s="10"/>
      <c r="O177" s="9"/>
      <c r="P177" s="10"/>
      <c r="Q177" s="9"/>
      <c r="R177" s="10"/>
      <c r="S177" s="9"/>
      <c r="T177" s="10"/>
      <c r="U177" s="9"/>
      <c r="V177" s="10"/>
      <c r="W177" s="9"/>
      <c r="X177" s="10"/>
      <c r="Y177" s="9"/>
      <c r="Z177" s="10"/>
      <c r="AA177" s="9"/>
      <c r="AB177" s="10"/>
      <c r="AC177" s="9"/>
      <c r="AD177" s="10"/>
      <c r="AE177" s="9"/>
      <c r="AF177" s="10"/>
      <c r="AG177" s="9"/>
      <c r="AH177" s="10"/>
      <c r="AI177" s="9"/>
      <c r="AJ177" s="10"/>
      <c r="AK177" s="9"/>
      <c r="AL177" s="10"/>
      <c r="AM177" s="9"/>
      <c r="AN177" s="10"/>
      <c r="AO177" s="9"/>
      <c r="AP177" s="10"/>
      <c r="AQ177" s="9"/>
      <c r="AR177" s="10"/>
      <c r="AS177" s="9"/>
      <c r="AT177" s="10"/>
      <c r="AU177" s="10"/>
      <c r="AV177" s="10"/>
      <c r="AW177" s="10"/>
      <c r="AX177" s="10"/>
      <c r="AY177" s="10"/>
      <c r="AZ177" s="10"/>
      <c r="BA177" s="10"/>
      <c r="BB177" s="10"/>
      <c r="BC177" s="10"/>
      <c r="BD177" s="10"/>
      <c r="BE177" s="10"/>
      <c r="BF177" s="10"/>
      <c r="BG177" s="10"/>
      <c r="BH177" s="10"/>
      <c r="BI177" s="10"/>
      <c r="BJ177" s="10"/>
      <c r="BK177" s="9"/>
      <c r="BL177" s="10"/>
      <c r="BM177" s="9"/>
      <c r="BN177" s="10"/>
      <c r="BO177" s="9"/>
      <c r="BP177" s="10"/>
      <c r="BQ177" s="9"/>
      <c r="BR177" s="10">
        <f ca="1">BR176/B4</f>
        <v>340382.80760956736</v>
      </c>
      <c r="BS177" s="9"/>
      <c r="BT177" s="10"/>
      <c r="BU177" s="9"/>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row>
    <row r="178" spans="1:122" s="21" customFormat="1">
      <c r="A178" s="56"/>
      <c r="B178" s="31"/>
      <c r="J178" s="8"/>
      <c r="L178" s="143"/>
      <c r="M178" s="9"/>
      <c r="N178" s="10"/>
      <c r="O178" s="9"/>
      <c r="P178" s="10"/>
      <c r="Q178" s="9"/>
      <c r="R178" s="10"/>
      <c r="S178" s="9"/>
      <c r="T178" s="10"/>
      <c r="U178" s="9"/>
      <c r="V178" s="10"/>
      <c r="W178" s="9"/>
      <c r="X178" s="10"/>
      <c r="Y178" s="9"/>
      <c r="Z178" s="10"/>
      <c r="AA178" s="9"/>
      <c r="AB178" s="10"/>
      <c r="AC178" s="9"/>
      <c r="AD178" s="10"/>
      <c r="AE178" s="9"/>
      <c r="AF178" s="10"/>
      <c r="AG178" s="9"/>
      <c r="AH178" s="10"/>
      <c r="AI178" s="9"/>
      <c r="AJ178" s="10"/>
      <c r="AK178" s="9"/>
      <c r="AL178" s="10"/>
      <c r="AM178" s="9"/>
      <c r="AN178" s="10"/>
      <c r="AO178" s="9"/>
      <c r="AP178" s="10"/>
      <c r="AQ178" s="9"/>
      <c r="AR178" s="10"/>
      <c r="AS178" s="9"/>
      <c r="AT178" s="10"/>
      <c r="AU178" s="10"/>
      <c r="AV178" s="10"/>
      <c r="AW178" s="10"/>
      <c r="AX178" s="10"/>
      <c r="AY178" s="10"/>
      <c r="AZ178" s="10"/>
      <c r="BA178" s="10"/>
      <c r="BB178" s="10"/>
      <c r="BC178" s="10"/>
      <c r="BD178" s="10"/>
      <c r="BE178" s="10"/>
      <c r="BF178" s="10"/>
      <c r="BG178" s="10"/>
      <c r="BH178" s="10"/>
      <c r="BI178" s="10"/>
      <c r="BJ178" s="10"/>
      <c r="BK178" s="9"/>
      <c r="BL178" s="10"/>
      <c r="BM178" s="9"/>
      <c r="BN178" s="10"/>
      <c r="BO178" s="9"/>
      <c r="BP178" s="10"/>
      <c r="BQ178" s="9"/>
      <c r="BR178" s="10"/>
      <c r="BS178" s="9"/>
      <c r="BT178" s="10"/>
      <c r="BU178" s="9"/>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row>
    <row r="179" spans="1:122" s="21" customFormat="1">
      <c r="A179" s="58" t="s">
        <v>219</v>
      </c>
      <c r="B179" s="31"/>
      <c r="J179" s="8"/>
      <c r="L179" s="143" t="s">
        <v>202</v>
      </c>
      <c r="M179" s="9"/>
      <c r="N179" s="9">
        <v>0</v>
      </c>
      <c r="O179" s="9"/>
      <c r="P179" s="9">
        <f>21557+23365.91</f>
        <v>44922.91</v>
      </c>
      <c r="Q179" s="9"/>
      <c r="R179" s="9">
        <v>-6078</v>
      </c>
      <c r="S179" s="9"/>
      <c r="T179" s="9"/>
      <c r="U179" s="9"/>
      <c r="V179" s="9"/>
      <c r="W179" s="9"/>
      <c r="X179" s="9"/>
      <c r="Y179" s="9"/>
      <c r="Z179" s="9">
        <v>-21556.400000000001</v>
      </c>
      <c r="AA179" s="9"/>
      <c r="AB179" s="9">
        <f>43113+23365.91</f>
        <v>66478.91</v>
      </c>
      <c r="AC179" s="9"/>
      <c r="AD179" s="9">
        <v>-51000</v>
      </c>
      <c r="AE179" s="9"/>
      <c r="AF179" s="9">
        <v>0</v>
      </c>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10">
        <f>SUM(T179:BK179)</f>
        <v>-6077.489999999998</v>
      </c>
      <c r="BM179" s="9"/>
      <c r="BN179" s="10">
        <v>0</v>
      </c>
      <c r="BO179" s="10"/>
      <c r="BP179" s="10">
        <f>+R179-BL179+BN179</f>
        <v>-0.51000000000203727</v>
      </c>
      <c r="BQ179" s="10"/>
      <c r="BR179" s="9">
        <f>+BL179+BP179</f>
        <v>-6078</v>
      </c>
      <c r="BS179" s="10"/>
      <c r="BT179" s="9">
        <f>+R179-BR179</f>
        <v>0</v>
      </c>
      <c r="BU179" s="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row>
    <row r="180" spans="1:122" s="21" customFormat="1">
      <c r="A180" s="56"/>
      <c r="B180" s="31"/>
      <c r="J180" s="8"/>
      <c r="L180" s="143"/>
      <c r="M180" s="9"/>
      <c r="N180" s="10"/>
      <c r="O180" s="9"/>
      <c r="P180" s="10"/>
      <c r="Q180" s="9"/>
      <c r="R180" s="10"/>
      <c r="S180" s="9"/>
      <c r="T180" s="10"/>
      <c r="U180" s="9"/>
      <c r="V180" s="10"/>
      <c r="W180" s="9"/>
      <c r="X180" s="10"/>
      <c r="Y180" s="9"/>
      <c r="Z180" s="10"/>
      <c r="AA180" s="9"/>
      <c r="AB180" s="10"/>
      <c r="AC180" s="9"/>
      <c r="AD180" s="10"/>
      <c r="AE180" s="9"/>
      <c r="AF180" s="10"/>
      <c r="AG180" s="9"/>
      <c r="AH180" s="10"/>
      <c r="AI180" s="9"/>
      <c r="AJ180" s="10"/>
      <c r="AK180" s="9"/>
      <c r="AL180" s="10"/>
      <c r="AM180" s="9"/>
      <c r="AN180" s="10"/>
      <c r="AO180" s="9"/>
      <c r="AP180" s="10"/>
      <c r="AQ180" s="9"/>
      <c r="AR180" s="10"/>
      <c r="AS180" s="9"/>
      <c r="AT180" s="10"/>
      <c r="AU180" s="10"/>
      <c r="AV180" s="10"/>
      <c r="AW180" s="10"/>
      <c r="AX180" s="10"/>
      <c r="AY180" s="10"/>
      <c r="AZ180" s="10"/>
      <c r="BA180" s="10"/>
      <c r="BB180" s="10"/>
      <c r="BC180" s="10"/>
      <c r="BD180" s="10"/>
      <c r="BE180" s="10"/>
      <c r="BF180" s="10"/>
      <c r="BG180" s="10"/>
      <c r="BH180" s="10"/>
      <c r="BI180" s="10"/>
      <c r="BJ180" s="10"/>
      <c r="BK180" s="9"/>
      <c r="BL180" s="10"/>
      <c r="BM180" s="9"/>
      <c r="BN180" s="10"/>
      <c r="BO180" s="9"/>
      <c r="BP180" s="10"/>
      <c r="BQ180" s="9"/>
      <c r="BR180" s="10"/>
      <c r="BS180" s="9"/>
      <c r="BT180" s="10"/>
      <c r="BU180" s="9"/>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row>
    <row r="181" spans="1:122" s="21" customFormat="1">
      <c r="A181" s="56" t="s">
        <v>250</v>
      </c>
      <c r="B181" s="31"/>
      <c r="J181" s="8"/>
      <c r="L181" s="143"/>
      <c r="M181" s="9"/>
      <c r="N181" s="10"/>
      <c r="O181" s="9"/>
      <c r="P181" s="10"/>
      <c r="Q181" s="9"/>
      <c r="R181" s="10">
        <v>0</v>
      </c>
      <c r="S181" s="9"/>
      <c r="T181" s="10"/>
      <c r="U181" s="9"/>
      <c r="V181" s="10"/>
      <c r="W181" s="9"/>
      <c r="X181" s="10"/>
      <c r="Y181" s="9"/>
      <c r="Z181" s="10">
        <v>0</v>
      </c>
      <c r="AA181" s="9"/>
      <c r="AB181" s="10">
        <v>0</v>
      </c>
      <c r="AC181" s="9"/>
      <c r="AD181" s="10">
        <v>0</v>
      </c>
      <c r="AE181" s="9"/>
      <c r="AF181" s="10">
        <v>0</v>
      </c>
      <c r="AG181" s="9"/>
      <c r="AH181" s="10"/>
      <c r="AI181" s="9"/>
      <c r="AJ181" s="10"/>
      <c r="AK181" s="9"/>
      <c r="AL181" s="10"/>
      <c r="AM181" s="9"/>
      <c r="AN181" s="10"/>
      <c r="AO181" s="9"/>
      <c r="AP181" s="10"/>
      <c r="AQ181" s="9"/>
      <c r="AR181" s="10"/>
      <c r="AS181" s="9"/>
      <c r="AT181" s="10"/>
      <c r="AU181" s="10"/>
      <c r="AV181" s="10"/>
      <c r="AW181" s="10"/>
      <c r="AX181" s="10"/>
      <c r="AY181" s="10"/>
      <c r="AZ181" s="10"/>
      <c r="BA181" s="10"/>
      <c r="BB181" s="10"/>
      <c r="BC181" s="10"/>
      <c r="BD181" s="10"/>
      <c r="BE181" s="10"/>
      <c r="BF181" s="10"/>
      <c r="BG181" s="10"/>
      <c r="BH181" s="10"/>
      <c r="BI181" s="10"/>
      <c r="BJ181" s="10"/>
      <c r="BK181" s="9"/>
      <c r="BL181" s="10">
        <f>SUM(T181:BK181)</f>
        <v>0</v>
      </c>
      <c r="BM181" s="9"/>
      <c r="BN181" s="10">
        <v>0</v>
      </c>
      <c r="BO181" s="9"/>
      <c r="BP181" s="10">
        <f>+R181-BL181+BN181</f>
        <v>0</v>
      </c>
      <c r="BQ181" s="9"/>
      <c r="BR181" s="9">
        <f>+BL181+BP181</f>
        <v>0</v>
      </c>
      <c r="BS181" s="9"/>
      <c r="BT181" s="10">
        <f>SUM(BT178:BT180)</f>
        <v>0</v>
      </c>
      <c r="BU181" s="9"/>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row>
    <row r="182" spans="1:122" s="21" customFormat="1">
      <c r="A182" s="56"/>
      <c r="B182" s="31"/>
      <c r="J182" s="8"/>
      <c r="L182" s="143"/>
      <c r="M182" s="9"/>
      <c r="N182" s="10"/>
      <c r="O182" s="9"/>
      <c r="P182" s="10"/>
      <c r="Q182" s="9"/>
      <c r="R182" s="10"/>
      <c r="S182" s="9"/>
      <c r="T182" s="10"/>
      <c r="U182" s="9"/>
      <c r="V182" s="10"/>
      <c r="W182" s="9"/>
      <c r="X182" s="10"/>
      <c r="Y182" s="9"/>
      <c r="Z182" s="10"/>
      <c r="AA182" s="9"/>
      <c r="AB182" s="10"/>
      <c r="AC182" s="9"/>
      <c r="AD182" s="10"/>
      <c r="AE182" s="9"/>
      <c r="AF182" s="10"/>
      <c r="AG182" s="9"/>
      <c r="AH182" s="10"/>
      <c r="AI182" s="9"/>
      <c r="AJ182" s="10"/>
      <c r="AK182" s="9"/>
      <c r="AL182" s="10"/>
      <c r="AM182" s="9"/>
      <c r="AN182" s="10"/>
      <c r="AO182" s="9"/>
      <c r="AP182" s="10"/>
      <c r="AQ182" s="9"/>
      <c r="AR182" s="10"/>
      <c r="AS182" s="9"/>
      <c r="AT182" s="10"/>
      <c r="AU182" s="10"/>
      <c r="AV182" s="10"/>
      <c r="AW182" s="10"/>
      <c r="AX182" s="10"/>
      <c r="AY182" s="10"/>
      <c r="AZ182" s="10"/>
      <c r="BA182" s="10"/>
      <c r="BB182" s="10"/>
      <c r="BC182" s="10"/>
      <c r="BD182" s="10"/>
      <c r="BE182" s="10"/>
      <c r="BF182" s="10"/>
      <c r="BG182" s="10"/>
      <c r="BH182" s="10"/>
      <c r="BI182" s="10"/>
      <c r="BJ182" s="10"/>
      <c r="BK182" s="9"/>
      <c r="BL182" s="10"/>
      <c r="BM182" s="9"/>
      <c r="BN182" s="10"/>
      <c r="BO182" s="9"/>
      <c r="BP182" s="10"/>
      <c r="BQ182" s="9"/>
      <c r="BR182" s="10"/>
      <c r="BS182" s="9"/>
      <c r="BT182" s="10"/>
      <c r="BU182" s="9"/>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row>
    <row r="183" spans="1:122" s="21" customFormat="1">
      <c r="A183" s="58" t="s">
        <v>269</v>
      </c>
      <c r="B183" s="31"/>
      <c r="J183" s="8"/>
      <c r="L183" s="143"/>
      <c r="M183" s="9"/>
      <c r="N183" s="10"/>
      <c r="O183" s="9"/>
      <c r="P183" s="10"/>
      <c r="Q183" s="9"/>
      <c r="R183" s="10">
        <v>-54879</v>
      </c>
      <c r="S183" s="9"/>
      <c r="T183" s="10"/>
      <c r="U183" s="9"/>
      <c r="V183" s="10"/>
      <c r="W183" s="9"/>
      <c r="X183" s="10"/>
      <c r="Y183" s="9"/>
      <c r="Z183" s="10"/>
      <c r="AA183" s="9"/>
      <c r="AB183" s="10">
        <v>-67129</v>
      </c>
      <c r="AC183" s="9"/>
      <c r="AD183" s="10">
        <v>12250</v>
      </c>
      <c r="AE183" s="9"/>
      <c r="AF183" s="21">
        <v>-26420</v>
      </c>
      <c r="AG183" s="9"/>
      <c r="AH183" s="10">
        <v>-23945</v>
      </c>
      <c r="AI183" s="9"/>
      <c r="AJ183" s="10"/>
      <c r="AK183" s="9"/>
      <c r="AL183" s="10"/>
      <c r="AM183" s="9"/>
      <c r="AN183" s="10">
        <v>36835</v>
      </c>
      <c r="AO183" s="9"/>
      <c r="AP183" s="10">
        <v>-36835</v>
      </c>
      <c r="AQ183" s="9"/>
      <c r="AR183" s="10"/>
      <c r="AS183" s="9"/>
      <c r="AT183" s="10"/>
      <c r="AU183" s="10"/>
      <c r="AV183" s="10"/>
      <c r="AW183" s="10"/>
      <c r="AX183" s="10"/>
      <c r="AY183" s="10"/>
      <c r="AZ183" s="10"/>
      <c r="BA183" s="10"/>
      <c r="BB183" s="10"/>
      <c r="BC183" s="10"/>
      <c r="BD183" s="10"/>
      <c r="BE183" s="10"/>
      <c r="BF183" s="10"/>
      <c r="BG183" s="10"/>
      <c r="BH183" s="10"/>
      <c r="BI183" s="10"/>
      <c r="BJ183" s="10"/>
      <c r="BK183" s="9"/>
      <c r="BL183" s="10">
        <f>SUM(T183:BK183)</f>
        <v>-105244</v>
      </c>
      <c r="BM183" s="9"/>
      <c r="BN183" s="10"/>
      <c r="BO183" s="9"/>
      <c r="BP183" s="10">
        <v>0</v>
      </c>
      <c r="BQ183" s="9"/>
      <c r="BR183" s="9">
        <f>+BL183+BP183</f>
        <v>-105244</v>
      </c>
      <c r="BS183" s="9"/>
      <c r="BT183" s="10"/>
      <c r="BU183" s="9"/>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row>
    <row r="184" spans="1:122" s="21" customFormat="1">
      <c r="A184" s="58"/>
      <c r="B184" s="31"/>
      <c r="J184" s="8"/>
      <c r="L184" s="143"/>
      <c r="M184" s="9"/>
      <c r="N184" s="10"/>
      <c r="O184" s="9"/>
      <c r="P184" s="10"/>
      <c r="Q184" s="9"/>
      <c r="R184" s="10"/>
      <c r="S184" s="9"/>
      <c r="T184" s="10"/>
      <c r="U184" s="9"/>
      <c r="V184" s="10"/>
      <c r="W184" s="9"/>
      <c r="X184" s="10"/>
      <c r="Y184" s="9"/>
      <c r="Z184" s="10"/>
      <c r="AA184" s="9"/>
      <c r="AB184" s="10"/>
      <c r="AC184" s="9"/>
      <c r="AD184" s="10"/>
      <c r="AE184" s="9"/>
      <c r="AF184" s="10"/>
      <c r="AG184" s="9"/>
      <c r="AH184" s="10"/>
      <c r="AI184" s="9"/>
      <c r="AJ184" s="10"/>
      <c r="AK184" s="9"/>
      <c r="AL184" s="10"/>
      <c r="AM184" s="9"/>
      <c r="AN184" s="10"/>
      <c r="AO184" s="9"/>
      <c r="AP184" s="10"/>
      <c r="AQ184" s="9"/>
      <c r="AR184" s="10"/>
      <c r="AS184" s="9"/>
      <c r="AT184" s="10"/>
      <c r="AU184" s="10"/>
      <c r="AV184" s="10"/>
      <c r="AW184" s="10"/>
      <c r="AX184" s="10"/>
      <c r="AY184" s="10"/>
      <c r="AZ184" s="10"/>
      <c r="BA184" s="10"/>
      <c r="BB184" s="10"/>
      <c r="BC184" s="10"/>
      <c r="BD184" s="10"/>
      <c r="BE184" s="10"/>
      <c r="BF184" s="10"/>
      <c r="BG184" s="10"/>
      <c r="BH184" s="10"/>
      <c r="BI184" s="10"/>
      <c r="BJ184" s="10"/>
      <c r="BK184" s="9"/>
      <c r="BL184" s="10"/>
      <c r="BM184" s="9"/>
      <c r="BN184" s="10"/>
      <c r="BO184" s="9"/>
      <c r="BP184" s="10"/>
      <c r="BQ184" s="9"/>
      <c r="BR184" s="10"/>
      <c r="BS184" s="9"/>
      <c r="BT184" s="10"/>
      <c r="BU184" s="9"/>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row>
    <row r="185" spans="1:122" s="21" customFormat="1">
      <c r="A185" s="58" t="s">
        <v>252</v>
      </c>
      <c r="B185" s="31"/>
      <c r="J185" s="8"/>
      <c r="L185" s="143"/>
      <c r="M185" s="9"/>
      <c r="N185" s="10"/>
      <c r="O185" s="9"/>
      <c r="P185" s="10"/>
      <c r="Q185" s="9"/>
      <c r="R185" s="10">
        <f t="shared" ref="R185:BU185" si="34">R176+R179+R181+R183</f>
        <v>158390291.09999999</v>
      </c>
      <c r="S185" s="10">
        <f t="shared" si="34"/>
        <v>0</v>
      </c>
      <c r="T185" s="10">
        <f t="shared" si="34"/>
        <v>17087218</v>
      </c>
      <c r="U185" s="10">
        <f t="shared" si="34"/>
        <v>0</v>
      </c>
      <c r="V185" s="10">
        <f t="shared" si="34"/>
        <v>43642668.530000001</v>
      </c>
      <c r="W185" s="10">
        <f t="shared" si="34"/>
        <v>0</v>
      </c>
      <c r="X185" s="10">
        <f t="shared" si="34"/>
        <v>4696471.93</v>
      </c>
      <c r="Y185" s="10">
        <f t="shared" si="34"/>
        <v>0</v>
      </c>
      <c r="Z185" s="10">
        <f t="shared" si="34"/>
        <v>419173.55</v>
      </c>
      <c r="AA185" s="10">
        <f t="shared" si="34"/>
        <v>0</v>
      </c>
      <c r="AB185" s="10">
        <f t="shared" si="34"/>
        <v>4762089.34</v>
      </c>
      <c r="AC185" s="10">
        <f t="shared" si="34"/>
        <v>0</v>
      </c>
      <c r="AD185" s="10">
        <f t="shared" si="34"/>
        <v>9103942.6799999997</v>
      </c>
      <c r="AE185" s="10">
        <f t="shared" si="34"/>
        <v>0</v>
      </c>
      <c r="AF185" s="10">
        <f t="shared" ca="1" si="34"/>
        <v>546828.10862083337</v>
      </c>
      <c r="AG185" s="10">
        <f t="shared" si="34"/>
        <v>0</v>
      </c>
      <c r="AH185" s="10">
        <f t="shared" ca="1" si="34"/>
        <v>1092835.7521383627</v>
      </c>
      <c r="AI185" s="10">
        <f t="shared" si="34"/>
        <v>0</v>
      </c>
      <c r="AJ185" s="10">
        <f t="shared" ca="1" si="34"/>
        <v>1496281.3264166121</v>
      </c>
      <c r="AK185" s="10"/>
      <c r="AL185" s="10">
        <f t="shared" ca="1" si="34"/>
        <v>1780115.93</v>
      </c>
      <c r="AM185" s="10"/>
      <c r="AN185" s="10">
        <f t="shared" ca="1" si="34"/>
        <v>1603218.0055069246</v>
      </c>
      <c r="AO185" s="10">
        <f t="shared" si="34"/>
        <v>0</v>
      </c>
      <c r="AP185" s="10">
        <f t="shared" ca="1" si="34"/>
        <v>5445164.3709659204</v>
      </c>
      <c r="AQ185" s="10">
        <f t="shared" si="34"/>
        <v>0</v>
      </c>
      <c r="AR185" s="10">
        <f t="shared" ca="1" si="34"/>
        <v>4677967.54</v>
      </c>
      <c r="AS185" s="10">
        <f t="shared" si="34"/>
        <v>0</v>
      </c>
      <c r="AT185" s="10">
        <f t="shared" ca="1" si="34"/>
        <v>8750380.3051100411</v>
      </c>
      <c r="AU185" s="10">
        <f t="shared" si="34"/>
        <v>0</v>
      </c>
      <c r="AV185" s="10">
        <f t="shared" ca="1" si="34"/>
        <v>9706071.6582599431</v>
      </c>
      <c r="AW185" s="10">
        <f t="shared" si="34"/>
        <v>0</v>
      </c>
      <c r="AX185" s="10">
        <f t="shared" ca="1" si="34"/>
        <v>9777060.1201588511</v>
      </c>
      <c r="AY185" s="10">
        <f t="shared" si="34"/>
        <v>0</v>
      </c>
      <c r="AZ185" s="10">
        <f t="shared" si="34"/>
        <v>7186686.0700000003</v>
      </c>
      <c r="BA185" s="10">
        <f t="shared" si="34"/>
        <v>0</v>
      </c>
      <c r="BB185" s="10">
        <f t="shared" si="34"/>
        <v>0</v>
      </c>
      <c r="BC185" s="10">
        <f t="shared" si="34"/>
        <v>0</v>
      </c>
      <c r="BD185" s="10">
        <f t="shared" si="34"/>
        <v>0</v>
      </c>
      <c r="BE185" s="10">
        <f t="shared" si="34"/>
        <v>0</v>
      </c>
      <c r="BF185" s="10">
        <f t="shared" si="34"/>
        <v>0</v>
      </c>
      <c r="BG185" s="10">
        <f t="shared" si="34"/>
        <v>0</v>
      </c>
      <c r="BH185" s="10">
        <f t="shared" si="34"/>
        <v>0</v>
      </c>
      <c r="BI185" s="10">
        <f t="shared" si="34"/>
        <v>0</v>
      </c>
      <c r="BJ185" s="10">
        <f t="shared" si="34"/>
        <v>0</v>
      </c>
      <c r="BK185" s="10">
        <f t="shared" si="34"/>
        <v>0</v>
      </c>
      <c r="BL185" s="10">
        <f t="shared" ca="1" si="34"/>
        <v>131774173.21717753</v>
      </c>
      <c r="BM185" s="10">
        <f t="shared" si="34"/>
        <v>3202104</v>
      </c>
      <c r="BN185" s="10">
        <f ca="1">BN176+BN179+BN181+BN183</f>
        <v>4039792.8564966805</v>
      </c>
      <c r="BO185" s="10">
        <f t="shared" si="34"/>
        <v>4673615</v>
      </c>
      <c r="BP185" s="10">
        <f t="shared" ca="1" si="34"/>
        <v>27150559.35931918</v>
      </c>
      <c r="BQ185" s="10">
        <f t="shared" si="34"/>
        <v>7699097</v>
      </c>
      <c r="BR185" s="10">
        <f t="shared" ca="1" si="34"/>
        <v>159868597.57649666</v>
      </c>
      <c r="BS185" s="10">
        <f t="shared" si="34"/>
        <v>14335953</v>
      </c>
      <c r="BT185" s="10">
        <f t="shared" ca="1" si="34"/>
        <v>-1528671.4764966806</v>
      </c>
      <c r="BU185" s="10">
        <f t="shared" si="34"/>
        <v>0</v>
      </c>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row>
    <row r="186" spans="1:122" s="21" customFormat="1">
      <c r="A186" s="58"/>
      <c r="B186" s="31"/>
      <c r="J186" s="8"/>
      <c r="L186" s="143"/>
      <c r="M186" s="9"/>
      <c r="N186" s="10"/>
      <c r="O186" s="9"/>
      <c r="P186" s="10"/>
      <c r="Q186" s="9"/>
      <c r="R186" s="10"/>
      <c r="S186" s="9"/>
      <c r="T186" s="10"/>
      <c r="U186" s="9"/>
      <c r="V186" s="10"/>
      <c r="W186" s="9"/>
      <c r="X186" s="10"/>
      <c r="Y186" s="9"/>
      <c r="Z186" s="10"/>
      <c r="AA186" s="9"/>
      <c r="AB186" s="10"/>
      <c r="AC186" s="9"/>
      <c r="AD186" s="10"/>
      <c r="AE186" s="9"/>
      <c r="AF186" s="10"/>
      <c r="AG186" s="9"/>
      <c r="AH186" s="10"/>
      <c r="AI186" s="9"/>
      <c r="AJ186" s="10"/>
      <c r="AK186" s="9"/>
      <c r="AL186" s="10"/>
      <c r="AM186" s="9"/>
      <c r="AN186" s="10"/>
      <c r="AO186" s="9"/>
      <c r="AP186" s="10"/>
      <c r="AQ186" s="9"/>
      <c r="AR186" s="10"/>
      <c r="AS186" s="9"/>
      <c r="AT186" s="10"/>
      <c r="AU186" s="10"/>
      <c r="AV186" s="10"/>
      <c r="AW186" s="10"/>
      <c r="AX186" s="10"/>
      <c r="AY186" s="10"/>
      <c r="AZ186" s="10"/>
      <c r="BA186" s="10"/>
      <c r="BB186" s="10"/>
      <c r="BC186" s="10"/>
      <c r="BD186" s="10"/>
      <c r="BE186" s="10"/>
      <c r="BF186" s="10"/>
      <c r="BG186" s="10"/>
      <c r="BH186" s="10"/>
      <c r="BI186" s="10"/>
      <c r="BJ186" s="10"/>
      <c r="BK186" s="9"/>
      <c r="BL186" s="10"/>
      <c r="BM186" s="9"/>
      <c r="BN186" s="10"/>
      <c r="BO186" s="9"/>
      <c r="BP186" s="10"/>
      <c r="BQ186" s="9"/>
      <c r="BR186" s="10"/>
      <c r="BS186" s="9"/>
      <c r="BT186" s="10"/>
      <c r="BU186" s="9"/>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row>
    <row r="187" spans="1:122">
      <c r="C187"/>
      <c r="D187"/>
      <c r="E187"/>
      <c r="F187"/>
      <c r="G187"/>
      <c r="H187"/>
      <c r="I187"/>
      <c r="J187" s="49"/>
      <c r="K187"/>
      <c r="L187" s="134"/>
      <c r="M187" s="6"/>
      <c r="O187" s="6"/>
      <c r="Q187" s="6"/>
      <c r="S187" s="6"/>
      <c r="T187" s="6"/>
      <c r="U187" s="6"/>
      <c r="V187" s="6"/>
      <c r="X187" s="6"/>
      <c r="Z187" s="6"/>
      <c r="AB187" s="6"/>
      <c r="AD187" s="6"/>
      <c r="BJ187" s="6"/>
      <c r="BK187" s="6"/>
      <c r="BM187" s="6"/>
      <c r="BN187" s="6"/>
      <c r="BO187" s="6"/>
      <c r="BU187" s="6"/>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row>
    <row r="188" spans="1:122" ht="15.75">
      <c r="A188" s="131" t="s">
        <v>199</v>
      </c>
      <c r="B188" s="132"/>
      <c r="C188" s="119"/>
      <c r="D188" s="119"/>
      <c r="E188" s="119"/>
      <c r="F188" s="119"/>
      <c r="G188" s="119"/>
      <c r="H188" s="119"/>
      <c r="I188" s="119"/>
      <c r="J188" s="161"/>
      <c r="K188" s="119"/>
      <c r="L188" s="148"/>
      <c r="M188" s="133"/>
      <c r="N188" s="133"/>
      <c r="O188" s="133"/>
      <c r="P188" s="133"/>
      <c r="Q188" s="133"/>
      <c r="R188" s="133"/>
      <c r="S188" s="133"/>
      <c r="T188" s="133"/>
      <c r="U188" s="133"/>
      <c r="V188" s="133"/>
      <c r="W188" s="133"/>
      <c r="X188" s="133"/>
      <c r="Y188" s="133"/>
      <c r="Z188" s="133"/>
      <c r="AA188" s="133"/>
      <c r="AB188" s="133"/>
      <c r="AC188" s="133"/>
      <c r="AD188" s="133"/>
      <c r="AE188" s="133"/>
      <c r="AF188" s="133"/>
      <c r="AG188" s="133"/>
      <c r="AH188" s="133"/>
      <c r="AI188" s="133"/>
      <c r="AJ188" s="133"/>
      <c r="AK188" s="133"/>
      <c r="AL188" s="133"/>
      <c r="AM188" s="133"/>
      <c r="AN188" s="133"/>
      <c r="AO188" s="133"/>
      <c r="AP188" s="133"/>
      <c r="AQ188" s="133"/>
      <c r="AR188" s="133"/>
      <c r="AS188" s="133"/>
      <c r="AT188" s="133"/>
      <c r="AU188" s="133"/>
      <c r="AV188" s="133"/>
      <c r="AW188" s="133"/>
      <c r="AX188" s="133"/>
      <c r="AY188" s="133"/>
      <c r="AZ188" s="133"/>
      <c r="BA188" s="133"/>
      <c r="BB188" s="133"/>
      <c r="BC188" s="133"/>
      <c r="BD188" s="133"/>
      <c r="BE188" s="133"/>
      <c r="BF188" s="133"/>
      <c r="BG188" s="133"/>
      <c r="BH188" s="133"/>
      <c r="BI188" s="133"/>
      <c r="BJ188" s="133"/>
      <c r="BK188" s="133"/>
      <c r="BL188" s="133"/>
      <c r="BM188" s="133"/>
      <c r="BN188" s="133"/>
      <c r="BO188" s="133"/>
      <c r="BP188" s="133"/>
      <c r="BQ188" s="133"/>
      <c r="BR188" s="13"/>
      <c r="BS188" s="133"/>
      <c r="BT188" s="133"/>
      <c r="BU188" s="133"/>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row>
    <row r="189" spans="1:122">
      <c r="A189" s="21" t="s">
        <v>198</v>
      </c>
      <c r="C189"/>
      <c r="D189"/>
      <c r="E189"/>
      <c r="F189"/>
      <c r="G189"/>
      <c r="H189"/>
      <c r="I189"/>
      <c r="J189" s="49"/>
      <c r="K189"/>
      <c r="L189" s="134" t="s">
        <v>203</v>
      </c>
      <c r="M189" s="6"/>
      <c r="N189" s="6">
        <v>0</v>
      </c>
      <c r="O189" s="6"/>
      <c r="P189" s="6">
        <v>220000</v>
      </c>
      <c r="Q189" s="6"/>
      <c r="R189" s="9">
        <v>0</v>
      </c>
      <c r="S189" s="6"/>
      <c r="T189" s="22"/>
      <c r="U189" s="6"/>
      <c r="V189" s="22"/>
      <c r="X189" s="22">
        <v>15000</v>
      </c>
      <c r="Z189" s="22">
        <v>0</v>
      </c>
      <c r="AB189" s="22"/>
      <c r="AD189" s="22"/>
      <c r="AF189" s="22"/>
      <c r="AH189" s="22"/>
      <c r="AJ189" s="22"/>
      <c r="AL189" s="22"/>
      <c r="AN189" s="22"/>
      <c r="AP189" s="22"/>
      <c r="AR189" s="22"/>
      <c r="AT189" s="22"/>
      <c r="AU189" s="22"/>
      <c r="AV189" s="22"/>
      <c r="AW189" s="22"/>
      <c r="AX189" s="22"/>
      <c r="AY189" s="22"/>
      <c r="AZ189" s="22"/>
      <c r="BA189" s="22"/>
      <c r="BB189" s="22"/>
      <c r="BC189" s="22"/>
      <c r="BD189" s="22"/>
      <c r="BE189" s="22"/>
      <c r="BF189" s="22"/>
      <c r="BG189" s="22"/>
      <c r="BH189" s="22"/>
      <c r="BI189" s="22"/>
      <c r="BJ189" s="22"/>
      <c r="BK189" s="6"/>
      <c r="BL189" s="9">
        <f>SUM(T189:BK189)</f>
        <v>15000</v>
      </c>
      <c r="BM189" s="6"/>
      <c r="BN189" s="22"/>
      <c r="BO189" s="6"/>
      <c r="BP189" s="9">
        <v>0</v>
      </c>
      <c r="BR189" s="9">
        <f>+BP189+BL189</f>
        <v>15000</v>
      </c>
      <c r="BT189" s="9">
        <v>0</v>
      </c>
      <c r="BU189" s="6"/>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row>
    <row r="190" spans="1:122">
      <c r="A190" s="56" t="s">
        <v>32</v>
      </c>
      <c r="C190"/>
      <c r="D190"/>
      <c r="E190"/>
      <c r="F190"/>
      <c r="G190"/>
      <c r="H190"/>
      <c r="I190"/>
      <c r="J190" s="49"/>
      <c r="K190"/>
      <c r="L190" s="134" t="s">
        <v>203</v>
      </c>
      <c r="M190" s="6"/>
      <c r="N190" s="6">
        <v>0</v>
      </c>
      <c r="O190" s="6"/>
      <c r="P190" s="6">
        <v>30000</v>
      </c>
      <c r="Q190" s="6"/>
      <c r="R190" s="9">
        <v>0</v>
      </c>
      <c r="S190" s="6"/>
      <c r="T190" s="22"/>
      <c r="U190" s="6"/>
      <c r="V190" s="22"/>
      <c r="X190" s="22">
        <v>0</v>
      </c>
      <c r="Z190" s="22"/>
      <c r="AB190" s="22"/>
      <c r="AD190" s="22"/>
      <c r="AF190" s="22"/>
      <c r="AH190" s="22"/>
      <c r="AJ190" s="22"/>
      <c r="AL190" s="22"/>
      <c r="AN190" s="22"/>
      <c r="AP190" s="22"/>
      <c r="AR190" s="22"/>
      <c r="AT190" s="22"/>
      <c r="AU190" s="22"/>
      <c r="AV190" s="22"/>
      <c r="AW190" s="22"/>
      <c r="AX190" s="22"/>
      <c r="AY190" s="22"/>
      <c r="AZ190" s="22"/>
      <c r="BA190" s="22"/>
      <c r="BB190" s="22"/>
      <c r="BC190" s="22"/>
      <c r="BD190" s="22"/>
      <c r="BE190" s="22"/>
      <c r="BF190" s="22"/>
      <c r="BG190" s="22"/>
      <c r="BH190" s="22"/>
      <c r="BI190" s="22"/>
      <c r="BJ190" s="22"/>
      <c r="BK190" s="6"/>
      <c r="BL190" s="9">
        <f>SUM(T190:BK190)</f>
        <v>0</v>
      </c>
      <c r="BM190" s="6"/>
      <c r="BN190" s="22"/>
      <c r="BO190" s="6"/>
      <c r="BP190" s="9">
        <v>0</v>
      </c>
      <c r="BR190" s="9">
        <f>+BP190+BL190</f>
        <v>0</v>
      </c>
      <c r="BT190" s="9">
        <f>+R190-BR190</f>
        <v>0</v>
      </c>
      <c r="BU190" s="6"/>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row>
    <row r="191" spans="1:122">
      <c r="A191" s="56" t="s">
        <v>28</v>
      </c>
      <c r="C191"/>
      <c r="D191"/>
      <c r="E191"/>
      <c r="F191"/>
      <c r="G191"/>
      <c r="H191"/>
      <c r="I191"/>
      <c r="J191" s="49"/>
      <c r="K191"/>
      <c r="L191" s="134" t="s">
        <v>203</v>
      </c>
      <c r="M191" s="6"/>
      <c r="N191" s="6">
        <v>0</v>
      </c>
      <c r="O191" s="6"/>
      <c r="P191" s="6">
        <v>35000</v>
      </c>
      <c r="Q191" s="6"/>
      <c r="R191" s="9">
        <v>0</v>
      </c>
      <c r="S191" s="6"/>
      <c r="T191" s="22"/>
      <c r="U191" s="6"/>
      <c r="V191" s="22"/>
      <c r="X191" s="22">
        <v>0</v>
      </c>
      <c r="Z191" s="22">
        <v>100</v>
      </c>
      <c r="AB191" s="22"/>
      <c r="AD191" s="22"/>
      <c r="AF191" s="22"/>
      <c r="AH191" s="22"/>
      <c r="AJ191" s="22"/>
      <c r="AL191" s="22"/>
      <c r="AN191" s="22"/>
      <c r="AP191" s="22"/>
      <c r="AR191" s="22"/>
      <c r="AT191" s="22"/>
      <c r="AU191" s="22"/>
      <c r="AV191" s="22"/>
      <c r="AW191" s="22"/>
      <c r="AX191" s="22"/>
      <c r="AY191" s="22"/>
      <c r="AZ191" s="22"/>
      <c r="BA191" s="22"/>
      <c r="BB191" s="22"/>
      <c r="BC191" s="22"/>
      <c r="BD191" s="22"/>
      <c r="BE191" s="22"/>
      <c r="BF191" s="22"/>
      <c r="BG191" s="22"/>
      <c r="BH191" s="22"/>
      <c r="BI191" s="22"/>
      <c r="BJ191" s="22"/>
      <c r="BK191" s="6"/>
      <c r="BL191" s="9">
        <f>SUM(T191:BK191)</f>
        <v>100</v>
      </c>
      <c r="BM191" s="6"/>
      <c r="BN191" s="22"/>
      <c r="BO191" s="6"/>
      <c r="BP191" s="9">
        <v>0</v>
      </c>
      <c r="BR191" s="9">
        <f>+BP191+BL191</f>
        <v>100</v>
      </c>
      <c r="BT191" s="9">
        <v>0</v>
      </c>
      <c r="BU191" s="6"/>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row>
    <row r="192" spans="1:122">
      <c r="A192" s="56" t="s">
        <v>33</v>
      </c>
      <c r="C192"/>
      <c r="D192"/>
      <c r="E192"/>
      <c r="F192"/>
      <c r="G192"/>
      <c r="H192"/>
      <c r="I192"/>
      <c r="J192" s="49"/>
      <c r="K192"/>
      <c r="L192" s="134" t="s">
        <v>203</v>
      </c>
      <c r="M192" s="6"/>
      <c r="N192" s="6">
        <v>0</v>
      </c>
      <c r="O192" s="6"/>
      <c r="P192" s="6">
        <v>20000</v>
      </c>
      <c r="Q192" s="6"/>
      <c r="R192" s="9">
        <v>0</v>
      </c>
      <c r="S192" s="6"/>
      <c r="T192" s="22"/>
      <c r="U192" s="6"/>
      <c r="V192" s="22"/>
      <c r="X192" s="22"/>
      <c r="Z192" s="22"/>
      <c r="AB192" s="22"/>
      <c r="AD192" s="22"/>
      <c r="AF192" s="22"/>
      <c r="AH192" s="22"/>
      <c r="AJ192" s="22"/>
      <c r="AL192" s="22"/>
      <c r="AN192" s="22"/>
      <c r="AP192" s="22"/>
      <c r="AR192" s="22"/>
      <c r="AT192" s="22"/>
      <c r="AU192" s="22"/>
      <c r="AV192" s="22"/>
      <c r="AW192" s="22"/>
      <c r="AX192" s="22"/>
      <c r="AY192" s="22"/>
      <c r="AZ192" s="22"/>
      <c r="BA192" s="22"/>
      <c r="BB192" s="22"/>
      <c r="BC192" s="22"/>
      <c r="BD192" s="22"/>
      <c r="BE192" s="22"/>
      <c r="BF192" s="22"/>
      <c r="BG192" s="22"/>
      <c r="BH192" s="22"/>
      <c r="BI192" s="22"/>
      <c r="BJ192" s="22"/>
      <c r="BK192" s="6"/>
      <c r="BL192" s="9">
        <f>SUM(T192:BK192)</f>
        <v>0</v>
      </c>
      <c r="BM192" s="6"/>
      <c r="BN192" s="22"/>
      <c r="BO192" s="6"/>
      <c r="BP192" s="9">
        <v>0</v>
      </c>
      <c r="BR192" s="9">
        <f>+BP192+BL192</f>
        <v>0</v>
      </c>
      <c r="BT192" s="9">
        <f>+R192-BR192</f>
        <v>0</v>
      </c>
      <c r="BU192" s="6"/>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row>
    <row r="193" spans="1:122" customFormat="1">
      <c r="A193" s="56" t="s">
        <v>35</v>
      </c>
      <c r="B193" s="4"/>
      <c r="R193">
        <v>0</v>
      </c>
    </row>
    <row r="194" spans="1:122" s="105" customFormat="1" ht="13.5" thickBot="1">
      <c r="A194" s="128" t="s">
        <v>265</v>
      </c>
      <c r="B194" s="54"/>
      <c r="J194" s="158"/>
      <c r="L194" s="144"/>
      <c r="M194" s="13"/>
      <c r="N194" s="121">
        <f>SUM(N189:N193)</f>
        <v>0</v>
      </c>
      <c r="O194" s="13"/>
      <c r="P194" s="121">
        <f>SUM(P189:P193)</f>
        <v>305000</v>
      </c>
      <c r="Q194" s="13"/>
      <c r="R194" s="121">
        <f>SUM(R189:R193)</f>
        <v>0</v>
      </c>
      <c r="S194" s="13"/>
      <c r="T194" s="121">
        <f>SUM(T189:T193)</f>
        <v>0</v>
      </c>
      <c r="U194" s="120"/>
      <c r="V194" s="121">
        <f>SUM(V189:V193)</f>
        <v>0</v>
      </c>
      <c r="W194" s="120"/>
      <c r="X194" s="121">
        <f>SUM(X189:X193)</f>
        <v>15000</v>
      </c>
      <c r="Y194" s="120"/>
      <c r="Z194" s="121">
        <f>SUM(Z189:Z193)</f>
        <v>100</v>
      </c>
      <c r="AA194" s="121">
        <f>SUM(AA189:AA193)</f>
        <v>0</v>
      </c>
      <c r="AB194" s="121">
        <f>SUM(AB189:AB193)</f>
        <v>0</v>
      </c>
      <c r="AC194" s="121">
        <f>SUM(AC189:AC193)</f>
        <v>0</v>
      </c>
      <c r="AD194" s="121">
        <f>SUM(AD189:AD193)</f>
        <v>0</v>
      </c>
      <c r="AE194" s="120"/>
      <c r="AF194" s="121"/>
      <c r="AG194" s="120"/>
      <c r="AH194" s="121"/>
      <c r="AI194" s="120"/>
      <c r="AJ194" s="121"/>
      <c r="AK194" s="120"/>
      <c r="AL194" s="121"/>
      <c r="AM194" s="120"/>
      <c r="AN194" s="121"/>
      <c r="AO194" s="120"/>
      <c r="AP194" s="121"/>
      <c r="AQ194" s="120"/>
      <c r="AR194" s="121"/>
      <c r="AS194" s="120"/>
      <c r="AT194" s="121"/>
      <c r="AU194" s="120"/>
      <c r="AV194" s="121"/>
      <c r="AW194" s="120"/>
      <c r="AX194" s="121"/>
      <c r="AY194" s="120"/>
      <c r="AZ194" s="121"/>
      <c r="BA194" s="120"/>
      <c r="BB194" s="121"/>
      <c r="BC194" s="120"/>
      <c r="BD194" s="121"/>
      <c r="BE194" s="120"/>
      <c r="BF194" s="121"/>
      <c r="BG194" s="120"/>
      <c r="BH194" s="121"/>
      <c r="BI194" s="120"/>
      <c r="BJ194" s="121"/>
      <c r="BK194" s="13"/>
      <c r="BL194" s="121">
        <f>SUM(T194:BK194)</f>
        <v>15100</v>
      </c>
      <c r="BM194" s="13"/>
      <c r="BN194" s="121"/>
      <c r="BO194" s="13"/>
      <c r="BP194" s="121">
        <f>SUM(BP188:BP193)</f>
        <v>0</v>
      </c>
      <c r="BQ194" s="13"/>
      <c r="BR194" s="121">
        <f>+BP194+BL194</f>
        <v>15100</v>
      </c>
      <c r="BS194" s="13"/>
      <c r="BT194" s="121">
        <f>SUM(BT189:BT193)</f>
        <v>0</v>
      </c>
      <c r="BU194" s="120"/>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row>
    <row r="195" spans="1:122" ht="13.5" thickTop="1">
      <c r="C195"/>
      <c r="D195"/>
      <c r="E195"/>
      <c r="F195"/>
      <c r="G195"/>
      <c r="H195"/>
      <c r="I195"/>
      <c r="J195" s="49"/>
      <c r="K195"/>
      <c r="L195" s="134"/>
      <c r="M195" s="6"/>
      <c r="O195" s="6"/>
      <c r="Q195" s="6"/>
      <c r="S195" s="6"/>
      <c r="T195" s="22"/>
      <c r="U195" s="6"/>
      <c r="V195" s="22"/>
      <c r="X195" s="22"/>
      <c r="Z195" s="22"/>
      <c r="AB195" s="22"/>
      <c r="AD195" s="22"/>
      <c r="AF195" s="22"/>
      <c r="AH195" s="22"/>
      <c r="AJ195" s="22"/>
      <c r="AL195" s="22"/>
      <c r="AN195" s="22"/>
      <c r="AP195" s="22"/>
      <c r="AR195" s="22"/>
      <c r="AT195" s="22"/>
      <c r="AU195" s="22"/>
      <c r="AV195" s="22"/>
      <c r="AW195" s="22"/>
      <c r="AX195" s="22"/>
      <c r="AY195" s="22"/>
      <c r="AZ195" s="22"/>
      <c r="BA195" s="22"/>
      <c r="BB195" s="22"/>
      <c r="BC195" s="22"/>
      <c r="BD195" s="22"/>
      <c r="BE195" s="22"/>
      <c r="BF195" s="22"/>
      <c r="BG195" s="22"/>
      <c r="BH195" s="22"/>
      <c r="BI195" s="22"/>
      <c r="BJ195" s="22"/>
      <c r="BK195" s="6"/>
      <c r="BL195" s="22"/>
      <c r="BM195" s="6"/>
      <c r="BN195" s="22"/>
      <c r="BO195" s="6"/>
      <c r="BR195" s="58"/>
      <c r="BU195" s="6"/>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row>
    <row r="196" spans="1:122">
      <c r="C196"/>
      <c r="D196"/>
      <c r="E196"/>
      <c r="F196"/>
      <c r="G196"/>
      <c r="H196"/>
      <c r="I196"/>
      <c r="J196" s="49"/>
      <c r="K196"/>
      <c r="L196" s="134"/>
      <c r="M196" s="6"/>
      <c r="O196" s="6"/>
      <c r="Q196" s="6"/>
      <c r="S196" s="6"/>
      <c r="T196" s="22"/>
      <c r="U196" s="6"/>
      <c r="V196" s="22"/>
      <c r="X196" s="22"/>
      <c r="Z196" s="22"/>
      <c r="AB196" s="22"/>
      <c r="AD196" s="22"/>
      <c r="AF196" s="22"/>
      <c r="AH196" s="22"/>
      <c r="AJ196" s="22"/>
      <c r="AL196" s="22"/>
      <c r="AN196" s="22"/>
      <c r="AP196" s="22"/>
      <c r="AR196" s="22"/>
      <c r="AT196" s="22"/>
      <c r="AU196" s="22"/>
      <c r="AV196" s="22"/>
      <c r="AW196" s="22"/>
      <c r="AX196" s="22"/>
      <c r="AY196" s="22"/>
      <c r="AZ196" s="22"/>
      <c r="BA196" s="22"/>
      <c r="BB196" s="22"/>
      <c r="BC196" s="22"/>
      <c r="BD196" s="22"/>
      <c r="BE196" s="22"/>
      <c r="BF196" s="22"/>
      <c r="BG196" s="22"/>
      <c r="BH196" s="22"/>
      <c r="BI196" s="22"/>
      <c r="BJ196" s="22"/>
      <c r="BK196" s="6"/>
      <c r="BL196" s="22"/>
      <c r="BM196" s="6"/>
      <c r="BN196" s="22"/>
      <c r="BO196" s="6"/>
      <c r="BR196" s="9"/>
      <c r="BU196" s="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row>
    <row r="197" spans="1:122">
      <c r="C197"/>
      <c r="D197"/>
      <c r="E197"/>
      <c r="F197"/>
      <c r="G197"/>
      <c r="H197"/>
      <c r="I197"/>
      <c r="J197" s="49"/>
      <c r="K197"/>
      <c r="L197" s="134"/>
      <c r="M197" s="6"/>
      <c r="O197" s="6"/>
      <c r="Q197" s="6"/>
      <c r="S197" s="6"/>
      <c r="T197" s="22"/>
      <c r="U197" s="6"/>
      <c r="V197" s="22"/>
      <c r="X197" s="22"/>
      <c r="Z197" s="22"/>
      <c r="AB197" s="22"/>
      <c r="AD197" s="22"/>
      <c r="AF197" s="22"/>
      <c r="AH197" s="22"/>
      <c r="AJ197" s="22"/>
      <c r="AL197" s="22"/>
      <c r="AN197" s="22"/>
      <c r="AP197" s="22"/>
      <c r="AR197" s="22"/>
      <c r="AT197" s="22"/>
      <c r="AU197" s="22"/>
      <c r="AV197" s="22"/>
      <c r="AW197" s="22"/>
      <c r="AX197" s="22"/>
      <c r="AY197" s="22"/>
      <c r="AZ197" s="22"/>
      <c r="BA197" s="22"/>
      <c r="BB197" s="22"/>
      <c r="BC197" s="22"/>
      <c r="BD197" s="22"/>
      <c r="BE197" s="22"/>
      <c r="BF197" s="22"/>
      <c r="BG197" s="22"/>
      <c r="BH197" s="22"/>
      <c r="BI197" s="22"/>
      <c r="BJ197" s="22"/>
      <c r="BK197" s="6"/>
      <c r="BL197" s="22"/>
      <c r="BM197" s="6"/>
      <c r="BN197" s="22"/>
      <c r="BO197" s="6"/>
      <c r="BR197" s="22"/>
      <c r="BU197" s="6"/>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row>
    <row r="198" spans="1:122" s="132" customFormat="1" ht="16.5" thickBot="1">
      <c r="A198" s="131" t="s">
        <v>266</v>
      </c>
      <c r="C198" s="119"/>
      <c r="D198" s="119"/>
      <c r="E198" s="119"/>
      <c r="F198" s="119"/>
      <c r="G198" s="119"/>
      <c r="H198" s="119"/>
      <c r="I198" s="119"/>
      <c r="J198" s="161"/>
      <c r="K198" s="119"/>
      <c r="L198" s="148"/>
      <c r="M198" s="133"/>
      <c r="N198" s="121" t="e">
        <f>#REF!+N194</f>
        <v>#REF!</v>
      </c>
      <c r="O198" s="121"/>
      <c r="P198" s="121" t="e">
        <f>#REF!+P194</f>
        <v>#REF!</v>
      </c>
      <c r="Q198" s="121"/>
      <c r="R198" s="121">
        <f t="shared" ref="R198:AW198" si="35">R176+R194</f>
        <v>158451248.09999999</v>
      </c>
      <c r="S198" s="121">
        <f t="shared" si="35"/>
        <v>0</v>
      </c>
      <c r="T198" s="121">
        <f t="shared" si="35"/>
        <v>17087218</v>
      </c>
      <c r="U198" s="121">
        <f t="shared" si="35"/>
        <v>0</v>
      </c>
      <c r="V198" s="121">
        <f t="shared" si="35"/>
        <v>43642668.530000001</v>
      </c>
      <c r="W198" s="121">
        <f t="shared" si="35"/>
        <v>0</v>
      </c>
      <c r="X198" s="121">
        <f t="shared" si="35"/>
        <v>4711471.93</v>
      </c>
      <c r="Y198" s="121">
        <f t="shared" si="35"/>
        <v>0</v>
      </c>
      <c r="Z198" s="121">
        <f t="shared" si="35"/>
        <v>440829.95</v>
      </c>
      <c r="AA198" s="121">
        <f t="shared" si="35"/>
        <v>0</v>
      </c>
      <c r="AB198" s="121">
        <f t="shared" si="35"/>
        <v>4762739.43</v>
      </c>
      <c r="AC198" s="121">
        <f t="shared" si="35"/>
        <v>0</v>
      </c>
      <c r="AD198" s="121">
        <f t="shared" si="35"/>
        <v>9142692.6799999997</v>
      </c>
      <c r="AE198" s="121">
        <f t="shared" si="35"/>
        <v>0</v>
      </c>
      <c r="AF198" s="121">
        <f t="shared" ca="1" si="35"/>
        <v>573248.10862083337</v>
      </c>
      <c r="AG198" s="121">
        <f t="shared" si="35"/>
        <v>0</v>
      </c>
      <c r="AH198" s="121">
        <f t="shared" ca="1" si="35"/>
        <v>1116780.7521383627</v>
      </c>
      <c r="AI198" s="121">
        <f t="shared" si="35"/>
        <v>0</v>
      </c>
      <c r="AJ198" s="121">
        <f t="shared" ca="1" si="35"/>
        <v>1496281.3264166121</v>
      </c>
      <c r="AK198" s="121">
        <f t="shared" si="35"/>
        <v>0</v>
      </c>
      <c r="AL198" s="121">
        <f t="shared" ca="1" si="35"/>
        <v>1780115.93</v>
      </c>
      <c r="AM198" s="121">
        <f t="shared" si="35"/>
        <v>0</v>
      </c>
      <c r="AN198" s="121">
        <f t="shared" ca="1" si="35"/>
        <v>1566383.0055069246</v>
      </c>
      <c r="AO198" s="121">
        <f t="shared" si="35"/>
        <v>0</v>
      </c>
      <c r="AP198" s="121">
        <f t="shared" ca="1" si="35"/>
        <v>5481999.3709659204</v>
      </c>
      <c r="AQ198" s="121">
        <f t="shared" si="35"/>
        <v>0</v>
      </c>
      <c r="AR198" s="121">
        <f t="shared" ca="1" si="35"/>
        <v>4677967.54</v>
      </c>
      <c r="AS198" s="121">
        <f t="shared" si="35"/>
        <v>0</v>
      </c>
      <c r="AT198" s="121">
        <f t="shared" ca="1" si="35"/>
        <v>8750380.3051100411</v>
      </c>
      <c r="AU198" s="121">
        <f t="shared" si="35"/>
        <v>0</v>
      </c>
      <c r="AV198" s="121">
        <f t="shared" ca="1" si="35"/>
        <v>9706071.6582599431</v>
      </c>
      <c r="AW198" s="121">
        <f t="shared" si="35"/>
        <v>0</v>
      </c>
      <c r="AX198" s="121">
        <f t="shared" ref="AX198:BT198" ca="1" si="36">AX176+AX194</f>
        <v>9777060.1201588511</v>
      </c>
      <c r="AY198" s="121">
        <f t="shared" si="36"/>
        <v>0</v>
      </c>
      <c r="AZ198" s="121">
        <f t="shared" si="36"/>
        <v>7186686.0700000003</v>
      </c>
      <c r="BA198" s="121">
        <f t="shared" si="36"/>
        <v>0</v>
      </c>
      <c r="BB198" s="121">
        <f t="shared" si="36"/>
        <v>0</v>
      </c>
      <c r="BC198" s="121">
        <f t="shared" si="36"/>
        <v>0</v>
      </c>
      <c r="BD198" s="121">
        <f t="shared" si="36"/>
        <v>0</v>
      </c>
      <c r="BE198" s="121">
        <f t="shared" si="36"/>
        <v>0</v>
      </c>
      <c r="BF198" s="121">
        <f t="shared" si="36"/>
        <v>0</v>
      </c>
      <c r="BG198" s="121">
        <f t="shared" si="36"/>
        <v>0</v>
      </c>
      <c r="BH198" s="121">
        <f t="shared" si="36"/>
        <v>0</v>
      </c>
      <c r="BI198" s="121">
        <f t="shared" si="36"/>
        <v>0</v>
      </c>
      <c r="BJ198" s="121">
        <f t="shared" si="36"/>
        <v>0</v>
      </c>
      <c r="BK198" s="121">
        <f t="shared" si="36"/>
        <v>0</v>
      </c>
      <c r="BL198" s="121">
        <f t="shared" ca="1" si="36"/>
        <v>131900594.70717752</v>
      </c>
      <c r="BM198" s="121">
        <f t="shared" si="36"/>
        <v>3202104</v>
      </c>
      <c r="BN198" s="121">
        <f t="shared" ca="1" si="36"/>
        <v>4039792.8564966805</v>
      </c>
      <c r="BO198" s="121">
        <f t="shared" si="36"/>
        <v>4673615</v>
      </c>
      <c r="BP198" s="121">
        <f t="shared" ca="1" si="36"/>
        <v>27150559.869319182</v>
      </c>
      <c r="BQ198" s="121">
        <f t="shared" si="36"/>
        <v>7699097</v>
      </c>
      <c r="BR198" s="121">
        <f t="shared" ca="1" si="36"/>
        <v>159995019.57649666</v>
      </c>
      <c r="BS198" s="121">
        <f t="shared" si="36"/>
        <v>14335953</v>
      </c>
      <c r="BT198" s="121">
        <f t="shared" ca="1" si="36"/>
        <v>-1528671.4764966806</v>
      </c>
      <c r="BU198" s="133"/>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row>
    <row r="199" spans="1:122" ht="13.5" thickTop="1">
      <c r="C199"/>
      <c r="D199"/>
      <c r="E199"/>
      <c r="F199"/>
      <c r="G199"/>
      <c r="H199"/>
      <c r="I199"/>
      <c r="J199" s="49"/>
      <c r="K199"/>
      <c r="L199" s="134"/>
      <c r="M199" s="6"/>
      <c r="O199" s="6"/>
      <c r="Q199" s="6"/>
      <c r="S199" s="6"/>
      <c r="T199" s="22"/>
      <c r="U199" s="6"/>
      <c r="V199" s="22"/>
      <c r="X199" s="22"/>
      <c r="Z199" s="22"/>
      <c r="AB199" s="22"/>
      <c r="AD199" s="22"/>
      <c r="AF199" s="22"/>
      <c r="AH199" s="22"/>
      <c r="AJ199" s="22"/>
      <c r="AL199" s="22"/>
      <c r="AN199" s="22"/>
      <c r="AP199" s="22"/>
      <c r="AR199" s="22"/>
      <c r="AT199" s="22"/>
      <c r="AU199" s="22"/>
      <c r="AV199" s="22"/>
      <c r="AW199" s="22"/>
      <c r="AX199" s="22"/>
      <c r="AY199" s="22"/>
      <c r="AZ199" s="22"/>
      <c r="BA199" s="22"/>
      <c r="BB199" s="22"/>
      <c r="BC199" s="22"/>
      <c r="BD199" s="22"/>
      <c r="BE199" s="22"/>
      <c r="BF199" s="22"/>
      <c r="BG199" s="22"/>
      <c r="BH199" s="22"/>
      <c r="BI199" s="22"/>
      <c r="BJ199" s="22"/>
      <c r="BK199" s="6"/>
      <c r="BL199" s="22"/>
      <c r="BM199" s="6"/>
      <c r="BN199" s="22"/>
      <c r="BO199" s="6"/>
      <c r="BU199" s="6"/>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row>
    <row r="200" spans="1:122" s="132" customFormat="1" ht="16.5" thickBot="1">
      <c r="A200" s="131" t="s">
        <v>270</v>
      </c>
      <c r="C200" s="119"/>
      <c r="D200" s="119"/>
      <c r="E200" s="119"/>
      <c r="F200" s="119"/>
      <c r="G200" s="119"/>
      <c r="H200" s="119"/>
      <c r="I200" s="119"/>
      <c r="J200" s="161"/>
      <c r="K200" s="119"/>
      <c r="L200" s="148"/>
      <c r="M200" s="133"/>
      <c r="N200" s="121" t="e">
        <f>#REF!+N196</f>
        <v>#REF!</v>
      </c>
      <c r="O200" s="121"/>
      <c r="P200" s="121" t="e">
        <f>#REF!+P196</f>
        <v>#REF!</v>
      </c>
      <c r="Q200" s="121"/>
      <c r="R200" s="121">
        <f>R185+R194</f>
        <v>158390291.09999999</v>
      </c>
      <c r="S200" s="121">
        <f>S185+S194</f>
        <v>0</v>
      </c>
      <c r="T200" s="121">
        <f>T185+T194</f>
        <v>17087218</v>
      </c>
      <c r="U200" s="121">
        <f>U185+U194</f>
        <v>0</v>
      </c>
      <c r="V200" s="121">
        <f>V185+V194</f>
        <v>43642668.530000001</v>
      </c>
      <c r="W200" s="121">
        <f t="shared" ref="W200:BT200" si="37">W185+W194</f>
        <v>0</v>
      </c>
      <c r="X200" s="121">
        <f t="shared" si="37"/>
        <v>4711471.93</v>
      </c>
      <c r="Y200" s="121">
        <f t="shared" si="37"/>
        <v>0</v>
      </c>
      <c r="Z200" s="121">
        <f t="shared" si="37"/>
        <v>419273.55</v>
      </c>
      <c r="AA200" s="121">
        <f t="shared" si="37"/>
        <v>0</v>
      </c>
      <c r="AB200" s="121">
        <f t="shared" si="37"/>
        <v>4762089.34</v>
      </c>
      <c r="AC200" s="121">
        <f t="shared" si="37"/>
        <v>0</v>
      </c>
      <c r="AD200" s="121">
        <f t="shared" si="37"/>
        <v>9103942.6799999997</v>
      </c>
      <c r="AE200" s="121">
        <f t="shared" si="37"/>
        <v>0</v>
      </c>
      <c r="AF200" s="121">
        <f t="shared" ca="1" si="37"/>
        <v>546828.10862083337</v>
      </c>
      <c r="AG200" s="121">
        <f t="shared" si="37"/>
        <v>0</v>
      </c>
      <c r="AH200" s="121">
        <f t="shared" ca="1" si="37"/>
        <v>1092835.7521383627</v>
      </c>
      <c r="AI200" s="121">
        <f t="shared" si="37"/>
        <v>0</v>
      </c>
      <c r="AJ200" s="121">
        <f t="shared" ca="1" si="37"/>
        <v>1496281.3264166121</v>
      </c>
      <c r="AK200" s="121">
        <f t="shared" si="37"/>
        <v>0</v>
      </c>
      <c r="AL200" s="121">
        <f t="shared" ca="1" si="37"/>
        <v>1780115.93</v>
      </c>
      <c r="AM200" s="121">
        <f t="shared" si="37"/>
        <v>0</v>
      </c>
      <c r="AN200" s="121">
        <f t="shared" ca="1" si="37"/>
        <v>1603218.0055069246</v>
      </c>
      <c r="AO200" s="121">
        <f t="shared" si="37"/>
        <v>0</v>
      </c>
      <c r="AP200" s="121">
        <f t="shared" ca="1" si="37"/>
        <v>5445164.3709659204</v>
      </c>
      <c r="AQ200" s="121">
        <f t="shared" si="37"/>
        <v>0</v>
      </c>
      <c r="AR200" s="121">
        <f t="shared" ca="1" si="37"/>
        <v>4677967.54</v>
      </c>
      <c r="AS200" s="121">
        <f t="shared" si="37"/>
        <v>0</v>
      </c>
      <c r="AT200" s="121">
        <f t="shared" ca="1" si="37"/>
        <v>8750380.3051100411</v>
      </c>
      <c r="AU200" s="121">
        <f t="shared" si="37"/>
        <v>0</v>
      </c>
      <c r="AV200" s="121">
        <f t="shared" ca="1" si="37"/>
        <v>9706071.6582599431</v>
      </c>
      <c r="AW200" s="121">
        <f t="shared" si="37"/>
        <v>0</v>
      </c>
      <c r="AX200" s="121">
        <f t="shared" ca="1" si="37"/>
        <v>9777060.1201588511</v>
      </c>
      <c r="AY200" s="121">
        <f t="shared" si="37"/>
        <v>0</v>
      </c>
      <c r="AZ200" s="121">
        <f t="shared" si="37"/>
        <v>7186686.0700000003</v>
      </c>
      <c r="BA200" s="121">
        <f t="shared" si="37"/>
        <v>0</v>
      </c>
      <c r="BB200" s="121">
        <f t="shared" si="37"/>
        <v>0</v>
      </c>
      <c r="BC200" s="121">
        <f t="shared" si="37"/>
        <v>0</v>
      </c>
      <c r="BD200" s="121">
        <f t="shared" si="37"/>
        <v>0</v>
      </c>
      <c r="BE200" s="121">
        <f t="shared" si="37"/>
        <v>0</v>
      </c>
      <c r="BF200" s="121">
        <f t="shared" si="37"/>
        <v>0</v>
      </c>
      <c r="BG200" s="121">
        <f t="shared" si="37"/>
        <v>0</v>
      </c>
      <c r="BH200" s="121">
        <f t="shared" si="37"/>
        <v>0</v>
      </c>
      <c r="BI200" s="121">
        <f t="shared" si="37"/>
        <v>0</v>
      </c>
      <c r="BJ200" s="121">
        <f t="shared" si="37"/>
        <v>0</v>
      </c>
      <c r="BK200" s="121">
        <f t="shared" si="37"/>
        <v>0</v>
      </c>
      <c r="BL200" s="121">
        <f t="shared" ca="1" si="37"/>
        <v>131789273.21717753</v>
      </c>
      <c r="BM200" s="121">
        <f t="shared" si="37"/>
        <v>3202104</v>
      </c>
      <c r="BN200" s="121">
        <f t="shared" ca="1" si="37"/>
        <v>4039792.8564966805</v>
      </c>
      <c r="BO200" s="121">
        <f t="shared" si="37"/>
        <v>4673615</v>
      </c>
      <c r="BP200" s="121">
        <f t="shared" ca="1" si="37"/>
        <v>27150559.35931918</v>
      </c>
      <c r="BQ200" s="121">
        <f t="shared" si="37"/>
        <v>7699097</v>
      </c>
      <c r="BR200" s="121">
        <f t="shared" ca="1" si="37"/>
        <v>159883697.57649666</v>
      </c>
      <c r="BS200" s="121">
        <f t="shared" si="37"/>
        <v>14335953</v>
      </c>
      <c r="BT200" s="121">
        <f t="shared" ca="1" si="37"/>
        <v>-1528671.4764966806</v>
      </c>
      <c r="BU200" s="133"/>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row>
    <row r="201" spans="1:122" customFormat="1" ht="13.5" thickTop="1"/>
    <row r="202" spans="1:122">
      <c r="C202"/>
      <c r="D202"/>
      <c r="E202"/>
      <c r="F202"/>
      <c r="G202"/>
      <c r="H202"/>
      <c r="I202"/>
      <c r="J202" s="49"/>
      <c r="K202"/>
      <c r="L202" s="134"/>
      <c r="M202" s="6"/>
      <c r="O202" s="6"/>
      <c r="Q202" s="6"/>
      <c r="S202" s="6"/>
      <c r="T202" s="22"/>
      <c r="U202" s="6"/>
      <c r="V202" s="22"/>
      <c r="X202" s="22"/>
      <c r="Z202" s="22"/>
      <c r="AB202" s="22"/>
      <c r="AD202" s="22"/>
      <c r="AF202" s="22"/>
      <c r="AH202" s="22"/>
      <c r="AJ202" s="22"/>
      <c r="AL202" s="22"/>
      <c r="AN202" s="22"/>
      <c r="AP202" s="22"/>
      <c r="AR202" s="22"/>
      <c r="AT202" s="22"/>
      <c r="AU202" s="22"/>
      <c r="AV202" s="22"/>
      <c r="AW202" s="22"/>
      <c r="AX202" s="22"/>
      <c r="AY202" s="22"/>
      <c r="AZ202" s="22"/>
      <c r="BA202" s="22"/>
      <c r="BB202" s="22"/>
      <c r="BC202" s="22"/>
      <c r="BD202" s="22"/>
      <c r="BE202" s="22"/>
      <c r="BF202" s="22"/>
      <c r="BG202" s="22"/>
      <c r="BH202" s="22"/>
      <c r="BI202" s="22"/>
      <c r="BJ202" s="22"/>
      <c r="BK202" s="6"/>
      <c r="BL202" s="22"/>
      <c r="BM202" s="6"/>
      <c r="BN202" s="22"/>
      <c r="BO202" s="6"/>
      <c r="BU202" s="6"/>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row>
    <row r="203" spans="1:122">
      <c r="C203"/>
      <c r="D203"/>
      <c r="E203"/>
      <c r="F203"/>
      <c r="G203"/>
      <c r="H203"/>
      <c r="I203"/>
      <c r="J203" s="49"/>
      <c r="K203"/>
      <c r="L203" s="134"/>
      <c r="M203" s="6"/>
      <c r="O203" s="6"/>
      <c r="Q203" s="6"/>
      <c r="S203" s="6"/>
      <c r="T203" s="22"/>
      <c r="U203" s="6"/>
      <c r="V203" s="22"/>
      <c r="X203" s="22"/>
      <c r="Z203" s="22"/>
      <c r="AB203" s="22"/>
      <c r="AD203" s="22"/>
      <c r="AF203" s="22"/>
      <c r="AH203" s="22"/>
      <c r="AJ203" s="22"/>
      <c r="AL203" s="22"/>
      <c r="AN203" s="22"/>
      <c r="AP203" s="22"/>
      <c r="AR203" s="22"/>
      <c r="AT203" s="22"/>
      <c r="AU203" s="22"/>
      <c r="AV203" s="22"/>
      <c r="AW203" s="22"/>
      <c r="AX203" s="22"/>
      <c r="AY203" s="22"/>
      <c r="AZ203" s="22"/>
      <c r="BA203" s="22"/>
      <c r="BB203" s="22"/>
      <c r="BC203" s="22"/>
      <c r="BD203" s="22"/>
      <c r="BE203" s="22"/>
      <c r="BF203" s="22"/>
      <c r="BG203" s="22"/>
      <c r="BH203" s="22"/>
      <c r="BI203" s="22"/>
      <c r="BJ203" s="22"/>
      <c r="BK203" s="6"/>
      <c r="BL203" s="22"/>
      <c r="BM203" s="6"/>
      <c r="BN203" s="22"/>
      <c r="BO203" s="6"/>
      <c r="BU203" s="6"/>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row>
    <row r="204" spans="1:122">
      <c r="K204" s="5"/>
      <c r="L204" s="149"/>
      <c r="M204" s="6"/>
      <c r="O204" s="6"/>
      <c r="Q204" s="6"/>
      <c r="S204" s="6"/>
      <c r="T204" s="22"/>
      <c r="U204" s="6"/>
      <c r="V204" s="22"/>
      <c r="X204" s="22"/>
      <c r="Z204" s="22"/>
      <c r="AB204" s="22"/>
      <c r="AD204" s="22"/>
      <c r="AF204" s="22"/>
      <c r="AH204" s="22"/>
      <c r="AJ204" s="22"/>
      <c r="AL204" s="22"/>
      <c r="AN204" s="22"/>
      <c r="AP204" s="22"/>
      <c r="AR204" s="22"/>
      <c r="AT204" s="22"/>
      <c r="AU204" s="22"/>
      <c r="AV204" s="22"/>
      <c r="AW204" s="22"/>
      <c r="AX204" s="22"/>
      <c r="AY204" s="22"/>
      <c r="AZ204" s="22"/>
      <c r="BA204" s="22"/>
      <c r="BB204" s="22"/>
      <c r="BC204" s="22"/>
      <c r="BD204" s="22"/>
      <c r="BE204" s="22"/>
      <c r="BF204" s="22"/>
      <c r="BG204" s="22"/>
      <c r="BH204" s="22"/>
      <c r="BI204" s="22"/>
      <c r="BJ204" s="22"/>
      <c r="BK204" s="6"/>
      <c r="BL204" s="22"/>
      <c r="BM204" s="6"/>
      <c r="BN204" s="22"/>
      <c r="BO204" s="6"/>
      <c r="BU204" s="6"/>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row>
    <row r="205" spans="1:122">
      <c r="K205" s="5"/>
      <c r="L205" s="149"/>
      <c r="M205" s="6"/>
      <c r="O205" s="6"/>
      <c r="Q205" s="6"/>
      <c r="S205" s="6"/>
      <c r="T205" s="22"/>
      <c r="U205" s="6"/>
      <c r="V205" s="22"/>
      <c r="X205" s="22"/>
      <c r="Z205" s="22"/>
      <c r="AB205" s="22"/>
      <c r="AD205" s="22"/>
      <c r="AF205" s="22"/>
      <c r="AH205" s="22"/>
      <c r="AJ205" s="22"/>
      <c r="AL205" s="22"/>
      <c r="AN205" s="22"/>
      <c r="AP205" s="22"/>
      <c r="AR205" s="22"/>
      <c r="AT205" s="22"/>
      <c r="AU205" s="22"/>
      <c r="AV205" s="22"/>
      <c r="AW205" s="22"/>
      <c r="AX205" s="22"/>
      <c r="AY205" s="22"/>
      <c r="AZ205" s="22"/>
      <c r="BA205" s="22"/>
      <c r="BB205" s="22"/>
      <c r="BC205" s="22"/>
      <c r="BD205" s="22"/>
      <c r="BE205" s="22"/>
      <c r="BF205" s="22"/>
      <c r="BG205" s="22"/>
      <c r="BH205" s="22"/>
      <c r="BI205" s="22"/>
      <c r="BJ205" s="22"/>
      <c r="BK205" s="6"/>
      <c r="BL205" s="22"/>
      <c r="BM205" s="6"/>
      <c r="BN205" s="22"/>
      <c r="BO205" s="6"/>
      <c r="BU205" s="6"/>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row>
    <row r="206" spans="1:122">
      <c r="K206" s="5"/>
      <c r="L206" s="149"/>
      <c r="M206" s="6"/>
      <c r="O206" s="6"/>
      <c r="Q206" s="6"/>
      <c r="S206" s="6"/>
      <c r="T206" s="22"/>
      <c r="U206" s="6"/>
      <c r="V206" s="22"/>
      <c r="X206" s="22"/>
      <c r="Z206" s="22"/>
      <c r="AB206" s="22"/>
      <c r="AD206" s="22"/>
      <c r="AF206" s="22"/>
      <c r="AH206" s="22"/>
      <c r="AJ206" s="22"/>
      <c r="AL206" s="22"/>
      <c r="AN206" s="22"/>
      <c r="AP206" s="22"/>
      <c r="AR206" s="22"/>
      <c r="AT206" s="22"/>
      <c r="AU206" s="22"/>
      <c r="AV206" s="22"/>
      <c r="AW206" s="22"/>
      <c r="AX206" s="22"/>
      <c r="AY206" s="22"/>
      <c r="AZ206" s="22"/>
      <c r="BA206" s="22"/>
      <c r="BB206" s="22"/>
      <c r="BC206" s="22"/>
      <c r="BD206" s="22"/>
      <c r="BE206" s="22"/>
      <c r="BF206" s="22"/>
      <c r="BG206" s="22"/>
      <c r="BH206" s="22"/>
      <c r="BI206" s="22"/>
      <c r="BJ206" s="22"/>
      <c r="BK206" s="6"/>
      <c r="BL206" s="22"/>
      <c r="BM206" s="6"/>
      <c r="BN206" s="22"/>
      <c r="BO206" s="6"/>
      <c r="BU206" s="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row>
    <row r="207" spans="1:122">
      <c r="K207" s="5"/>
      <c r="L207" s="149"/>
      <c r="M207" s="6"/>
      <c r="O207" s="6"/>
      <c r="Q207" s="6"/>
      <c r="S207" s="6"/>
      <c r="T207" s="22"/>
      <c r="U207" s="6"/>
      <c r="V207" s="22"/>
      <c r="X207" s="22"/>
      <c r="Z207" s="22"/>
      <c r="AB207" s="22"/>
      <c r="AD207" s="22"/>
      <c r="AF207" s="22"/>
      <c r="AH207" s="22"/>
      <c r="AJ207" s="22"/>
      <c r="AL207" s="22"/>
      <c r="AN207" s="22"/>
      <c r="AP207" s="22"/>
      <c r="AR207" s="22"/>
      <c r="AT207" s="22"/>
      <c r="AU207" s="22"/>
      <c r="AV207" s="22"/>
      <c r="AW207" s="22"/>
      <c r="AX207" s="22"/>
      <c r="AY207" s="22"/>
      <c r="AZ207" s="22"/>
      <c r="BA207" s="22"/>
      <c r="BB207" s="22"/>
      <c r="BC207" s="22"/>
      <c r="BD207" s="22"/>
      <c r="BE207" s="22"/>
      <c r="BF207" s="22"/>
      <c r="BG207" s="22"/>
      <c r="BH207" s="22"/>
      <c r="BI207" s="22"/>
      <c r="BJ207" s="22"/>
      <c r="BK207" s="6"/>
      <c r="BL207" s="22"/>
      <c r="BM207" s="6"/>
      <c r="BN207" s="22"/>
      <c r="BO207" s="6"/>
      <c r="BU207" s="6"/>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row>
    <row r="208" spans="1:122">
      <c r="K208" s="5"/>
      <c r="L208" s="149"/>
      <c r="M208" s="6"/>
      <c r="O208" s="6"/>
      <c r="Q208" s="6"/>
      <c r="S208" s="6"/>
      <c r="T208" s="22"/>
      <c r="U208" s="6"/>
      <c r="V208" s="22"/>
      <c r="X208" s="22"/>
      <c r="Z208" s="22"/>
      <c r="AB208" s="22"/>
      <c r="AD208" s="22"/>
      <c r="AF208" s="22"/>
      <c r="AH208" s="22"/>
      <c r="AJ208" s="22"/>
      <c r="AL208" s="22"/>
      <c r="AN208" s="22"/>
      <c r="AP208" s="22"/>
      <c r="AR208" s="22"/>
      <c r="AT208" s="22"/>
      <c r="AU208" s="22"/>
      <c r="AV208" s="22"/>
      <c r="AW208" s="22"/>
      <c r="AX208" s="22"/>
      <c r="AY208" s="22"/>
      <c r="AZ208" s="22"/>
      <c r="BA208" s="22"/>
      <c r="BB208" s="22"/>
      <c r="BC208" s="22"/>
      <c r="BD208" s="22"/>
      <c r="BE208" s="22"/>
      <c r="BF208" s="22"/>
      <c r="BG208" s="22"/>
      <c r="BH208" s="22"/>
      <c r="BI208" s="22"/>
      <c r="BJ208" s="22"/>
      <c r="BK208" s="6"/>
      <c r="BL208" s="22"/>
      <c r="BM208" s="6"/>
      <c r="BN208" s="22"/>
      <c r="BO208" s="6"/>
      <c r="BU208" s="6"/>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row>
    <row r="209" spans="11:122">
      <c r="K209" s="5"/>
      <c r="L209" s="149"/>
      <c r="M209" s="6"/>
      <c r="O209" s="6"/>
      <c r="Q209" s="6"/>
      <c r="S209" s="6"/>
      <c r="T209" s="22"/>
      <c r="U209" s="6"/>
      <c r="V209" s="22"/>
      <c r="X209" s="22"/>
      <c r="Z209" s="22"/>
      <c r="AB209" s="22"/>
      <c r="AD209" s="22"/>
      <c r="AF209" s="22"/>
      <c r="AH209" s="22"/>
      <c r="AJ209" s="22"/>
      <c r="AL209" s="22"/>
      <c r="AN209" s="22"/>
      <c r="AP209" s="22"/>
      <c r="AR209" s="22"/>
      <c r="AT209" s="22"/>
      <c r="AU209" s="22"/>
      <c r="AV209" s="22"/>
      <c r="AW209" s="22"/>
      <c r="AX209" s="22"/>
      <c r="AY209" s="22"/>
      <c r="AZ209" s="22"/>
      <c r="BA209" s="22"/>
      <c r="BB209" s="22"/>
      <c r="BC209" s="22"/>
      <c r="BD209" s="22"/>
      <c r="BE209" s="22"/>
      <c r="BF209" s="22"/>
      <c r="BG209" s="22"/>
      <c r="BH209" s="22"/>
      <c r="BI209" s="22"/>
      <c r="BJ209" s="22"/>
      <c r="BK209" s="6"/>
      <c r="BL209" s="22"/>
      <c r="BM209" s="6"/>
      <c r="BN209" s="22"/>
      <c r="BO209" s="6"/>
      <c r="BU209" s="6"/>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row>
    <row r="210" spans="11:122">
      <c r="K210" s="5"/>
      <c r="L210" s="149"/>
      <c r="M210" s="6"/>
      <c r="O210" s="6"/>
      <c r="Q210" s="6"/>
      <c r="S210" s="6"/>
      <c r="T210" s="22"/>
      <c r="U210" s="6"/>
      <c r="V210" s="22"/>
      <c r="X210" s="22"/>
      <c r="Z210" s="22"/>
      <c r="AB210" s="22"/>
      <c r="AD210" s="22"/>
      <c r="AF210" s="22"/>
      <c r="AH210" s="22"/>
      <c r="AJ210" s="22"/>
      <c r="AL210" s="22"/>
      <c r="AN210" s="22"/>
      <c r="AP210" s="22"/>
      <c r="AR210" s="22"/>
      <c r="AT210" s="22"/>
      <c r="AU210" s="22"/>
      <c r="AV210" s="22"/>
      <c r="AW210" s="22"/>
      <c r="AX210" s="22"/>
      <c r="AY210" s="22"/>
      <c r="AZ210" s="22"/>
      <c r="BA210" s="22"/>
      <c r="BB210" s="22"/>
      <c r="BC210" s="22"/>
      <c r="BD210" s="22"/>
      <c r="BE210" s="22"/>
      <c r="BF210" s="22"/>
      <c r="BG210" s="22"/>
      <c r="BH210" s="22"/>
      <c r="BI210" s="22"/>
      <c r="BJ210" s="22"/>
      <c r="BK210" s="6"/>
      <c r="BL210" s="22"/>
      <c r="BM210" s="6"/>
      <c r="BN210" s="22"/>
      <c r="BO210" s="6"/>
      <c r="BU210" s="6"/>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row>
    <row r="211" spans="11:122">
      <c r="K211" s="5"/>
      <c r="L211" s="149"/>
      <c r="M211" s="6"/>
      <c r="O211" s="6"/>
      <c r="Q211" s="6"/>
      <c r="S211" s="6"/>
      <c r="T211" s="22"/>
      <c r="U211" s="6"/>
      <c r="V211" s="22"/>
      <c r="X211" s="22"/>
      <c r="Z211" s="22"/>
      <c r="AB211" s="22"/>
      <c r="AD211" s="22"/>
      <c r="AF211" s="22"/>
      <c r="AH211" s="22"/>
      <c r="AJ211" s="22"/>
      <c r="AL211" s="22"/>
      <c r="AN211" s="22"/>
      <c r="AP211" s="22"/>
      <c r="AR211" s="22"/>
      <c r="AT211" s="22"/>
      <c r="AU211" s="22"/>
      <c r="AV211" s="22"/>
      <c r="AW211" s="22"/>
      <c r="AX211" s="22"/>
      <c r="AY211" s="22"/>
      <c r="AZ211" s="22"/>
      <c r="BA211" s="22"/>
      <c r="BB211" s="22"/>
      <c r="BC211" s="22"/>
      <c r="BD211" s="22"/>
      <c r="BE211" s="22"/>
      <c r="BF211" s="22"/>
      <c r="BG211" s="22"/>
      <c r="BH211" s="22"/>
      <c r="BI211" s="22"/>
      <c r="BJ211" s="22"/>
      <c r="BK211" s="6"/>
      <c r="BL211" s="22"/>
      <c r="BM211" s="6"/>
      <c r="BN211" s="22"/>
      <c r="BO211" s="6"/>
      <c r="BU211" s="6"/>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row>
    <row r="212" spans="11:122">
      <c r="K212" s="5"/>
      <c r="L212" s="149"/>
      <c r="M212" s="6"/>
      <c r="O212" s="6"/>
      <c r="Q212" s="6"/>
      <c r="S212" s="6"/>
      <c r="T212" s="22"/>
      <c r="U212" s="6"/>
      <c r="V212" s="22"/>
      <c r="X212" s="22"/>
      <c r="Z212" s="22"/>
      <c r="AB212" s="22"/>
      <c r="AD212" s="22"/>
      <c r="AF212" s="22"/>
      <c r="AH212" s="22"/>
      <c r="AJ212" s="22"/>
      <c r="AL212" s="22"/>
      <c r="AN212" s="22"/>
      <c r="AP212" s="22"/>
      <c r="AR212" s="22"/>
      <c r="AT212" s="22"/>
      <c r="AU212" s="22"/>
      <c r="AV212" s="22"/>
      <c r="AW212" s="22"/>
      <c r="AX212" s="22"/>
      <c r="AY212" s="22"/>
      <c r="AZ212" s="22"/>
      <c r="BA212" s="22"/>
      <c r="BB212" s="22"/>
      <c r="BC212" s="22"/>
      <c r="BD212" s="22"/>
      <c r="BE212" s="22"/>
      <c r="BF212" s="22"/>
      <c r="BG212" s="22"/>
      <c r="BH212" s="22"/>
      <c r="BI212" s="22"/>
      <c r="BJ212" s="22"/>
      <c r="BK212" s="6"/>
      <c r="BL212" s="22"/>
      <c r="BM212" s="6"/>
      <c r="BN212" s="22"/>
      <c r="BO212" s="6"/>
      <c r="BU212" s="6"/>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row>
    <row r="213" spans="11:122">
      <c r="K213" s="5"/>
      <c r="L213" s="149"/>
      <c r="M213" s="6"/>
      <c r="O213" s="6"/>
      <c r="Q213" s="6"/>
      <c r="S213" s="6"/>
      <c r="T213" s="22"/>
      <c r="U213" s="6"/>
      <c r="V213" s="22"/>
      <c r="X213" s="22"/>
      <c r="Z213" s="22"/>
      <c r="AB213" s="22"/>
      <c r="AD213" s="22"/>
      <c r="BJ213" s="22"/>
      <c r="BK213" s="6"/>
      <c r="BL213" s="22"/>
      <c r="BM213" s="6"/>
      <c r="BN213" s="22"/>
      <c r="BO213" s="6"/>
      <c r="BU213" s="6"/>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row>
    <row r="214" spans="11:122">
      <c r="K214" s="5"/>
      <c r="L214" s="149"/>
      <c r="BL214" s="22"/>
    </row>
    <row r="215" spans="11:122">
      <c r="K215" s="5"/>
      <c r="L215" s="149"/>
      <c r="BL215" s="22"/>
    </row>
    <row r="216" spans="11:122">
      <c r="K216" s="5"/>
      <c r="L216" s="149"/>
      <c r="BL216" s="22"/>
    </row>
    <row r="217" spans="11:122">
      <c r="K217" s="5"/>
      <c r="L217" s="149"/>
      <c r="BL217" s="22"/>
    </row>
    <row r="218" spans="11:122">
      <c r="K218" s="5"/>
      <c r="L218" s="149"/>
      <c r="BL218" s="22"/>
    </row>
    <row r="219" spans="11:122">
      <c r="K219" s="5"/>
      <c r="L219" s="149"/>
      <c r="BL219" s="22"/>
    </row>
    <row r="220" spans="11:122">
      <c r="K220" s="5"/>
      <c r="L220" s="149"/>
      <c r="BL220" s="22"/>
    </row>
    <row r="221" spans="11:122">
      <c r="K221" s="5"/>
      <c r="L221" s="149"/>
      <c r="BL221" s="22"/>
    </row>
    <row r="222" spans="11:122">
      <c r="L222" s="134"/>
      <c r="BL222" s="22"/>
    </row>
    <row r="223" spans="11:122">
      <c r="BL223" s="22"/>
    </row>
    <row r="224" spans="11:122">
      <c r="BL224" s="22"/>
    </row>
    <row r="225" spans="64:64">
      <c r="BL225" s="22"/>
    </row>
    <row r="226" spans="64:64">
      <c r="BL226" s="22"/>
    </row>
    <row r="227" spans="64:64">
      <c r="BL227" s="22"/>
    </row>
    <row r="228" spans="64:64">
      <c r="BL228" s="22"/>
    </row>
    <row r="229" spans="64:64">
      <c r="BL229" s="22"/>
    </row>
    <row r="230" spans="64:64">
      <c r="BL230" s="22"/>
    </row>
    <row r="231" spans="64:64">
      <c r="BL231" s="22"/>
    </row>
    <row r="232" spans="64:64">
      <c r="BL232" s="22"/>
    </row>
    <row r="233" spans="64:64">
      <c r="BL233" s="22"/>
    </row>
    <row r="234" spans="64:64">
      <c r="BL234" s="22"/>
    </row>
    <row r="235" spans="64:64">
      <c r="BL235" s="22"/>
    </row>
    <row r="236" spans="64:64">
      <c r="BL236" s="22"/>
    </row>
    <row r="237" spans="64:64">
      <c r="BL237" s="22"/>
    </row>
    <row r="238" spans="64:64">
      <c r="BL238" s="22"/>
    </row>
    <row r="239" spans="64:64">
      <c r="BL239" s="22"/>
    </row>
    <row r="240" spans="64:64">
      <c r="BL240" s="22"/>
    </row>
    <row r="241" spans="64:64">
      <c r="BL241" s="22"/>
    </row>
    <row r="242" spans="64:64">
      <c r="BL242" s="22"/>
    </row>
    <row r="243" spans="64:64">
      <c r="BL243" s="22"/>
    </row>
    <row r="244" spans="64:64">
      <c r="BL244" s="22"/>
    </row>
    <row r="245" spans="64:64">
      <c r="BL245" s="22"/>
    </row>
    <row r="246" spans="64:64">
      <c r="BL246" s="22"/>
    </row>
    <row r="247" spans="64:64">
      <c r="BL247" s="22"/>
    </row>
    <row r="248" spans="64:64">
      <c r="BL248" s="22"/>
    </row>
    <row r="249" spans="64:64">
      <c r="BL249" s="22"/>
    </row>
    <row r="250" spans="64:64">
      <c r="BL250" s="22"/>
    </row>
    <row r="251" spans="64:64">
      <c r="BL251" s="22"/>
    </row>
  </sheetData>
  <printOptions horizontalCentered="1"/>
  <pageMargins left="0.19" right="0.17" top="0.25" bottom="0.25" header="0.5" footer="0.5"/>
  <pageSetup scale="37" fitToHeight="2" orientation="portrait" horizontalDpi="300" verticalDpi="300" r:id="rId1"/>
  <headerFooter alignWithMargins="0"/>
  <rowBreaks count="2" manualBreakCount="2">
    <brk id="91" max="71" man="1"/>
    <brk id="15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Sheet2</vt:lpstr>
      <vt:lpstr>NA Mquip</vt:lpstr>
      <vt:lpstr>EECC</vt:lpstr>
      <vt:lpstr>To Update</vt:lpstr>
      <vt:lpstr>Summary</vt:lpstr>
      <vt:lpstr>Wilton</vt:lpstr>
      <vt:lpstr>Calvert City</vt:lpstr>
      <vt:lpstr>Gleason</vt:lpstr>
      <vt:lpstr>Wheatland</vt:lpstr>
      <vt:lpstr>Wilton - Nepco Scope Changes</vt:lpstr>
      <vt:lpstr>Gleason-Nepco Scope Changes</vt:lpstr>
      <vt:lpstr>Wheatland -Nepco Scope Changes</vt:lpstr>
      <vt:lpstr>Nepco Summary</vt:lpstr>
      <vt:lpstr>'Calvert City'!Print_Area</vt:lpstr>
      <vt:lpstr>Gleason!Print_Area</vt:lpstr>
      <vt:lpstr>Summary!Print_Area</vt:lpstr>
      <vt:lpstr>Wheatland!Print_Area</vt:lpstr>
      <vt:lpstr>Wilton!Print_Area</vt:lpstr>
      <vt:lpstr>'Calvert City'!Print_Titles</vt:lpstr>
      <vt:lpstr>Gleason!Print_Titles</vt:lpstr>
      <vt:lpstr>'Gleason-Nepco Scope Changes'!Print_Titles</vt:lpstr>
      <vt:lpstr>Wheatland!Print_Titles</vt:lpstr>
      <vt:lpstr>'Wheatland -Nepco Scope Changes'!Print_Titles</vt:lpstr>
      <vt:lpstr>Wilton!Print_Titles</vt:lpstr>
      <vt:lpstr>'Wilton - Nepco Scope Changes'!Print_Titles</vt:lpstr>
      <vt:lpstr>'Calvert City'!To_Hide</vt:lpstr>
      <vt:lpstr>Gleason!To_Hide</vt:lpstr>
      <vt:lpstr>Wheatland!To_Hide</vt:lpstr>
      <vt:lpstr>Wilton!To_Hide</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tshepperd</dc:creator>
  <cp:lastModifiedBy>Jan Havlíček</cp:lastModifiedBy>
  <cp:lastPrinted>2000-05-05T17:28:04Z</cp:lastPrinted>
  <dcterms:created xsi:type="dcterms:W3CDTF">1998-11-04T14:40:39Z</dcterms:created>
  <dcterms:modified xsi:type="dcterms:W3CDTF">2023-09-13T22:58:53Z</dcterms:modified>
</cp:coreProperties>
</file>