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6C737B-C72A-4DD3-9168-FA080C56601A}" xr6:coauthVersionLast="47" xr6:coauthVersionMax="47" xr10:uidLastSave="{00000000-0000-0000-0000-000000000000}"/>
  <bookViews>
    <workbookView xWindow="-120" yWindow="-120" windowWidth="38640" windowHeight="15720" tabRatio="520"/>
  </bookViews>
  <sheets>
    <sheet name="Assumptions" sheetId="2" r:id="rId1"/>
    <sheet name="Summary" sheetId="23" r:id="rId2"/>
    <sheet name="Power Price Assumption" sheetId="3" r:id="rId3"/>
    <sheet name="IS" sheetId="4" r:id="rId4"/>
    <sheet name="Debt" sheetId="22" r:id="rId5"/>
    <sheet name="CF" sheetId="5" r:id="rId6"/>
    <sheet name="Depreciation" sheetId="20" r:id="rId7"/>
    <sheet name="Tax" sheetId="8" r:id="rId8"/>
    <sheet name="Brownsville" sheetId="9" r:id="rId9"/>
    <sheet name="Caledonia" sheetId="10" r:id="rId10"/>
    <sheet name="New Albany" sheetId="11" r:id="rId11"/>
    <sheet name="Gleason" sheetId="12" r:id="rId12"/>
    <sheet name="Wheatland" sheetId="13" r:id="rId13"/>
    <sheet name="Wilton" sheetId="14" r:id="rId14"/>
    <sheet name="Allocation" sheetId="16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a" hidden="1">{"Income Statement",#N/A,FALSE,"CFMODEL";"Balance Sheet",#N/A,FALSE,"CFMODEL"}</definedName>
    <definedName name="AnnualHours" localSheetId="6">[9]Assumptions!#REF!</definedName>
    <definedName name="AnnualHours">[1]Assumptions!#REF!</definedName>
    <definedName name="b" hidden="1">{"SourcesUses",#N/A,TRUE,"CFMODEL";"TransOverview",#N/A,TRUE,"CFMODEL"}</definedName>
    <definedName name="Begin_Op" localSheetId="6">'[6]Consol Summary'!$N$7</definedName>
    <definedName name="Begin_Op">[4]Sum!$N$7</definedName>
    <definedName name="blm_share" localSheetId="11">Gleason!#REF!</definedName>
    <definedName name="blm_share" localSheetId="10">'New Albany'!#REF!</definedName>
    <definedName name="blm_share" localSheetId="12">Wheatland!#REF!</definedName>
    <definedName name="chillers" localSheetId="6">'[6]Consol Summary'!$M$65</definedName>
    <definedName name="chillers">[5]PROJECTCONFIGURATION!$M$65</definedName>
    <definedName name="coso" localSheetId="11">Gleason!#REF!</definedName>
    <definedName name="coso" localSheetId="10">'New Albany'!#REF!</definedName>
    <definedName name="coso" localSheetId="12">Wheatland!#REF!</definedName>
    <definedName name="Coso_Distributable_Cash" localSheetId="11">Gleason!$D$515:$U$515</definedName>
    <definedName name="Coso_Distributable_Cash" localSheetId="10">'New Albany'!$D$524:$U$524</definedName>
    <definedName name="Coso_Distributable_Cash" localSheetId="12">Wheatland!$D$494:$U$494</definedName>
    <definedName name="Coso_Net_ATCash" localSheetId="11">Gleason!$D$516:$U$516</definedName>
    <definedName name="Coso_Net_ATCash" localSheetId="10">'New Albany'!$D$525:$U$525</definedName>
    <definedName name="Coso_Net_ATCash" localSheetId="12">Wheatland!$D$495:$U$495</definedName>
    <definedName name="Coso_Net_Income" localSheetId="11">Gleason!$D$514:$U$514</definedName>
    <definedName name="Coso_Net_Income" localSheetId="10">'New Albany'!$D$523:$U$523</definedName>
    <definedName name="Coso_Net_Income" localSheetId="12">Wheatland!$D$493:$U$493</definedName>
    <definedName name="d" hidden="1">{"SourcesUses",#N/A,TRUE,#N/A;"TransOverview",#N/A,TRUE,"CFMODEL"}</definedName>
    <definedName name="Distributable_Cash" localSheetId="11">Gleason!#REF!</definedName>
    <definedName name="Distributable_Cash" localSheetId="10">'New Albany'!#REF!</definedName>
    <definedName name="Distributable_Cash" localSheetId="12">Wheatland!#REF!</definedName>
    <definedName name="e" hidden="1">{"SourcesUses",#N/A,TRUE,"FundsFlow";"TransOverview",#N/A,TRUE,"FundsFlow"}</definedName>
    <definedName name="Energy_Credit_Coso" localSheetId="11">Gleason!$D$509:$U$509</definedName>
    <definedName name="Energy_Credit_Coso" localSheetId="10">'New Albany'!$D$518:$U$518</definedName>
    <definedName name="Energy_Credit_Coso" localSheetId="12">Wheatland!$D$488:$U$488</definedName>
    <definedName name="Energy_Credit_Imperial" localSheetId="11">Gleason!#REF!</definedName>
    <definedName name="Energy_Credit_Imperial" localSheetId="10">'New Albany'!#REF!</definedName>
    <definedName name="Energy_Credit_Imperial" localSheetId="12">Wheatland!#REF!</definedName>
    <definedName name="FPOC_Distributable_Cash" localSheetId="11">Gleason!$D$456:$N$456</definedName>
    <definedName name="FPOC_Distributable_Cash" localSheetId="10">'New Albany'!$D$465:$N$465</definedName>
    <definedName name="FPOC_Distributable_Cash" localSheetId="12">Wheatland!$D$435:$N$435</definedName>
    <definedName name="FPOC_Net_ATCash" localSheetId="11">Gleason!$D$458:$N$458</definedName>
    <definedName name="FPOC_Net_ATCash" localSheetId="10">'New Albany'!$D$467:$N$467</definedName>
    <definedName name="FPOC_Net_ATCash" localSheetId="12">Wheatland!$D$437:$N$437</definedName>
    <definedName name="FPOC_Net_Income" localSheetId="11">Gleason!$D$458:$N$458</definedName>
    <definedName name="FPOC_Net_Income" localSheetId="10">'New Albany'!$D$467:$N$467</definedName>
    <definedName name="FPOC_Net_Income" localSheetId="12">Wheatland!$D$437:$N$437</definedName>
    <definedName name="FSGC_ATCash" localSheetId="11">Gleason!$D$293:$H$293</definedName>
    <definedName name="FSGC_ATCash" localSheetId="10">'New Albany'!$D$302:$H$302</definedName>
    <definedName name="FSGC_ATCash" localSheetId="12">Wheatland!$D$272:$H$272</definedName>
    <definedName name="FSGC_Distributable_Cash" localSheetId="11">Gleason!$C$291:$H$291</definedName>
    <definedName name="FSGC_Distributable_Cash" localSheetId="10">'New Albany'!$C$300:$H$300</definedName>
    <definedName name="FSGC_Distributable_Cash" localSheetId="12">Wheatland!$C$270:$H$270</definedName>
    <definedName name="FSGC_Net_Income" localSheetId="11">Gleason!$D$293:$H$293</definedName>
    <definedName name="FSGC_Net_Income" localSheetId="10">'New Albany'!$D$302:$H$302</definedName>
    <definedName name="FSGC_Net_Income" localSheetId="12">Wheatland!$D$272:$H$272</definedName>
    <definedName name="idc">#REF!</definedName>
    <definedName name="Imperial_Distributable_Cash" localSheetId="11">Gleason!#REF!</definedName>
    <definedName name="Imperial_Distributable_Cash" localSheetId="10">'New Albany'!#REF!</definedName>
    <definedName name="Imperial_Distributable_Cash" localSheetId="12">Wheatland!#REF!</definedName>
    <definedName name="Imperial_Geothermal" localSheetId="11">Gleason!#REF!</definedName>
    <definedName name="Imperial_Geothermal" localSheetId="10">'New Albany'!#REF!</definedName>
    <definedName name="Imperial_Geothermal" localSheetId="12">Wheatland!#REF!</definedName>
    <definedName name="Imperial_Net_ATCash" localSheetId="11">Gleason!#REF!</definedName>
    <definedName name="Imperial_Net_ATCash" localSheetId="10">'New Albany'!#REF!</definedName>
    <definedName name="Imperial_Net_ATCash" localSheetId="12">Wheatland!#REF!</definedName>
    <definedName name="Imperial_Net_Income" localSheetId="11">Gleason!#REF!</definedName>
    <definedName name="Imperial_Net_Income" localSheetId="10">'New Albany'!#REF!</definedName>
    <definedName name="Imperial_Net_Income" localSheetId="12">Wheatland!#REF!</definedName>
    <definedName name="Main_Table" localSheetId="6">'[6]Consol Summary'!$D$22:$I$45</definedName>
    <definedName name="Main_Table">'[2]Maintenance Reserves'!$D$22:$I$45</definedName>
    <definedName name="Maint_Accrual" localSheetId="6">[9]Assumptions!#REF!</definedName>
    <definedName name="Maint_Accrual">[1]Assumptions!#REF!</definedName>
    <definedName name="Minerals" localSheetId="11">Gleason!#REF!</definedName>
    <definedName name="Minerals" localSheetId="10">'New Albany'!#REF!</definedName>
    <definedName name="Minerals" localSheetId="12">Wheatland!#REF!</definedName>
    <definedName name="Minerals_Distributable_Cash" localSheetId="11">Gleason!$D$192:$U$192</definedName>
    <definedName name="Minerals_Distributable_Cash" localSheetId="10">'New Albany'!$D$201:$U$201</definedName>
    <definedName name="Minerals_Distributable_Cash" localSheetId="12">Wheatland!$D$171:$U$171</definedName>
    <definedName name="Minerals_Net_ATCash" localSheetId="11">Gleason!$D$193:$U$193</definedName>
    <definedName name="Minerals_Net_ATCash" localSheetId="10">'New Albany'!$D$202:$U$202</definedName>
    <definedName name="Minerals_Net_ATCash" localSheetId="12">Wheatland!$D$172:$U$172</definedName>
    <definedName name="Minerals_Net_Income" localSheetId="11">Gleason!$D$191:$U$191</definedName>
    <definedName name="Minerals_Net_Income" localSheetId="10">'New Albany'!$D$200:$U$200</definedName>
    <definedName name="Minerals_Net_Income" localSheetId="12">Wheatland!$D$170:$U$170</definedName>
    <definedName name="navyi_share" localSheetId="11">Gleason!#REF!</definedName>
    <definedName name="navyi_share" localSheetId="10">'New Albany'!#REF!</definedName>
    <definedName name="navyi_share" localSheetId="12">Wheatland!#REF!</definedName>
    <definedName name="navyII_share" localSheetId="11">Gleason!#REF!</definedName>
    <definedName name="navyII_share" localSheetId="10">'New Albany'!#REF!</definedName>
    <definedName name="navyII_share" localSheetId="12">Wheatland!#REF!</definedName>
    <definedName name="Net_ATCash" localSheetId="11">Gleason!#REF!</definedName>
    <definedName name="Net_ATCash" localSheetId="10">'New Albany'!#REF!</definedName>
    <definedName name="Net_ATCash" localSheetId="12">Wheatland!#REF!</definedName>
    <definedName name="Net_Income_Unlevered" localSheetId="11">Gleason!#REF!</definedName>
    <definedName name="Net_Income_Unlevered" localSheetId="10">'New Albany'!#REF!</definedName>
    <definedName name="Net_Income_Unlevered" localSheetId="12">Wheatland!#REF!</definedName>
    <definedName name="Norcon_Distributable_Cash" localSheetId="11">Gleason!$B$557:$L$557</definedName>
    <definedName name="Norcon_Distributable_Cash" localSheetId="10">'New Albany'!$B$566:$L$566</definedName>
    <definedName name="Norcon_Distributable_Cash" localSheetId="12">Wheatland!$B$536:$L$536</definedName>
    <definedName name="Norcon_Net_ATCash" localSheetId="11">Gleason!$B$558:$L$558</definedName>
    <definedName name="Norcon_Net_ATCash" localSheetId="10">'New Albany'!$B$567:$L$567</definedName>
    <definedName name="Norcon_Net_ATCash" localSheetId="12">Wheatland!$B$537:$L$537</definedName>
    <definedName name="Norcon_Net_Income" localSheetId="11">Gleason!$B$556:$L$556</definedName>
    <definedName name="Norcon_Net_Income" localSheetId="10">'New Albany'!$B$565:$L$565</definedName>
    <definedName name="Norcon_Net_Income" localSheetId="12">Wheatland!$B$535:$L$535</definedName>
    <definedName name="PERIOD1" localSheetId="6">'[6]Consol Summary'!#REF!</definedName>
    <definedName name="PERIOD1">'[3]Project Assumptions'!#REF!</definedName>
    <definedName name="PERIOD2" localSheetId="6">'[6]Consol Summary'!#REF!</definedName>
    <definedName name="PERIOD2">'[3]Project Assumptions'!#REF!</definedName>
    <definedName name="PRI_Cash_Taxes" localSheetId="11">Gleason!$D$236:$H$236</definedName>
    <definedName name="PRI_Cash_Taxes" localSheetId="10">'New Albany'!$D$245:$H$245</definedName>
    <definedName name="PRI_Cash_Taxes" localSheetId="12">Wheatland!$D$215:$H$215</definedName>
    <definedName name="PRI_Net_ATCash" localSheetId="11">Gleason!$D$244:$H$244</definedName>
    <definedName name="PRI_Net_ATCash" localSheetId="10">'New Albany'!$D$253:$H$253</definedName>
    <definedName name="PRI_Net_ATCash" localSheetId="12">Wheatland!$D$223:$H$223</definedName>
    <definedName name="PRI_Net_Income" localSheetId="11">Gleason!$D$243:$H$243</definedName>
    <definedName name="PRI_Net_Income" localSheetId="10">'New Albany'!$D$252:$H$252</definedName>
    <definedName name="PRI_Net_Income" localSheetId="12">Wheatland!$D$222:$H$222</definedName>
    <definedName name="principal" localSheetId="6">'[6]Consol Summary'!#REF!</definedName>
    <definedName name="principal">'[3]Debt Amortization'!#REF!</definedName>
    <definedName name="_xlnm.Print_Area" localSheetId="14">Allocation!$A$1:$F$17</definedName>
    <definedName name="_xlnm.Print_Area" localSheetId="0">Assumptions!$A$3:$G$73</definedName>
    <definedName name="_xlnm.Print_Area" localSheetId="8">Brownsville!$A$2:$U$69</definedName>
    <definedName name="_xlnm.Print_Area" localSheetId="9">Caledonia!$A$2:$U$69</definedName>
    <definedName name="_xlnm.Print_Area" localSheetId="5">CF!$A$1:$V$45</definedName>
    <definedName name="_xlnm.Print_Area" localSheetId="4">Debt!$A$1:$U$86</definedName>
    <definedName name="_xlnm.Print_Area" localSheetId="6">Depreciation!$A$2:$V$113</definedName>
    <definedName name="_xlnm.Print_Area" localSheetId="11">Gleason!$A$2:$U$69</definedName>
    <definedName name="_xlnm.Print_Area" localSheetId="3">IS!$A$2:$U$49</definedName>
    <definedName name="_xlnm.Print_Area" localSheetId="10">'New Albany'!$A$2:$U$69</definedName>
    <definedName name="_xlnm.Print_Area" localSheetId="1">Summary!$A$1:$K$57</definedName>
    <definedName name="_xlnm.Print_Area" localSheetId="7">Tax!$A$2:$U$24</definedName>
    <definedName name="_xlnm.Print_Area" localSheetId="12">Wheatland!$A$2:$U$69</definedName>
    <definedName name="_xlnm.Print_Area" localSheetId="13">Wilton!$A$2:$U$69</definedName>
    <definedName name="ProjectLife">'[8]Project Assumptions'!$I$15</definedName>
    <definedName name="Saranac_Distributable_Cash" localSheetId="11">Gleason!$D$411:$N$411</definedName>
    <definedName name="Saranac_Distributable_Cash" localSheetId="10">'New Albany'!$D$420:$N$420</definedName>
    <definedName name="Saranac_Distributable_Cash" localSheetId="12">Wheatland!$D$390:$N$390</definedName>
    <definedName name="Saranac_Net_ATCash" localSheetId="11">Gleason!$D$412:$N$412</definedName>
    <definedName name="Saranac_Net_ATCash" localSheetId="10">'New Albany'!$D$421:$N$421</definedName>
    <definedName name="Saranac_Net_ATCash" localSheetId="12">Wheatland!$D$391:$N$391</definedName>
    <definedName name="Saranac_Net_Income" localSheetId="11">Gleason!$D$410:$N$410</definedName>
    <definedName name="Saranac_Net_Income" localSheetId="10">'New Albany'!$D$419:$N$419</definedName>
    <definedName name="Saranac_Net_Income" localSheetId="12">Wheatland!$D$389:$N$389</definedName>
    <definedName name="solver_adj" localSheetId="4" hidden="1">Debt!$B$22,Debt!$B$40,Debt!$B$58</definedName>
    <definedName name="solver_cvg" localSheetId="4" hidden="1">0.001</definedName>
    <definedName name="solver_drv" localSheetId="4" hidden="1">1</definedName>
    <definedName name="solver_est" localSheetId="4" hidden="1">1</definedName>
    <definedName name="solver_itr" localSheetId="4" hidden="1">100</definedName>
    <definedName name="solver_lin" localSheetId="4" hidden="1">2</definedName>
    <definedName name="solver_neg" localSheetId="4" hidden="1">2</definedName>
    <definedName name="solver_num" localSheetId="4" hidden="1">0</definedName>
    <definedName name="solver_nwt" localSheetId="4" hidden="1">1</definedName>
    <definedName name="solver_opt" localSheetId="4" hidden="1">Debt!$B$2</definedName>
    <definedName name="solver_pre" localSheetId="4" hidden="1">0.000001</definedName>
    <definedName name="solver_scl" localSheetId="4" hidden="1">2</definedName>
    <definedName name="solver_sho" localSheetId="4" hidden="1">2</definedName>
    <definedName name="solver_tim" localSheetId="4" hidden="1">100</definedName>
    <definedName name="solver_tol" localSheetId="4" hidden="1">0.05</definedName>
    <definedName name="solver_typ" localSheetId="4" hidden="1">3</definedName>
    <definedName name="solver_val" localSheetId="4" hidden="1">0</definedName>
    <definedName name="StartMWh" localSheetId="6">'[6]Consol Summary'!#REF!</definedName>
    <definedName name="StartMWh">'[3]Project Assumptions'!#REF!</definedName>
    <definedName name="Tax_Depreciation" localSheetId="11">Gleason!#REF!</definedName>
    <definedName name="Tax_Depreciation" localSheetId="10">'New Albany'!#REF!</definedName>
    <definedName name="Tax_Depreciation" localSheetId="12">Wheatland!#REF!</definedName>
    <definedName name="Taxable_Income" localSheetId="11">Gleason!#REF!</definedName>
    <definedName name="Taxable_Income" localSheetId="10">'New Albany'!#REF!</definedName>
    <definedName name="Taxable_Income" localSheetId="12">Wheatland!#REF!</definedName>
    <definedName name="Variable" localSheetId="6">[9]Assumptions!#REF!</definedName>
    <definedName name="Variable">[1]Assumptions!#REF!</definedName>
    <definedName name="WaterTreatmentVar" localSheetId="6">[9]Assumptions!#REF!</definedName>
    <definedName name="WaterTreatmentVar">[1]Assumptions!#REF!</definedName>
    <definedName name="wrn.test1." localSheetId="6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6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6" hidden="1">{"SourcesUses",#N/A,TRUE,#N/A;"TransOverview",#N/A,TRUE,"CFMODEL"}</definedName>
    <definedName name="wrn.test3." hidden="1">{"SourcesUses",#N/A,TRUE,#N/A;"TransOverview",#N/A,TRUE,"CFMODEL"}</definedName>
    <definedName name="wrn.test4." localSheetId="6" hidden="1">{"SourcesUses",#N/A,TRUE,"FundsFlow";"TransOverview",#N/A,TRUE,"FundsFlow"}</definedName>
    <definedName name="wrn.test4." hidden="1">{"SourcesUses",#N/A,TRUE,"FundsFlow";"TransOverview",#N/A,TRUE,"FundsFlow"}</definedName>
    <definedName name="Yuma_Distributable_Cash" localSheetId="11">Gleason!$D$373:$U$373</definedName>
    <definedName name="Yuma_Distributable_Cash" localSheetId="10">'New Albany'!$D$382:$U$382</definedName>
    <definedName name="Yuma_Distributable_Cash" localSheetId="12">Wheatland!$D$352:$U$352</definedName>
    <definedName name="Yuma_Net_ATCash" localSheetId="11">Gleason!$D$374:$U$374</definedName>
    <definedName name="Yuma_Net_ATCash" localSheetId="10">'New Albany'!$D$383:$U$383</definedName>
    <definedName name="Yuma_Net_ATCash" localSheetId="12">Wheatland!$D$353:$U$353</definedName>
    <definedName name="Yuma_Net_Income" localSheetId="11">Gleason!$D$372:$U$372</definedName>
    <definedName name="Yuma_Net_Income" localSheetId="10">'New Albany'!$D$381:$U$381</definedName>
    <definedName name="Yuma_Net_Income" localSheetId="12">Wheatland!$D$351:$U$351</definedName>
    <definedName name="zinc" localSheetId="11">Gleason!$X$14</definedName>
    <definedName name="zinc" localSheetId="10">'New Albany'!$X$14</definedName>
    <definedName name="zinc" localSheetId="12">Wheatland!$X$12</definedName>
    <definedName name="Zinc_Distributable_Cash" localSheetId="11">Gleason!$D$137:$U$137</definedName>
    <definedName name="Zinc_Distributable_Cash" localSheetId="10">'New Albany'!$D$146:$U$146</definedName>
    <definedName name="Zinc_Distributable_Cash" localSheetId="12">Wheatland!$D$116:$U$116</definedName>
    <definedName name="Zinc_Net_ATCash" localSheetId="11">Gleason!$D$138:$U$138</definedName>
    <definedName name="Zinc_Net_ATCash" localSheetId="10">'New Albany'!$D$147:$U$147</definedName>
    <definedName name="Zinc_Net_ATCash" localSheetId="12">Wheatland!$D$117:$U$117</definedName>
    <definedName name="Zinc_Net_Income" localSheetId="11">Gleason!$D$136:$U$136</definedName>
    <definedName name="Zinc_Net_Income" localSheetId="10">'New Albany'!$D$145:$U$145</definedName>
    <definedName name="Zinc_Net_Income" localSheetId="12">Wheatland!$D$115:$U$115</definedName>
  </definedNames>
  <calcPr calcId="0" calcMode="manual" iterate="1"/>
</workbook>
</file>

<file path=xl/calcChain.xml><?xml version="1.0" encoding="utf-8"?>
<calcChain xmlns="http://schemas.openxmlformats.org/spreadsheetml/2006/main">
  <c r="C7" i="16" l="1"/>
  <c r="F7" i="16"/>
  <c r="H7" i="16"/>
  <c r="C8" i="16"/>
  <c r="F8" i="16"/>
  <c r="H8" i="16"/>
  <c r="C9" i="16"/>
  <c r="F9" i="16"/>
  <c r="H9" i="16"/>
  <c r="C10" i="16"/>
  <c r="E10" i="16"/>
  <c r="F10" i="16"/>
  <c r="H10" i="16"/>
  <c r="C12" i="16"/>
  <c r="F12" i="16"/>
  <c r="H12" i="16"/>
  <c r="C13" i="16"/>
  <c r="F13" i="16"/>
  <c r="H13" i="16"/>
  <c r="C14" i="16"/>
  <c r="F14" i="16"/>
  <c r="H14" i="16"/>
  <c r="C15" i="16"/>
  <c r="E15" i="16"/>
  <c r="F15" i="16"/>
  <c r="H15" i="16"/>
  <c r="C17" i="16"/>
  <c r="E17" i="16"/>
  <c r="F17" i="16"/>
  <c r="H17" i="16"/>
  <c r="B8" i="2"/>
  <c r="C8" i="2"/>
  <c r="F8" i="2"/>
  <c r="G8" i="2"/>
  <c r="B9" i="2"/>
  <c r="C9" i="2"/>
  <c r="F9" i="2"/>
  <c r="G9" i="2"/>
  <c r="B11" i="2"/>
  <c r="C11" i="2"/>
  <c r="F11" i="2"/>
  <c r="C13" i="2"/>
  <c r="B14" i="2"/>
  <c r="C14" i="2"/>
  <c r="F14" i="2"/>
  <c r="G14" i="2"/>
  <c r="B20" i="2"/>
  <c r="C20" i="2"/>
  <c r="D20" i="2"/>
  <c r="E20" i="2"/>
  <c r="B21" i="2"/>
  <c r="C21" i="2"/>
  <c r="D21" i="2"/>
  <c r="B22" i="2"/>
  <c r="B23" i="2"/>
  <c r="C23" i="2"/>
  <c r="D23" i="2"/>
  <c r="E26" i="2"/>
  <c r="E27" i="2"/>
  <c r="B28" i="2"/>
  <c r="C28" i="2"/>
  <c r="D28" i="2"/>
  <c r="E28" i="2"/>
  <c r="B30" i="2"/>
  <c r="B39" i="2"/>
  <c r="B45" i="2"/>
  <c r="C45" i="2"/>
  <c r="B46" i="2"/>
  <c r="B49" i="2"/>
  <c r="C49" i="2"/>
  <c r="D54" i="2"/>
  <c r="E54" i="2"/>
  <c r="D55" i="2"/>
  <c r="E55" i="2"/>
  <c r="D58" i="2"/>
  <c r="E58" i="2"/>
  <c r="F58" i="2"/>
  <c r="D60" i="2"/>
  <c r="E60" i="2"/>
  <c r="F60" i="2"/>
  <c r="A62" i="2"/>
  <c r="D62" i="2"/>
  <c r="D64" i="2"/>
  <c r="D66" i="2"/>
  <c r="D67" i="2"/>
  <c r="B70" i="2"/>
  <c r="C70" i="2"/>
  <c r="D70" i="2"/>
  <c r="E70" i="2"/>
  <c r="F70" i="2"/>
  <c r="B71" i="2"/>
  <c r="C71" i="2"/>
  <c r="D71" i="2"/>
  <c r="E71" i="2"/>
  <c r="F71" i="2"/>
  <c r="B72" i="2"/>
  <c r="C72" i="2"/>
  <c r="D72" i="2"/>
  <c r="E72" i="2"/>
  <c r="F72" i="2"/>
  <c r="B73" i="2"/>
  <c r="C73" i="2"/>
  <c r="D73" i="2"/>
  <c r="E73" i="2"/>
  <c r="F73" i="2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B10" i="9"/>
  <c r="C10" i="9"/>
  <c r="D10" i="9"/>
  <c r="W10" i="9"/>
  <c r="B11" i="9"/>
  <c r="C11" i="9"/>
  <c r="D11" i="9"/>
  <c r="W11" i="9"/>
  <c r="B12" i="9"/>
  <c r="C12" i="9"/>
  <c r="D12" i="9"/>
  <c r="W12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W15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W16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W17" i="9"/>
  <c r="W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W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W20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W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W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W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W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W27" i="9"/>
  <c r="U28" i="9"/>
  <c r="W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W29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W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W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W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W33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W36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W38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W40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W42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W44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W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W47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W49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W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W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W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W62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W64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W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W67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W69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B73" i="9"/>
  <c r="C73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W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W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W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W88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W89" i="9"/>
  <c r="W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W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W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W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W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W100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W101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B104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S106" i="9"/>
  <c r="T106" i="9"/>
  <c r="U106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T108" i="9"/>
  <c r="U108" i="9"/>
  <c r="B109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B110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W112" i="9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B10" i="10"/>
  <c r="C10" i="10"/>
  <c r="D10" i="10"/>
  <c r="W10" i="10"/>
  <c r="B11" i="10"/>
  <c r="C11" i="10"/>
  <c r="D11" i="10"/>
  <c r="W11" i="10"/>
  <c r="B12" i="10"/>
  <c r="C12" i="10"/>
  <c r="D12" i="10"/>
  <c r="W12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W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W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W17" i="10"/>
  <c r="W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W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W20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W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W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W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W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W27" i="10"/>
  <c r="U28" i="10"/>
  <c r="W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W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W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W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W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W33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W36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W38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W40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W42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W44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W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W47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W49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W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W60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W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W62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W64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W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W67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W69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B73" i="10"/>
  <c r="C73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Y90" i="10"/>
  <c r="Z90" i="10"/>
  <c r="AA90" i="10"/>
  <c r="AB90" i="10"/>
  <c r="AC90" i="10"/>
  <c r="AD90" i="10"/>
  <c r="AE90" i="10"/>
  <c r="AF90" i="10"/>
  <c r="AG90" i="10"/>
  <c r="AH90" i="10"/>
  <c r="AI90" i="10"/>
  <c r="AJ90" i="10"/>
  <c r="AK90" i="10"/>
  <c r="AL90" i="10"/>
  <c r="AM90" i="10"/>
  <c r="AN90" i="10"/>
  <c r="AO90" i="10"/>
  <c r="AP90" i="10"/>
  <c r="AQ90" i="10"/>
  <c r="AR90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W95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W96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W97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W98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B101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C103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S103" i="10"/>
  <c r="T103" i="10"/>
  <c r="U103" i="10"/>
  <c r="B104" i="10"/>
  <c r="C104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T105" i="10"/>
  <c r="U105" i="10"/>
  <c r="B106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B107" i="10"/>
  <c r="C107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U107" i="10"/>
  <c r="B109" i="10"/>
  <c r="C109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W109" i="10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B8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B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B32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V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B38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B43" i="5"/>
  <c r="B44" i="5"/>
  <c r="B46" i="5"/>
  <c r="B47" i="5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AA9" i="22"/>
  <c r="AA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B19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W22" i="22"/>
  <c r="X22" i="22"/>
  <c r="B25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B26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B27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B28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B31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B32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B33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B34" i="22"/>
  <c r="C34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B37" i="22"/>
  <c r="C38" i="22"/>
  <c r="D38" i="22"/>
  <c r="E38" i="22"/>
  <c r="F38" i="22"/>
  <c r="G38" i="22"/>
  <c r="H38" i="22"/>
  <c r="I38" i="22"/>
  <c r="J38" i="22"/>
  <c r="K38" i="22"/>
  <c r="L38" i="22"/>
  <c r="M38" i="22"/>
  <c r="N38" i="22"/>
  <c r="O38" i="22"/>
  <c r="P38" i="22"/>
  <c r="Q38" i="22"/>
  <c r="R38" i="22"/>
  <c r="S38" i="22"/>
  <c r="T38" i="22"/>
  <c r="U38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W40" i="22"/>
  <c r="X40" i="22"/>
  <c r="B43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B45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B46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B49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E50" i="22"/>
  <c r="F50" i="22"/>
  <c r="G50" i="22"/>
  <c r="H50" i="22"/>
  <c r="I50" i="22"/>
  <c r="J50" i="22"/>
  <c r="K50" i="22"/>
  <c r="L50" i="22"/>
  <c r="M50" i="22"/>
  <c r="N50" i="22"/>
  <c r="O50" i="22"/>
  <c r="P50" i="22"/>
  <c r="Q50" i="22"/>
  <c r="R50" i="22"/>
  <c r="S50" i="22"/>
  <c r="T50" i="22"/>
  <c r="U50" i="22"/>
  <c r="B51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B52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B55" i="22"/>
  <c r="C56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C57" i="22"/>
  <c r="D57" i="22"/>
  <c r="E57" i="22"/>
  <c r="F57" i="22"/>
  <c r="G57" i="22"/>
  <c r="H57" i="22"/>
  <c r="I57" i="22"/>
  <c r="J57" i="22"/>
  <c r="K57" i="22"/>
  <c r="L57" i="22"/>
  <c r="M57" i="22"/>
  <c r="N57" i="22"/>
  <c r="O57" i="22"/>
  <c r="P57" i="22"/>
  <c r="Q57" i="22"/>
  <c r="R57" i="22"/>
  <c r="S57" i="22"/>
  <c r="T57" i="22"/>
  <c r="U57" i="22"/>
  <c r="C58" i="22"/>
  <c r="D58" i="22"/>
  <c r="E58" i="22"/>
  <c r="F58" i="22"/>
  <c r="G58" i="22"/>
  <c r="H58" i="22"/>
  <c r="I58" i="22"/>
  <c r="J58" i="22"/>
  <c r="K58" i="22"/>
  <c r="L58" i="22"/>
  <c r="M58" i="22"/>
  <c r="N58" i="22"/>
  <c r="O58" i="22"/>
  <c r="P58" i="22"/>
  <c r="Q58" i="22"/>
  <c r="R58" i="22"/>
  <c r="S58" i="22"/>
  <c r="T58" i="22"/>
  <c r="U58" i="22"/>
  <c r="W58" i="22"/>
  <c r="X58" i="22"/>
  <c r="B61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L62" i="22"/>
  <c r="M62" i="22"/>
  <c r="N62" i="22"/>
  <c r="O62" i="22"/>
  <c r="P62" i="22"/>
  <c r="Q62" i="22"/>
  <c r="R62" i="22"/>
  <c r="S62" i="22"/>
  <c r="T62" i="22"/>
  <c r="U62" i="22"/>
  <c r="B63" i="22"/>
  <c r="C63" i="22"/>
  <c r="D63" i="22"/>
  <c r="E63" i="22"/>
  <c r="F63" i="22"/>
  <c r="G63" i="22"/>
  <c r="H63" i="22"/>
  <c r="I63" i="22"/>
  <c r="J63" i="22"/>
  <c r="K63" i="22"/>
  <c r="L63" i="22"/>
  <c r="M63" i="22"/>
  <c r="N63" i="22"/>
  <c r="O63" i="22"/>
  <c r="P63" i="22"/>
  <c r="Q63" i="22"/>
  <c r="R63" i="22"/>
  <c r="S63" i="22"/>
  <c r="T63" i="22"/>
  <c r="U63" i="22"/>
  <c r="B64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B67" i="22"/>
  <c r="C67" i="22"/>
  <c r="D67" i="22"/>
  <c r="E67" i="22"/>
  <c r="F67" i="22"/>
  <c r="G67" i="22"/>
  <c r="H67" i="22"/>
  <c r="I67" i="22"/>
  <c r="J67" i="22"/>
  <c r="K67" i="22"/>
  <c r="L67" i="22"/>
  <c r="M67" i="22"/>
  <c r="N67" i="22"/>
  <c r="O67" i="22"/>
  <c r="P67" i="22"/>
  <c r="Q67" i="22"/>
  <c r="R67" i="22"/>
  <c r="S67" i="22"/>
  <c r="T67" i="22"/>
  <c r="U67" i="22"/>
  <c r="L68" i="22"/>
  <c r="M68" i="22"/>
  <c r="N68" i="22"/>
  <c r="O68" i="22"/>
  <c r="P68" i="22"/>
  <c r="Q68" i="22"/>
  <c r="R68" i="22"/>
  <c r="S68" i="22"/>
  <c r="T68" i="22"/>
  <c r="U68" i="22"/>
  <c r="B69" i="22"/>
  <c r="C69" i="22"/>
  <c r="D69" i="22"/>
  <c r="E69" i="22"/>
  <c r="F69" i="22"/>
  <c r="G69" i="22"/>
  <c r="H69" i="22"/>
  <c r="I69" i="22"/>
  <c r="J69" i="22"/>
  <c r="K69" i="22"/>
  <c r="L69" i="22"/>
  <c r="M69" i="22"/>
  <c r="N69" i="22"/>
  <c r="O69" i="22"/>
  <c r="P69" i="22"/>
  <c r="Q69" i="22"/>
  <c r="R69" i="22"/>
  <c r="S69" i="22"/>
  <c r="T69" i="22"/>
  <c r="U69" i="22"/>
  <c r="B70" i="22"/>
  <c r="C70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B73" i="22"/>
  <c r="C73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B74" i="22"/>
  <c r="C74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B75" i="22"/>
  <c r="C75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B77" i="22"/>
  <c r="C77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D82" i="22"/>
  <c r="G82" i="22"/>
  <c r="D83" i="22"/>
  <c r="G83" i="22"/>
  <c r="B89" i="22"/>
  <c r="C89" i="22"/>
  <c r="D89" i="22"/>
  <c r="E89" i="22"/>
  <c r="F89" i="22"/>
  <c r="G89" i="22"/>
  <c r="H89" i="22"/>
  <c r="I89" i="22"/>
  <c r="J89" i="22"/>
  <c r="K89" i="22"/>
  <c r="L89" i="22"/>
  <c r="M89" i="22"/>
  <c r="N89" i="22"/>
  <c r="O89" i="22"/>
  <c r="P89" i="22"/>
  <c r="Q89" i="22"/>
  <c r="R89" i="22"/>
  <c r="S89" i="22"/>
  <c r="T89" i="22"/>
  <c r="U89" i="22"/>
  <c r="E93" i="22"/>
  <c r="J93" i="22"/>
  <c r="O93" i="22"/>
  <c r="E94" i="22"/>
  <c r="J94" i="22"/>
  <c r="O94" i="22"/>
  <c r="E95" i="22"/>
  <c r="J95" i="22"/>
  <c r="O95" i="22"/>
  <c r="E96" i="22"/>
  <c r="J96" i="22"/>
  <c r="O96" i="22"/>
  <c r="E97" i="22"/>
  <c r="J97" i="22"/>
  <c r="O97" i="22"/>
  <c r="E98" i="22"/>
  <c r="J98" i="22"/>
  <c r="O98" i="22"/>
  <c r="B103" i="22"/>
  <c r="C103" i="22"/>
  <c r="D103" i="22"/>
  <c r="E103" i="22"/>
  <c r="F103" i="22"/>
  <c r="G103" i="22"/>
  <c r="H103" i="22"/>
  <c r="I103" i="22"/>
  <c r="J103" i="22"/>
  <c r="K103" i="22"/>
  <c r="L103" i="22"/>
  <c r="M103" i="22"/>
  <c r="N103" i="22"/>
  <c r="O103" i="22"/>
  <c r="P103" i="22"/>
  <c r="Q103" i="22"/>
  <c r="R103" i="22"/>
  <c r="S103" i="22"/>
  <c r="T103" i="22"/>
  <c r="U103" i="22"/>
  <c r="B104" i="22"/>
  <c r="C104" i="22"/>
  <c r="D104" i="22"/>
  <c r="E104" i="22"/>
  <c r="F104" i="22"/>
  <c r="G104" i="22"/>
  <c r="H104" i="22"/>
  <c r="I104" i="22"/>
  <c r="J104" i="22"/>
  <c r="K104" i="22"/>
  <c r="L104" i="22"/>
  <c r="M104" i="22"/>
  <c r="N104" i="22"/>
  <c r="O104" i="22"/>
  <c r="P104" i="22"/>
  <c r="Q104" i="22"/>
  <c r="R104" i="22"/>
  <c r="S104" i="22"/>
  <c r="T104" i="22"/>
  <c r="U104" i="22"/>
  <c r="B107" i="22"/>
  <c r="B108" i="22"/>
  <c r="B109" i="22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B38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B44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V44" i="20"/>
  <c r="B45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B52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V52" i="20"/>
  <c r="B53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V53" i="20"/>
  <c r="B54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B57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V57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V58" i="20"/>
  <c r="B59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Z62" i="20"/>
  <c r="B67" i="20"/>
  <c r="C67" i="20"/>
  <c r="D67" i="20"/>
  <c r="E67" i="20"/>
  <c r="F67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T67" i="20"/>
  <c r="U67" i="20"/>
  <c r="V67" i="20"/>
  <c r="B68" i="20"/>
  <c r="C68" i="20"/>
  <c r="D68" i="20"/>
  <c r="E68" i="20"/>
  <c r="F68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B69" i="20"/>
  <c r="C69" i="20"/>
  <c r="D69" i="20"/>
  <c r="E69" i="20"/>
  <c r="F69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T69" i="20"/>
  <c r="U69" i="20"/>
  <c r="V69" i="20"/>
  <c r="B70" i="20"/>
  <c r="C70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B73" i="20"/>
  <c r="C73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B74" i="20"/>
  <c r="C74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B75" i="20"/>
  <c r="C75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B76" i="20"/>
  <c r="C76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B79" i="20"/>
  <c r="C79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B80" i="20"/>
  <c r="C80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B81" i="20"/>
  <c r="C81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B82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B85" i="20"/>
  <c r="C85" i="20"/>
  <c r="D85" i="20"/>
  <c r="E85" i="20"/>
  <c r="F85" i="20"/>
  <c r="G85" i="20"/>
  <c r="H85" i="20"/>
  <c r="I85" i="20"/>
  <c r="J85" i="20"/>
  <c r="K85" i="20"/>
  <c r="L85" i="20"/>
  <c r="M85" i="20"/>
  <c r="N85" i="20"/>
  <c r="O85" i="20"/>
  <c r="P85" i="20"/>
  <c r="Q85" i="20"/>
  <c r="R85" i="20"/>
  <c r="S85" i="20"/>
  <c r="T85" i="20"/>
  <c r="U85" i="20"/>
  <c r="V85" i="20"/>
  <c r="B86" i="20"/>
  <c r="C86" i="20"/>
  <c r="D86" i="20"/>
  <c r="E86" i="20"/>
  <c r="F86" i="20"/>
  <c r="G86" i="20"/>
  <c r="H86" i="20"/>
  <c r="I86" i="20"/>
  <c r="J86" i="20"/>
  <c r="K86" i="20"/>
  <c r="L86" i="20"/>
  <c r="M86" i="20"/>
  <c r="N86" i="20"/>
  <c r="O86" i="20"/>
  <c r="P86" i="20"/>
  <c r="Q86" i="20"/>
  <c r="R86" i="20"/>
  <c r="B87" i="20"/>
  <c r="C87" i="20"/>
  <c r="D87" i="20"/>
  <c r="E87" i="20"/>
  <c r="F87" i="20"/>
  <c r="G87" i="20"/>
  <c r="H87" i="20"/>
  <c r="I87" i="20"/>
  <c r="J87" i="20"/>
  <c r="K87" i="20"/>
  <c r="L87" i="20"/>
  <c r="M87" i="20"/>
  <c r="N87" i="20"/>
  <c r="O87" i="20"/>
  <c r="P87" i="20"/>
  <c r="Q87" i="20"/>
  <c r="R87" i="20"/>
  <c r="S87" i="20"/>
  <c r="T87" i="20"/>
  <c r="U87" i="20"/>
  <c r="V87" i="20"/>
  <c r="B88" i="20"/>
  <c r="C88" i="20"/>
  <c r="D88" i="20"/>
  <c r="E88" i="20"/>
  <c r="F88" i="20"/>
  <c r="G88" i="20"/>
  <c r="H88" i="20"/>
  <c r="I88" i="20"/>
  <c r="J88" i="20"/>
  <c r="K88" i="20"/>
  <c r="L88" i="20"/>
  <c r="M88" i="20"/>
  <c r="N88" i="20"/>
  <c r="O88" i="20"/>
  <c r="P88" i="20"/>
  <c r="Q88" i="20"/>
  <c r="R88" i="20"/>
  <c r="S88" i="20"/>
  <c r="T88" i="20"/>
  <c r="U88" i="20"/>
  <c r="V88" i="20"/>
  <c r="B91" i="20"/>
  <c r="C91" i="20"/>
  <c r="D91" i="20"/>
  <c r="E91" i="20"/>
  <c r="F91" i="20"/>
  <c r="G91" i="20"/>
  <c r="H91" i="20"/>
  <c r="I91" i="20"/>
  <c r="J91" i="20"/>
  <c r="K91" i="20"/>
  <c r="L91" i="20"/>
  <c r="M91" i="20"/>
  <c r="N91" i="20"/>
  <c r="O91" i="20"/>
  <c r="P91" i="20"/>
  <c r="Q91" i="20"/>
  <c r="R91" i="20"/>
  <c r="S91" i="20"/>
  <c r="T91" i="20"/>
  <c r="U91" i="20"/>
  <c r="V91" i="20"/>
  <c r="B92" i="20"/>
  <c r="C92" i="20"/>
  <c r="D92" i="20"/>
  <c r="E92" i="20"/>
  <c r="F92" i="20"/>
  <c r="G92" i="20"/>
  <c r="H92" i="20"/>
  <c r="I92" i="20"/>
  <c r="J92" i="20"/>
  <c r="K92" i="20"/>
  <c r="L92" i="20"/>
  <c r="M92" i="20"/>
  <c r="N92" i="20"/>
  <c r="O92" i="20"/>
  <c r="P92" i="20"/>
  <c r="Q92" i="20"/>
  <c r="R92" i="20"/>
  <c r="B93" i="20"/>
  <c r="C93" i="20"/>
  <c r="D93" i="20"/>
  <c r="E93" i="20"/>
  <c r="F93" i="20"/>
  <c r="G93" i="20"/>
  <c r="H93" i="20"/>
  <c r="I93" i="20"/>
  <c r="J93" i="20"/>
  <c r="K93" i="20"/>
  <c r="L93" i="20"/>
  <c r="M93" i="20"/>
  <c r="N93" i="20"/>
  <c r="O93" i="20"/>
  <c r="P93" i="20"/>
  <c r="Q93" i="20"/>
  <c r="R93" i="20"/>
  <c r="S93" i="20"/>
  <c r="T93" i="20"/>
  <c r="U93" i="20"/>
  <c r="V93" i="20"/>
  <c r="B94" i="20"/>
  <c r="C94" i="20"/>
  <c r="D94" i="20"/>
  <c r="E94" i="20"/>
  <c r="F94" i="20"/>
  <c r="G94" i="20"/>
  <c r="H94" i="20"/>
  <c r="I94" i="20"/>
  <c r="J94" i="20"/>
  <c r="K94" i="20"/>
  <c r="L94" i="20"/>
  <c r="M94" i="20"/>
  <c r="N94" i="20"/>
  <c r="O94" i="20"/>
  <c r="P94" i="20"/>
  <c r="Q94" i="20"/>
  <c r="R94" i="20"/>
  <c r="S94" i="20"/>
  <c r="T94" i="20"/>
  <c r="U94" i="20"/>
  <c r="V94" i="20"/>
  <c r="B97" i="20"/>
  <c r="C97" i="20"/>
  <c r="D97" i="20"/>
  <c r="E97" i="20"/>
  <c r="F97" i="20"/>
  <c r="G97" i="20"/>
  <c r="H97" i="20"/>
  <c r="I97" i="20"/>
  <c r="J97" i="20"/>
  <c r="K97" i="20"/>
  <c r="L97" i="20"/>
  <c r="M97" i="20"/>
  <c r="N97" i="20"/>
  <c r="O97" i="20"/>
  <c r="P97" i="20"/>
  <c r="Q97" i="20"/>
  <c r="R97" i="20"/>
  <c r="S97" i="20"/>
  <c r="T97" i="20"/>
  <c r="U97" i="20"/>
  <c r="V97" i="20"/>
  <c r="B98" i="20"/>
  <c r="C98" i="20"/>
  <c r="D98" i="20"/>
  <c r="E98" i="20"/>
  <c r="F98" i="20"/>
  <c r="G98" i="20"/>
  <c r="H98" i="20"/>
  <c r="I98" i="20"/>
  <c r="J98" i="20"/>
  <c r="K98" i="20"/>
  <c r="L98" i="20"/>
  <c r="M98" i="20"/>
  <c r="N98" i="20"/>
  <c r="O98" i="20"/>
  <c r="P98" i="20"/>
  <c r="Q98" i="20"/>
  <c r="R98" i="20"/>
  <c r="B99" i="20"/>
  <c r="C99" i="20"/>
  <c r="D99" i="20"/>
  <c r="E99" i="20"/>
  <c r="F99" i="20"/>
  <c r="G99" i="20"/>
  <c r="H99" i="20"/>
  <c r="I99" i="20"/>
  <c r="J99" i="20"/>
  <c r="K99" i="20"/>
  <c r="L99" i="20"/>
  <c r="M99" i="20"/>
  <c r="N99" i="20"/>
  <c r="O99" i="20"/>
  <c r="P99" i="20"/>
  <c r="Q99" i="20"/>
  <c r="R99" i="20"/>
  <c r="S99" i="20"/>
  <c r="T99" i="20"/>
  <c r="U99" i="20"/>
  <c r="V99" i="20"/>
  <c r="B100" i="20"/>
  <c r="C100" i="20"/>
  <c r="D100" i="20"/>
  <c r="E100" i="20"/>
  <c r="F100" i="20"/>
  <c r="G100" i="20"/>
  <c r="H100" i="20"/>
  <c r="I100" i="20"/>
  <c r="J100" i="20"/>
  <c r="K100" i="20"/>
  <c r="L100" i="20"/>
  <c r="M100" i="20"/>
  <c r="N100" i="20"/>
  <c r="O100" i="20"/>
  <c r="P100" i="20"/>
  <c r="Q100" i="20"/>
  <c r="R100" i="20"/>
  <c r="S100" i="20"/>
  <c r="T100" i="20"/>
  <c r="U100" i="20"/>
  <c r="V100" i="20"/>
  <c r="B103" i="20"/>
  <c r="C103" i="20"/>
  <c r="D103" i="20"/>
  <c r="E103" i="20"/>
  <c r="F103" i="20"/>
  <c r="G103" i="20"/>
  <c r="H103" i="20"/>
  <c r="I103" i="20"/>
  <c r="J103" i="20"/>
  <c r="K103" i="20"/>
  <c r="L103" i="20"/>
  <c r="M103" i="20"/>
  <c r="N103" i="20"/>
  <c r="O103" i="20"/>
  <c r="P103" i="20"/>
  <c r="Q103" i="20"/>
  <c r="R103" i="20"/>
  <c r="S103" i="20"/>
  <c r="T103" i="20"/>
  <c r="U103" i="20"/>
  <c r="V103" i="20"/>
  <c r="B104" i="20"/>
  <c r="C104" i="20"/>
  <c r="D104" i="20"/>
  <c r="E104" i="20"/>
  <c r="F104" i="20"/>
  <c r="G104" i="20"/>
  <c r="H104" i="20"/>
  <c r="I104" i="20"/>
  <c r="J104" i="20"/>
  <c r="K104" i="20"/>
  <c r="L104" i="20"/>
  <c r="M104" i="20"/>
  <c r="N104" i="20"/>
  <c r="O104" i="20"/>
  <c r="P104" i="20"/>
  <c r="Q104" i="20"/>
  <c r="R104" i="20"/>
  <c r="S104" i="20"/>
  <c r="T104" i="20"/>
  <c r="U104" i="20"/>
  <c r="V104" i="20"/>
  <c r="B105" i="20"/>
  <c r="C105" i="20"/>
  <c r="D105" i="20"/>
  <c r="E105" i="20"/>
  <c r="F105" i="20"/>
  <c r="G105" i="20"/>
  <c r="H105" i="20"/>
  <c r="I105" i="20"/>
  <c r="J105" i="20"/>
  <c r="K105" i="20"/>
  <c r="L105" i="20"/>
  <c r="M105" i="20"/>
  <c r="N105" i="20"/>
  <c r="O105" i="20"/>
  <c r="P105" i="20"/>
  <c r="Q105" i="20"/>
  <c r="R105" i="20"/>
  <c r="S105" i="20"/>
  <c r="T105" i="20"/>
  <c r="U105" i="20"/>
  <c r="V105" i="20"/>
  <c r="B110" i="20"/>
  <c r="C110" i="20"/>
  <c r="D110" i="20"/>
  <c r="E110" i="20"/>
  <c r="F110" i="20"/>
  <c r="G110" i="20"/>
  <c r="H110" i="20"/>
  <c r="I110" i="20"/>
  <c r="J110" i="20"/>
  <c r="K110" i="20"/>
  <c r="L110" i="20"/>
  <c r="M110" i="20"/>
  <c r="N110" i="20"/>
  <c r="O110" i="20"/>
  <c r="P110" i="20"/>
  <c r="Q110" i="20"/>
  <c r="R110" i="20"/>
  <c r="S110" i="20"/>
  <c r="T110" i="20"/>
  <c r="U110" i="20"/>
  <c r="V110" i="20"/>
  <c r="C111" i="20"/>
  <c r="D111" i="20"/>
  <c r="E111" i="20"/>
  <c r="F111" i="20"/>
  <c r="G111" i="20"/>
  <c r="H111" i="20"/>
  <c r="I111" i="20"/>
  <c r="J111" i="20"/>
  <c r="K111" i="20"/>
  <c r="L111" i="20"/>
  <c r="M111" i="20"/>
  <c r="N111" i="20"/>
  <c r="O111" i="20"/>
  <c r="P111" i="20"/>
  <c r="Q111" i="20"/>
  <c r="R111" i="20"/>
  <c r="S111" i="20"/>
  <c r="T111" i="20"/>
  <c r="U111" i="20"/>
  <c r="V111" i="20"/>
  <c r="B112" i="20"/>
  <c r="C112" i="20"/>
  <c r="D112" i="20"/>
  <c r="E112" i="20"/>
  <c r="F112" i="20"/>
  <c r="G112" i="20"/>
  <c r="H112" i="20"/>
  <c r="I112" i="20"/>
  <c r="J112" i="20"/>
  <c r="K112" i="20"/>
  <c r="L112" i="20"/>
  <c r="M112" i="20"/>
  <c r="N112" i="20"/>
  <c r="O112" i="20"/>
  <c r="P112" i="20"/>
  <c r="Q112" i="20"/>
  <c r="R112" i="20"/>
  <c r="S112" i="20"/>
  <c r="T112" i="20"/>
  <c r="U112" i="20"/>
  <c r="V112" i="20"/>
  <c r="B113" i="20"/>
  <c r="C113" i="20"/>
  <c r="D113" i="20"/>
  <c r="E113" i="20"/>
  <c r="F113" i="20"/>
  <c r="G113" i="20"/>
  <c r="H113" i="20"/>
  <c r="I113" i="20"/>
  <c r="J113" i="20"/>
  <c r="K113" i="20"/>
  <c r="L113" i="20"/>
  <c r="M113" i="20"/>
  <c r="N113" i="20"/>
  <c r="O113" i="20"/>
  <c r="P113" i="20"/>
  <c r="Q113" i="20"/>
  <c r="R113" i="20"/>
  <c r="S113" i="20"/>
  <c r="T113" i="20"/>
  <c r="U113" i="20"/>
  <c r="V113" i="20"/>
  <c r="B117" i="20"/>
  <c r="C117" i="20"/>
  <c r="D117" i="20"/>
  <c r="E117" i="20"/>
  <c r="F117" i="20"/>
  <c r="G117" i="20"/>
  <c r="H117" i="20"/>
  <c r="I117" i="20"/>
  <c r="J117" i="20"/>
  <c r="K117" i="20"/>
  <c r="L117" i="20"/>
  <c r="M117" i="20"/>
  <c r="N117" i="20"/>
  <c r="O117" i="20"/>
  <c r="P117" i="20"/>
  <c r="Q117" i="20"/>
  <c r="R117" i="20"/>
  <c r="S117" i="20"/>
  <c r="T117" i="20"/>
  <c r="U117" i="20"/>
  <c r="V117" i="20"/>
  <c r="C118" i="20"/>
  <c r="D118" i="20"/>
  <c r="E118" i="20"/>
  <c r="F118" i="20"/>
  <c r="G118" i="20"/>
  <c r="H118" i="20"/>
  <c r="I118" i="20"/>
  <c r="J118" i="20"/>
  <c r="K118" i="20"/>
  <c r="L118" i="20"/>
  <c r="M118" i="20"/>
  <c r="N118" i="20"/>
  <c r="O118" i="20"/>
  <c r="P118" i="20"/>
  <c r="Q118" i="20"/>
  <c r="R118" i="20"/>
  <c r="S118" i="20"/>
  <c r="T118" i="20"/>
  <c r="U118" i="20"/>
  <c r="V118" i="20"/>
  <c r="B119" i="20"/>
  <c r="C119" i="20"/>
  <c r="D119" i="20"/>
  <c r="E119" i="20"/>
  <c r="F119" i="20"/>
  <c r="G119" i="20"/>
  <c r="H119" i="20"/>
  <c r="I119" i="20"/>
  <c r="J119" i="20"/>
  <c r="K119" i="20"/>
  <c r="L119" i="20"/>
  <c r="M119" i="20"/>
  <c r="N119" i="20"/>
  <c r="O119" i="20"/>
  <c r="P119" i="20"/>
  <c r="Q119" i="20"/>
  <c r="R119" i="20"/>
  <c r="S119" i="20"/>
  <c r="T119" i="20"/>
  <c r="U119" i="20"/>
  <c r="V119" i="20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B10" i="12"/>
  <c r="C10" i="12"/>
  <c r="D10" i="12"/>
  <c r="W10" i="12"/>
  <c r="B11" i="12"/>
  <c r="C11" i="12"/>
  <c r="D11" i="12"/>
  <c r="W11" i="12"/>
  <c r="B12" i="12"/>
  <c r="C12" i="12"/>
  <c r="D12" i="12"/>
  <c r="W12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W15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W16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W17" i="12"/>
  <c r="W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W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W20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W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W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W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W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W27" i="12"/>
  <c r="W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W29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W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W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W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W33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W36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W38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W40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W42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W44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W46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W47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W49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W59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W60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W61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W62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W64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W66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W67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W69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B73" i="12"/>
  <c r="C73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W85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W86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W87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W88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W89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W91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W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W98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W99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W100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W101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S106" i="12"/>
  <c r="T106" i="12"/>
  <c r="U106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T108" i="12"/>
  <c r="U108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W112" i="12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W12" i="4"/>
  <c r="X12" i="4"/>
  <c r="Y12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W15" i="4"/>
  <c r="X15" i="4"/>
  <c r="Y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W16" i="4"/>
  <c r="X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W17" i="4"/>
  <c r="X17" i="4"/>
  <c r="Y17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W19" i="4"/>
  <c r="X19" i="4"/>
  <c r="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W20" i="4"/>
  <c r="X20" i="4"/>
  <c r="Y20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W23" i="4"/>
  <c r="X23" i="4"/>
  <c r="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W24" i="4"/>
  <c r="X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W25" i="4"/>
  <c r="X25" i="4"/>
  <c r="Y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W26" i="4"/>
  <c r="X26" i="4"/>
  <c r="Y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W27" i="4"/>
  <c r="X27" i="4"/>
  <c r="Y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W28" i="4"/>
  <c r="X28" i="4"/>
  <c r="Y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W29" i="4"/>
  <c r="X29" i="4"/>
  <c r="Y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W30" i="4"/>
  <c r="X30" i="4"/>
  <c r="Y30" i="4"/>
  <c r="W31" i="4"/>
  <c r="X31" i="4"/>
  <c r="Y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W32" i="4"/>
  <c r="X32" i="4"/>
  <c r="Y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W33" i="4"/>
  <c r="X33" i="4"/>
  <c r="Y33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W36" i="4"/>
  <c r="X36" i="4"/>
  <c r="Y36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W38" i="4"/>
  <c r="X38" i="4"/>
  <c r="Y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W40" i="4"/>
  <c r="X40" i="4"/>
  <c r="Y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W42" i="4"/>
  <c r="X42" i="4"/>
  <c r="Y42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W44" i="4"/>
  <c r="X44" i="4"/>
  <c r="Y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W46" i="4"/>
  <c r="X46" i="4"/>
  <c r="Y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W47" i="4"/>
  <c r="X47" i="4"/>
  <c r="Y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W49" i="4"/>
  <c r="X49" i="4"/>
  <c r="Y49" i="4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B10" i="11"/>
  <c r="C10" i="11"/>
  <c r="D10" i="11"/>
  <c r="W10" i="11"/>
  <c r="B11" i="11"/>
  <c r="C11" i="11"/>
  <c r="D11" i="11"/>
  <c r="W11" i="11"/>
  <c r="B12" i="11"/>
  <c r="C12" i="11"/>
  <c r="D12" i="11"/>
  <c r="W12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W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W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W17" i="11"/>
  <c r="W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W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W20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W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W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W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W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W27" i="11"/>
  <c r="U28" i="11"/>
  <c r="W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W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W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W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W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W33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W36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W38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W40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W42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W44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W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W47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W49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W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W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W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W62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W64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W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W67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W69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B73" i="11"/>
  <c r="C73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B93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W93" i="11"/>
  <c r="B94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W94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W95" i="11"/>
  <c r="B96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W96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B99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S101" i="11"/>
  <c r="T101" i="11"/>
  <c r="U101" i="11"/>
  <c r="B102" i="11"/>
  <c r="C102" i="11"/>
  <c r="D102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T103" i="11"/>
  <c r="U103" i="11"/>
  <c r="B104" i="11"/>
  <c r="C104" i="11"/>
  <c r="D104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B105" i="11"/>
  <c r="C105" i="11"/>
  <c r="D105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B107" i="11"/>
  <c r="C107" i="11"/>
  <c r="D107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W107" i="11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D6" i="3"/>
  <c r="E6" i="3"/>
  <c r="F6" i="3"/>
  <c r="G6" i="3"/>
  <c r="D7" i="3"/>
  <c r="E7" i="3"/>
  <c r="F7" i="3"/>
  <c r="G7" i="3"/>
  <c r="K7" i="3"/>
  <c r="L7" i="3"/>
  <c r="D8" i="3"/>
  <c r="E8" i="3"/>
  <c r="F8" i="3"/>
  <c r="G8" i="3"/>
  <c r="K8" i="3"/>
  <c r="L8" i="3"/>
  <c r="M8" i="3"/>
  <c r="N8" i="3"/>
  <c r="O8" i="3"/>
  <c r="P8" i="3"/>
  <c r="Q8" i="3"/>
  <c r="D9" i="3"/>
  <c r="E9" i="3"/>
  <c r="F9" i="3"/>
  <c r="G9" i="3"/>
  <c r="K9" i="3"/>
  <c r="L9" i="3"/>
  <c r="M9" i="3"/>
  <c r="N9" i="3"/>
  <c r="O9" i="3"/>
  <c r="P9" i="3"/>
  <c r="Q9" i="3"/>
  <c r="C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E55" i="3"/>
  <c r="F55" i="3"/>
  <c r="G55" i="3"/>
  <c r="H55" i="3"/>
  <c r="J55" i="3"/>
  <c r="K55" i="3"/>
  <c r="L55" i="3"/>
  <c r="M55" i="3"/>
  <c r="O55" i="3"/>
  <c r="P55" i="3"/>
  <c r="Q55" i="3"/>
  <c r="R55" i="3"/>
  <c r="T55" i="3"/>
  <c r="U55" i="3"/>
  <c r="V55" i="3"/>
  <c r="W55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K9" i="23"/>
  <c r="S9" i="23"/>
  <c r="K10" i="23"/>
  <c r="Q10" i="23"/>
  <c r="S10" i="23"/>
  <c r="K11" i="23"/>
  <c r="S11" i="23"/>
  <c r="K13" i="23"/>
  <c r="S13" i="23"/>
  <c r="K14" i="23"/>
  <c r="S14" i="23"/>
  <c r="K15" i="23"/>
  <c r="D21" i="23"/>
  <c r="E21" i="23"/>
  <c r="G21" i="23"/>
  <c r="H21" i="23"/>
  <c r="I21" i="23"/>
  <c r="C22" i="23"/>
  <c r="D23" i="23"/>
  <c r="E23" i="23"/>
  <c r="G23" i="23"/>
  <c r="H23" i="23"/>
  <c r="I23" i="23"/>
  <c r="C24" i="23"/>
  <c r="D24" i="23"/>
  <c r="E24" i="23"/>
  <c r="G24" i="23"/>
  <c r="H24" i="23"/>
  <c r="I24" i="23"/>
  <c r="C25" i="23"/>
  <c r="D25" i="23"/>
  <c r="E25" i="23"/>
  <c r="G25" i="23"/>
  <c r="H25" i="23"/>
  <c r="I25" i="23"/>
  <c r="M25" i="23"/>
  <c r="N25" i="23"/>
  <c r="O25" i="23"/>
  <c r="P25" i="23"/>
  <c r="Q25" i="23"/>
  <c r="C26" i="23"/>
  <c r="D26" i="23"/>
  <c r="E26" i="23"/>
  <c r="G26" i="23"/>
  <c r="H26" i="23"/>
  <c r="I26" i="23"/>
  <c r="K26" i="23"/>
  <c r="D29" i="23"/>
  <c r="E29" i="23"/>
  <c r="G29" i="23"/>
  <c r="H29" i="23"/>
  <c r="I29" i="23"/>
  <c r="D30" i="23"/>
  <c r="E30" i="23"/>
  <c r="G30" i="23"/>
  <c r="H30" i="23"/>
  <c r="I30" i="23"/>
  <c r="C31" i="23"/>
  <c r="D31" i="23"/>
  <c r="E31" i="23"/>
  <c r="G31" i="23"/>
  <c r="H31" i="23"/>
  <c r="I31" i="23"/>
  <c r="K31" i="23"/>
  <c r="D46" i="23"/>
  <c r="E46" i="23"/>
  <c r="G46" i="23"/>
  <c r="H46" i="23"/>
  <c r="I46" i="23"/>
  <c r="D48" i="23"/>
  <c r="E48" i="23"/>
  <c r="G48" i="23"/>
  <c r="H48" i="23"/>
  <c r="I48" i="23"/>
  <c r="C52" i="23"/>
  <c r="D52" i="23"/>
  <c r="E52" i="23"/>
  <c r="G52" i="23"/>
  <c r="H52" i="23"/>
  <c r="I52" i="23"/>
  <c r="C56" i="23"/>
  <c r="D56" i="23"/>
  <c r="E56" i="23"/>
  <c r="G56" i="23"/>
  <c r="H56" i="23"/>
  <c r="I56" i="23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W8" i="8"/>
  <c r="X8" i="8"/>
  <c r="Y8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W16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B10" i="13"/>
  <c r="C10" i="13"/>
  <c r="D10" i="13"/>
  <c r="W10" i="13"/>
  <c r="B11" i="13"/>
  <c r="C11" i="13"/>
  <c r="D11" i="13"/>
  <c r="W11" i="13"/>
  <c r="B12" i="13"/>
  <c r="C12" i="13"/>
  <c r="D12" i="13"/>
  <c r="W12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W15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W16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W17" i="13"/>
  <c r="W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W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W20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W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W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W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W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W27" i="13"/>
  <c r="W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W29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W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W31" i="13"/>
  <c r="W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W33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W36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W38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W40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W42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W44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W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W47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W49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W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W60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W61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W62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W64" i="13"/>
  <c r="B66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W66" i="13"/>
  <c r="B67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W67" i="13"/>
  <c r="B69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W69" i="13"/>
  <c r="B72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B73" i="13"/>
  <c r="C73" i="13"/>
  <c r="B85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B86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B87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T87" i="13"/>
  <c r="U87" i="13"/>
  <c r="B90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B91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B92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S92" i="13"/>
  <c r="T92" i="13"/>
  <c r="U92" i="13"/>
  <c r="B94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B99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W99" i="13"/>
  <c r="B100" i="13"/>
  <c r="C100" i="13"/>
  <c r="D100" i="13"/>
  <c r="E100" i="13"/>
  <c r="F100" i="13"/>
  <c r="G100" i="13"/>
  <c r="H100" i="13"/>
  <c r="I100" i="13"/>
  <c r="J100" i="13"/>
  <c r="K100" i="13"/>
  <c r="L100" i="13"/>
  <c r="M100" i="13"/>
  <c r="N100" i="13"/>
  <c r="O100" i="13"/>
  <c r="P100" i="13"/>
  <c r="Q100" i="13"/>
  <c r="R100" i="13"/>
  <c r="S100" i="13"/>
  <c r="T100" i="13"/>
  <c r="U100" i="13"/>
  <c r="W100" i="13"/>
  <c r="B101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S101" i="13"/>
  <c r="T101" i="13"/>
  <c r="U101" i="13"/>
  <c r="W101" i="13"/>
  <c r="B102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W102" i="13"/>
  <c r="B104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T105" i="13"/>
  <c r="U105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S107" i="13"/>
  <c r="T107" i="13"/>
  <c r="U107" i="13"/>
  <c r="B108" i="13"/>
  <c r="C108" i="13"/>
  <c r="D108" i="13"/>
  <c r="E108" i="13"/>
  <c r="F108" i="13"/>
  <c r="G108" i="13"/>
  <c r="H108" i="13"/>
  <c r="I108" i="13"/>
  <c r="J108" i="13"/>
  <c r="K108" i="13"/>
  <c r="L108" i="13"/>
  <c r="M108" i="13"/>
  <c r="N108" i="13"/>
  <c r="O108" i="13"/>
  <c r="P108" i="13"/>
  <c r="Q108" i="13"/>
  <c r="R108" i="13"/>
  <c r="S108" i="13"/>
  <c r="T108" i="13"/>
  <c r="U108" i="13"/>
  <c r="T109" i="13"/>
  <c r="U109" i="13"/>
  <c r="B110" i="13"/>
  <c r="C110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B111" i="13"/>
  <c r="C111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P111" i="13"/>
  <c r="Q111" i="13"/>
  <c r="R111" i="13"/>
  <c r="S111" i="13"/>
  <c r="T111" i="13"/>
  <c r="U111" i="13"/>
  <c r="B113" i="13"/>
  <c r="C113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P113" i="13"/>
  <c r="Q113" i="13"/>
  <c r="R113" i="13"/>
  <c r="S113" i="13"/>
  <c r="T113" i="13"/>
  <c r="U113" i="13"/>
  <c r="W113" i="13"/>
  <c r="B115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W115" i="13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Q5" i="14"/>
  <c r="AR5" i="14"/>
  <c r="AS5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B10" i="14"/>
  <c r="C10" i="14"/>
  <c r="D10" i="14"/>
  <c r="W10" i="14"/>
  <c r="B11" i="14"/>
  <c r="C11" i="14"/>
  <c r="D11" i="14"/>
  <c r="W11" i="14"/>
  <c r="B12" i="14"/>
  <c r="C12" i="14"/>
  <c r="D12" i="14"/>
  <c r="W12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W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W16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W17" i="14"/>
  <c r="W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W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W20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W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W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W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W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W27" i="14"/>
  <c r="W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W29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W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W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W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W33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W36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W38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W40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W42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W44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W46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W47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W49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W59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W60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W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W62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W64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W66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W67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W69" i="14"/>
  <c r="B72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B73" i="14"/>
  <c r="C73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B87" i="14"/>
  <c r="C87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W92" i="14"/>
  <c r="B93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W93" i="14"/>
  <c r="B94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W94" i="14"/>
  <c r="B95" i="14"/>
  <c r="C95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W95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B98" i="14"/>
  <c r="C98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C100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S100" i="14"/>
  <c r="T100" i="14"/>
  <c r="U100" i="14"/>
  <c r="B101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T102" i="14"/>
  <c r="U102" i="14"/>
  <c r="B103" i="14"/>
  <c r="C103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B104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B106" i="14"/>
  <c r="C106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W106" i="14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D419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A508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D513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D426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A515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D520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</authors>
  <commentList>
    <comment ref="D424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A513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D518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D385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</commentList>
</comments>
</file>

<file path=xl/sharedStrings.xml><?xml version="1.0" encoding="utf-8"?>
<sst xmlns="http://schemas.openxmlformats.org/spreadsheetml/2006/main" count="871" uniqueCount="321">
  <si>
    <t>DSCR</t>
  </si>
  <si>
    <t>SOURCES &amp; USES:</t>
  </si>
  <si>
    <t>TECHNICAL ASSUMPTIONS:</t>
  </si>
  <si>
    <t>1999 PROJECTS</t>
  </si>
  <si>
    <t>2000 PROJECTS</t>
  </si>
  <si>
    <t>Sources of Funds</t>
  </si>
  <si>
    <t>%</t>
  </si>
  <si>
    <t>000 $</t>
  </si>
  <si>
    <t>Uses of Funds 1999</t>
  </si>
  <si>
    <t xml:space="preserve">Total Equity </t>
  </si>
  <si>
    <t>1999 Uses</t>
  </si>
  <si>
    <t>Brownsville</t>
  </si>
  <si>
    <t>Caledonia</t>
  </si>
  <si>
    <t>New Albany</t>
  </si>
  <si>
    <t>Wheatland</t>
  </si>
  <si>
    <t>Wilton</t>
  </si>
  <si>
    <t>Bond Proceeds</t>
  </si>
  <si>
    <t>2000 Uses</t>
  </si>
  <si>
    <t>Total Sources</t>
  </si>
  <si>
    <t>Transactions Costs</t>
  </si>
  <si>
    <t>Number of Turbines</t>
  </si>
  <si>
    <t>Equity Partner's Share</t>
  </si>
  <si>
    <t>Enron's Share</t>
  </si>
  <si>
    <t>Annual Operating Hours</t>
  </si>
  <si>
    <t>Tranche 1</t>
  </si>
  <si>
    <t>Tranche 2</t>
  </si>
  <si>
    <t>Tranche 3</t>
  </si>
  <si>
    <t>Total</t>
  </si>
  <si>
    <t>Amount ('000 $)</t>
  </si>
  <si>
    <t>Term (yrs)</t>
  </si>
  <si>
    <t>PPA &amp; MARKET PRICE ASSUMPTIONS:</t>
  </si>
  <si>
    <t>Final Maturity</t>
  </si>
  <si>
    <t>Average Life (yrs)</t>
  </si>
  <si>
    <t>PPA Period</t>
  </si>
  <si>
    <t>Demand Charge ($/kW-m)</t>
  </si>
  <si>
    <t>Spread (%)</t>
  </si>
  <si>
    <t>All In Coupon Rate (%)</t>
  </si>
  <si>
    <t>Debt Service Reserve LOC Fee</t>
  </si>
  <si>
    <t>Market Period</t>
  </si>
  <si>
    <t>Interest Income Rate</t>
  </si>
  <si>
    <t>Capacity Factor for Market Period Energy Margins</t>
  </si>
  <si>
    <t>DEPRECIATION ASSUMPTIONS:</t>
  </si>
  <si>
    <t>Market Period Energy Margin ($/MWh)</t>
  </si>
  <si>
    <t>Initial Basis (000 $)</t>
  </si>
  <si>
    <t>Year</t>
  </si>
  <si>
    <t>Method</t>
  </si>
  <si>
    <t>Residual (%)</t>
  </si>
  <si>
    <t>Federal &amp; State Tax Depreciation</t>
  </si>
  <si>
    <t>MACRS</t>
  </si>
  <si>
    <t>SL</t>
  </si>
  <si>
    <t>TAX ASSUMPTIONS:</t>
  </si>
  <si>
    <t>Book Depreciation</t>
  </si>
  <si>
    <t>Federal Income Tax Rate</t>
  </si>
  <si>
    <t>State Income Tax Rate</t>
  </si>
  <si>
    <t>N/A</t>
  </si>
  <si>
    <t>SUMMARY OUTPUT:</t>
  </si>
  <si>
    <t>OPERATING COSTS ASSUMPTIONS:</t>
  </si>
  <si>
    <t>Min</t>
  </si>
  <si>
    <t>Avg.</t>
  </si>
  <si>
    <t>1999 Projects</t>
  </si>
  <si>
    <t>2000 Projects</t>
  </si>
  <si>
    <t>1999 &amp; 2000 Projects</t>
  </si>
  <si>
    <t>Average Heat Rate (average) (Btu/kWh)</t>
  </si>
  <si>
    <t>Fixed O&amp;M</t>
  </si>
  <si>
    <t>Variable O&amp;M</t>
  </si>
  <si>
    <t>Major Maintenance &amp; Ongoing Capex</t>
  </si>
  <si>
    <t>Admin Fees</t>
  </si>
  <si>
    <t>POWER PRICE ASSUMPTIONS</t>
  </si>
  <si>
    <t>Kaiser Capacity Price Escalator</t>
  </si>
  <si>
    <t>TVA Capacity Curves:</t>
  </si>
  <si>
    <t>1998 $</t>
  </si>
  <si>
    <t>Kaiser Base ($/kw-year)</t>
  </si>
  <si>
    <t>Kaiser Low ($/kw-year)</t>
  </si>
  <si>
    <t>Nominal $</t>
  </si>
  <si>
    <t>Kaiser Base ($/kw-year )</t>
  </si>
  <si>
    <t>Kaiser Base ($/kW-month)</t>
  </si>
  <si>
    <t>Kaiser Low ($/kW-month)</t>
  </si>
  <si>
    <t>Custom</t>
  </si>
  <si>
    <t>ComEd Capacity Curves:</t>
  </si>
  <si>
    <t>(for Wilton Center)</t>
  </si>
  <si>
    <t>Debt Service Reserve LOC Fee (Nominal $)</t>
  </si>
  <si>
    <t>Southern ECAR Capacity Curves:</t>
  </si>
  <si>
    <t>(for Wheatland)</t>
  </si>
  <si>
    <t>('000 $)</t>
  </si>
  <si>
    <t>Revenue</t>
  </si>
  <si>
    <t>Demand Payment</t>
  </si>
  <si>
    <t xml:space="preserve">Variable Revenue </t>
  </si>
  <si>
    <t>Energy Margin</t>
  </si>
  <si>
    <t>Total Revenue</t>
  </si>
  <si>
    <t>Expense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</si>
  <si>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</si>
  <si>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</si>
  <si>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</si>
  <si>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</si>
  <si>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</si>
  <si>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</si>
  <si>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</si>
  <si>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</si>
  <si>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Net Income</t>
  </si>
  <si>
    <t>Debt Service</t>
  </si>
  <si>
    <t>Pre Tax Cash Flow</t>
  </si>
  <si>
    <t>After Tax Cash Flow</t>
  </si>
  <si>
    <t>IRR Calculation</t>
  </si>
  <si>
    <t>Equity Partner's Cashflow with No Residual Value</t>
  </si>
  <si>
    <t xml:space="preserve">   IRR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</si>
  <si>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</si>
  <si>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</si>
  <si>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</si>
  <si>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</si>
  <si>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</si>
  <si>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</si>
  <si>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15 Year MACRS Table</t>
  </si>
  <si>
    <t>STATE TAXES</t>
  </si>
  <si>
    <t>FEDERAL TAXES</t>
  </si>
  <si>
    <t>Brownsville Net Income</t>
  </si>
  <si>
    <t>CASH FLOW BROWNSVILLE</t>
  </si>
  <si>
    <t>Investor Interest</t>
  </si>
  <si>
    <t>Caledonia Net Income</t>
  </si>
  <si>
    <t>New Albany Net Income</t>
  </si>
  <si>
    <t>INCOME STATEMENT - WHEATLAND</t>
  </si>
  <si>
    <t>Wheatland Net Income</t>
  </si>
  <si>
    <t>CASH FLOW - WHEATLAND</t>
  </si>
  <si>
    <t>Adjusted Gross Income Tax</t>
  </si>
  <si>
    <t>State Gross Receipts Taxes</t>
  </si>
  <si>
    <t>Wilton Net Income</t>
  </si>
  <si>
    <t>CASH FLOW WILTON</t>
  </si>
  <si>
    <t>ALLOCATION</t>
  </si>
  <si>
    <t>Project</t>
  </si>
  <si>
    <t xml:space="preserve">   Sub Total</t>
  </si>
  <si>
    <t>INCOME STATEMENT - BROWNSVILLE</t>
  </si>
  <si>
    <t>INCOME STATEMENT - CALEDONIA</t>
  </si>
  <si>
    <t>INCOME STATEMENT - NEW ALBANY</t>
  </si>
  <si>
    <t>INCOME STATEMENT - WILTON</t>
  </si>
  <si>
    <t>Less Interest Payments</t>
  </si>
  <si>
    <t>Less Principal Payments</t>
  </si>
  <si>
    <t>Average Life</t>
  </si>
  <si>
    <t xml:space="preserve"> State Cash Taxes Benefit (Expense)</t>
  </si>
  <si>
    <t xml:space="preserve"> Federal Cash Taxes Benefit (Expense)</t>
  </si>
  <si>
    <t>Unhide Sub Debt, 1999 Columns</t>
  </si>
  <si>
    <t>ANNUAL CASH FLOW AND IRR</t>
  </si>
  <si>
    <t>Maximum DSR Amount (12mths) (000 $)</t>
  </si>
  <si>
    <t>ISO Capacity (MW)</t>
  </si>
  <si>
    <t>Gleason</t>
  </si>
  <si>
    <t>Gleason Net Income</t>
  </si>
  <si>
    <t>CASH FLOW Gleason</t>
  </si>
  <si>
    <t>Commercial Operation Date</t>
  </si>
  <si>
    <t>Initial Book Value</t>
  </si>
  <si>
    <t>No. of Months in Operation</t>
  </si>
  <si>
    <t>% Depreciated</t>
  </si>
  <si>
    <t>Beginning Book Value</t>
  </si>
  <si>
    <t>Depreciation</t>
  </si>
  <si>
    <t>Ending Book Value</t>
  </si>
  <si>
    <t>GenCo</t>
  </si>
  <si>
    <t>Fixed Price Period</t>
  </si>
  <si>
    <t>Market Price Period</t>
  </si>
  <si>
    <t>Salvage Value at the end of 20 years ($/kW)</t>
  </si>
  <si>
    <t>Equity Partner's After-Tax Returns w/o Salvage Value (20 yrs) (000$)</t>
  </si>
  <si>
    <t>Equity Partner's After-Tax Returns with Salvage Value (20 yrs) (000$)</t>
  </si>
  <si>
    <t>O&amp;M Management Fee</t>
  </si>
  <si>
    <t>Owner's Expense</t>
  </si>
  <si>
    <t>Annual Cost (000$ in Year 2000)</t>
  </si>
  <si>
    <t>Annual Escalator</t>
  </si>
  <si>
    <t>Tax Depreciation</t>
  </si>
  <si>
    <t>GENCO DEPRECIATION</t>
  </si>
  <si>
    <t>Project Cost</t>
  </si>
  <si>
    <t>Ending Value</t>
  </si>
  <si>
    <t>Transaction Cost</t>
  </si>
  <si>
    <t>Beginning Value</t>
  </si>
  <si>
    <t>Close</t>
  </si>
  <si>
    <t>DEBT ISSUANCE</t>
  </si>
  <si>
    <t>EBITDA by Debt Fiscal Year</t>
  </si>
  <si>
    <t>Target DS</t>
  </si>
  <si>
    <t>Principal Payments</t>
  </si>
  <si>
    <t>ACTUAL DSCR</t>
  </si>
  <si>
    <t>Treasury (%)</t>
  </si>
  <si>
    <t>Term (years)</t>
  </si>
  <si>
    <t>Average Life (years)</t>
  </si>
  <si>
    <t>Average</t>
  </si>
  <si>
    <t>Minimum</t>
  </si>
  <si>
    <t>Time Factor</t>
  </si>
  <si>
    <t>Total State Taxes Utilizing NOLs</t>
  </si>
  <si>
    <t>State Taxable Income</t>
  </si>
  <si>
    <t>Pretax Book Income</t>
  </si>
  <si>
    <t>Plus Book Depreciation &amp; Amortization</t>
  </si>
  <si>
    <t>Current State Income Tax Expense (Benefit)</t>
  </si>
  <si>
    <t>Beginning NOL's</t>
  </si>
  <si>
    <t>New NOL's</t>
  </si>
  <si>
    <t>Expired NOL's</t>
  </si>
  <si>
    <t>NOL Utilization</t>
  </si>
  <si>
    <t>Ending NOL's</t>
  </si>
  <si>
    <t>Less: State Taxes</t>
  </si>
  <si>
    <t>Federal Tax Rate</t>
  </si>
  <si>
    <t>Federal Tax Expense/ (Benefit)</t>
  </si>
  <si>
    <t>NOL Carryforward</t>
  </si>
  <si>
    <t>Total Federal Cash Taxes Payable/(Benefit)</t>
  </si>
  <si>
    <t>Equity Partner's Contribution</t>
  </si>
  <si>
    <t>Equity Partner's Net Cashflow</t>
  </si>
  <si>
    <t>Debt Closing Date</t>
  </si>
  <si>
    <t>Fixed Price Period:</t>
  </si>
  <si>
    <t>Market Price Period:</t>
  </si>
  <si>
    <t>Accrued Interest</t>
  </si>
  <si>
    <t>Equity Partner's Cashflow</t>
  </si>
  <si>
    <t>Salvage Value</t>
  </si>
  <si>
    <t>GenCo Pre-Tax Cashflow (000 $)</t>
  </si>
  <si>
    <t>GenCo After-Tax Cashflow (000 $)</t>
  </si>
  <si>
    <t>GenCo EBITDA (000 $)</t>
  </si>
  <si>
    <t>GenCo Net Income (000 $)</t>
  </si>
  <si>
    <t xml:space="preserve">  GenCo's State Tax Benefit / (Expense)</t>
  </si>
  <si>
    <t xml:space="preserve">  GenCo's Federal Tax Benefit / (Expense)</t>
  </si>
  <si>
    <t>INCOME STATEMENT - GLEASON</t>
  </si>
  <si>
    <t>GENCO INCOME STATEMENT</t>
  </si>
  <si>
    <t>GENCO CASH FLOW</t>
  </si>
  <si>
    <t>Annual Generation (MWh)</t>
  </si>
  <si>
    <t>Block Payment</t>
  </si>
  <si>
    <t>Marketing Fee</t>
  </si>
  <si>
    <t>Summer Capacity (MW)</t>
  </si>
  <si>
    <t>Numbers of Starts</t>
  </si>
  <si>
    <t>Discount Rate</t>
  </si>
  <si>
    <t>NPV</t>
  </si>
  <si>
    <t>EBITDA Valuation</t>
  </si>
  <si>
    <t>FINANCING ASSUMPTIONS:</t>
  </si>
  <si>
    <t>Debt Financing Summary:</t>
  </si>
  <si>
    <t>Equity Financing Summary:</t>
  </si>
  <si>
    <t>Equity Closing Date</t>
  </si>
  <si>
    <t>Required Rate of Return (%)</t>
  </si>
  <si>
    <t>By Project Cost</t>
  </si>
  <si>
    <t>Weighted Average Cost of Capital (%)</t>
  </si>
  <si>
    <t>Kaiser Low ($/kW-year)</t>
  </si>
  <si>
    <t>Fixed Price $</t>
  </si>
  <si>
    <t>Fixed Price Scenario</t>
  </si>
  <si>
    <t>Capacity Price Scenario</t>
  </si>
  <si>
    <t>Check</t>
  </si>
  <si>
    <t>Principal</t>
  </si>
  <si>
    <t>Market Price &amp; Price Extension Period:</t>
  </si>
  <si>
    <t>Total ISO Capacity for 1999 &amp; 2000 Projects (MW)</t>
  </si>
  <si>
    <t>Fixed Price Extension</t>
  </si>
  <si>
    <t>No</t>
  </si>
  <si>
    <t>5-year extension</t>
  </si>
  <si>
    <t>10-year extension</t>
  </si>
  <si>
    <t>PV of EBITDA @</t>
  </si>
  <si>
    <t>By Cashflow</t>
  </si>
  <si>
    <t>ASSUMPTIONS</t>
  </si>
  <si>
    <t>SUMMARY OUTPUT</t>
  </si>
  <si>
    <t>OTHER PROJECTS</t>
  </si>
  <si>
    <t>LV Cogen</t>
  </si>
  <si>
    <t>Pastoria</t>
  </si>
  <si>
    <t>Doyle</t>
  </si>
  <si>
    <t>Total Uses</t>
  </si>
  <si>
    <t>Sub Total</t>
  </si>
  <si>
    <t>ALL PROJECTS</t>
  </si>
  <si>
    <t>Moore Power</t>
  </si>
  <si>
    <t>Calumet</t>
  </si>
  <si>
    <r>
      <t xml:space="preserve">Heat Rate During Summer </t>
    </r>
    <r>
      <rPr>
        <sz val="12"/>
        <rFont val="Times New Roman"/>
        <family val="1"/>
      </rPr>
      <t>(HHV, Btu/kWh)</t>
    </r>
  </si>
  <si>
    <t>End of Fixed Price Extension</t>
  </si>
  <si>
    <t>Interest Income</t>
  </si>
  <si>
    <t>Plus Property Tax Liability</t>
  </si>
  <si>
    <t>Less Property Tax Expense</t>
  </si>
  <si>
    <t>Fixed Price PPA</t>
  </si>
  <si>
    <t>Fixed Price PPA w 5-yr extension</t>
  </si>
  <si>
    <t>Fixed Price PPA w 10-yr extension</t>
  </si>
  <si>
    <t>Fixed Price PPA w 15-yr extension</t>
  </si>
  <si>
    <t>15-year extension</t>
  </si>
  <si>
    <t>GENCO FEDERAL TAXES</t>
  </si>
  <si>
    <t>CASH FLOW - CALEDONIA</t>
  </si>
  <si>
    <t>CASH FLOW - NEW ALBANY</t>
  </si>
  <si>
    <t>STATE TAXES - NEW ALBANY</t>
  </si>
  <si>
    <t>Book Income</t>
  </si>
  <si>
    <t>Adjusted Gross Income Rate</t>
  </si>
  <si>
    <t>State Adjusted Gross Income Tax</t>
  </si>
  <si>
    <t xml:space="preserve">Gross Receipts </t>
  </si>
  <si>
    <t>Gross Receipts Tax Rate</t>
  </si>
  <si>
    <t>Gross Receipts Tax Liability</t>
  </si>
  <si>
    <t>Greater of Adjusted or Gross Receipts</t>
  </si>
  <si>
    <t>State Taxes Utilizing NOLs</t>
  </si>
  <si>
    <t>Franchise Tax Rate (Year 1)</t>
  </si>
  <si>
    <t>Franchise Tax Rate (Year 2-20)</t>
  </si>
  <si>
    <t>Paid-In-Capital</t>
  </si>
  <si>
    <t>SUPPLEMENTAL TAXES</t>
  </si>
  <si>
    <t>STATE &amp; SUPPLEMENTAL TAXES - WHEATLAND</t>
  </si>
  <si>
    <t>FRANCHISE TAX</t>
  </si>
  <si>
    <t>State Franchise Tax Rate</t>
  </si>
  <si>
    <t>State Franchise Tax Liability</t>
  </si>
  <si>
    <t>STATE TAXES &amp; FRANCHISE TAXES - WILTON</t>
  </si>
  <si>
    <t>Franchise Tax</t>
  </si>
  <si>
    <t>STATE TAX &amp; FRANCHISE TAX - CALEDONIA</t>
  </si>
  <si>
    <t>Retained Earnings</t>
  </si>
  <si>
    <t>Outstanding Debt</t>
  </si>
  <si>
    <t>Shareholders Equity &amp; Long Term Debt</t>
  </si>
  <si>
    <t>State Fracnhise Tax Rate</t>
  </si>
  <si>
    <t>Property Taxes Liability</t>
  </si>
  <si>
    <t>STATE TAX &amp; FRANCHISE TAX - BROWNSVILLE</t>
  </si>
  <si>
    <t>STATE TAX &amp; FRANCHISE TAX - GLEASON</t>
  </si>
  <si>
    <t>Book Value of Assets</t>
  </si>
  <si>
    <t>Total Capitalization</t>
  </si>
  <si>
    <t>Greater of Book Value and Capitalzation</t>
  </si>
  <si>
    <t>Transaction Costs (for the entire Project)</t>
  </si>
  <si>
    <t>Total Project Cost</t>
  </si>
  <si>
    <t>Property Taxes Liability (average for 20 years)</t>
  </si>
  <si>
    <t xml:space="preserve">Property Taxes Liability </t>
  </si>
  <si>
    <t>(for Brownsville, Caledonia, New Albany and Gleason)</t>
  </si>
  <si>
    <t>Marketing Fee ($/kW -m during Market Price Period)</t>
  </si>
  <si>
    <t>Property Taxes</t>
  </si>
  <si>
    <t>Treasury Rate (%) (as of 27-Apr-00)</t>
  </si>
  <si>
    <t>Federal Taxable Income</t>
  </si>
  <si>
    <t>Goal Seek</t>
  </si>
  <si>
    <t>Solve Equity</t>
  </si>
  <si>
    <t>Solve % Breakdown</t>
  </si>
  <si>
    <t>Less: Tax Depreciation</t>
  </si>
  <si>
    <t>Less Tax Depreciation</t>
  </si>
  <si>
    <t>Tax Depreciation From Above</t>
  </si>
  <si>
    <t>Tax Depreciation From 6 Plants</t>
  </si>
  <si>
    <t>Difference</t>
  </si>
  <si>
    <t>Total State &amp; Supplmental Taxes</t>
  </si>
  <si>
    <t>Franchise Tax - Brownsville, Caledonia, New Albany and Gleason</t>
  </si>
  <si>
    <t>Variable O&amp;M ($/MWh-year)</t>
  </si>
  <si>
    <t>NA</t>
  </si>
  <si>
    <t>Solve Debt/Debt Reserve</t>
  </si>
  <si>
    <t>Energy Payment</t>
  </si>
  <si>
    <t>Energy Charge ($/MWh)</t>
  </si>
  <si>
    <t>Block Charge ($/Start/Turbine)</t>
  </si>
  <si>
    <t>Major Maintenance &amp; Ongoing Capex ($/Start/Turbine)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</si>
</sst>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22" formatCode="#,##0.00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  <numFmt numFmtId="358" formatCode="mm/dd/yy"/>
  </numFmts>
  <fonts count="10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2"/>
      <color indexed="12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i/>
      <sz val="12"/>
      <name val="Times New Roman"/>
      <family val="1"/>
    </font>
    <font>
      <b/>
      <sz val="11"/>
      <name val="Times New Roman"/>
      <family val="1"/>
    </font>
    <font>
      <i/>
      <u/>
      <sz val="10"/>
      <color indexed="10"/>
      <name val="Times New Roman"/>
      <family val="1"/>
    </font>
    <font>
      <b/>
      <sz val="7"/>
      <name val="Times New Roman"/>
      <family val="1"/>
    </font>
    <font>
      <u val="singleAccounting"/>
      <sz val="8"/>
      <name val="Times New Roman"/>
      <family val="1"/>
    </font>
    <font>
      <b/>
      <sz val="20"/>
      <name val="Times New Roman"/>
      <family val="1"/>
    </font>
    <font>
      <u/>
      <sz val="10"/>
      <color indexed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b/>
      <sz val="12"/>
      <color indexed="12"/>
      <name val="Times New Roman"/>
      <family val="1"/>
    </font>
    <font>
      <i/>
      <sz val="12"/>
      <name val="Times New Roman"/>
      <family val="1"/>
    </font>
    <font>
      <i/>
      <u/>
      <sz val="12"/>
      <name val="Times New Roman"/>
      <family val="1"/>
    </font>
    <font>
      <sz val="8"/>
      <name val="Arial"/>
      <family val="2"/>
    </font>
    <font>
      <sz val="12"/>
      <name val="Times New Roman"/>
    </font>
    <font>
      <b/>
      <sz val="12"/>
      <color indexed="8"/>
      <name val="Times New Roman"/>
      <family val="1"/>
    </font>
    <font>
      <sz val="8"/>
      <color indexed="81"/>
      <name val="Tahoma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sz val="18"/>
      <name val="Times New Roman"/>
      <family val="1"/>
    </font>
    <font>
      <b/>
      <sz val="12"/>
      <color indexed="10"/>
      <name val="Times New Roman"/>
      <family val="1"/>
    </font>
    <font>
      <b/>
      <sz val="10"/>
      <color indexed="20"/>
      <name val="Times New Roman"/>
      <family val="1"/>
    </font>
    <font>
      <b/>
      <i/>
      <sz val="10"/>
      <color indexed="10"/>
      <name val="Times New Roman"/>
      <family val="1"/>
    </font>
    <font>
      <i/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color indexed="10"/>
      <name val="Arial"/>
      <family val="2"/>
    </font>
    <font>
      <b/>
      <u/>
      <sz val="8"/>
      <name val="Times New Roman"/>
      <family val="1"/>
    </font>
    <font>
      <i/>
      <u/>
      <sz val="8"/>
      <name val="Times New Roman"/>
      <family val="1"/>
    </font>
    <font>
      <u/>
      <sz val="10"/>
      <color indexed="8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4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51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43" fillId="4" borderId="0" applyNumberFormat="0" applyBorder="0" applyAlignment="0" applyProtection="0"/>
    <xf numFmtId="0" fontId="58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38" fillId="0" borderId="2" applyNumberFormat="0" applyFill="0" applyAlignment="0" applyProtection="0"/>
    <xf numFmtId="10" fontId="43" fillId="5" borderId="3" applyNumberFormat="0" applyBorder="0" applyAlignment="0" applyProtection="0"/>
    <xf numFmtId="37" fontId="60" fillId="0" borderId="0"/>
    <xf numFmtId="170" fontId="61" fillId="0" borderId="0"/>
    <xf numFmtId="0" fontId="1" fillId="0" borderId="0"/>
    <xf numFmtId="37" fontId="6" fillId="0" borderId="0" applyBorder="0" applyAlignment="0" applyProtection="0">
      <alignment horizontal="center"/>
    </xf>
    <xf numFmtId="0" fontId="1" fillId="0" borderId="0"/>
    <xf numFmtId="0" fontId="26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43" fillId="8" borderId="0" applyNumberFormat="0" applyBorder="0" applyAlignment="0" applyProtection="0"/>
    <xf numFmtId="37" fontId="43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96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65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43" fontId="2" fillId="0" borderId="0" xfId="3" applyFont="1" applyFill="1" applyAlignment="1">
      <alignment horizontal="left"/>
    </xf>
    <xf numFmtId="43" fontId="3" fillId="0" borderId="0" xfId="3" applyFont="1" applyFill="1" applyAlignment="1">
      <alignment horizontal="left"/>
    </xf>
    <xf numFmtId="43" fontId="2" fillId="0" borderId="0" xfId="3" applyFont="1" applyFill="1"/>
    <xf numFmtId="43" fontId="5" fillId="0" borderId="0" xfId="3" applyFont="1" applyFill="1" applyAlignment="1">
      <alignment horizontal="left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66" fontId="3" fillId="0" borderId="0" xfId="3" applyNumberFormat="1" applyFont="1"/>
    <xf numFmtId="166" fontId="3" fillId="0" borderId="0" xfId="3" applyNumberFormat="1" applyFont="1" applyBorder="1" applyProtection="1"/>
    <xf numFmtId="0" fontId="3" fillId="0" borderId="0" xfId="0" applyFont="1" applyBorder="1" applyAlignment="1" applyProtection="1">
      <alignment horizontal="left"/>
    </xf>
    <xf numFmtId="166" fontId="3" fillId="0" borderId="0" xfId="3" applyNumberFormat="1" applyFont="1" applyBorder="1"/>
    <xf numFmtId="0" fontId="16" fillId="0" borderId="0" xfId="0" applyFont="1"/>
    <xf numFmtId="0" fontId="18" fillId="0" borderId="0" xfId="0" applyFont="1"/>
    <xf numFmtId="0" fontId="9" fillId="0" borderId="0" xfId="0" applyFont="1"/>
    <xf numFmtId="0" fontId="3" fillId="4" borderId="0" xfId="0" applyFont="1" applyFill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0" fontId="24" fillId="0" borderId="0" xfId="0" applyFont="1"/>
    <xf numFmtId="0" fontId="11" fillId="0" borderId="0" xfId="0" applyFont="1"/>
    <xf numFmtId="3" fontId="3" fillId="0" borderId="0" xfId="0" applyNumberFormat="1" applyFont="1"/>
    <xf numFmtId="3" fontId="2" fillId="0" borderId="0" xfId="0" applyNumberFormat="1" applyFont="1"/>
    <xf numFmtId="0" fontId="17" fillId="0" borderId="0" xfId="0" applyFont="1"/>
    <xf numFmtId="0" fontId="17" fillId="0" borderId="0" xfId="0" applyFont="1" applyBorder="1"/>
    <xf numFmtId="0" fontId="13" fillId="0" borderId="0" xfId="0" applyFont="1"/>
    <xf numFmtId="0" fontId="9" fillId="0" borderId="0" xfId="0" applyFont="1" applyFill="1"/>
    <xf numFmtId="43" fontId="9" fillId="0" borderId="0" xfId="3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166" fontId="15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7" fillId="0" borderId="0" xfId="0" applyFont="1" applyFill="1"/>
    <xf numFmtId="166" fontId="3" fillId="0" borderId="0" xfId="3" applyNumberFormat="1" applyFont="1" applyFill="1"/>
    <xf numFmtId="0" fontId="2" fillId="0" borderId="0" xfId="0" applyFont="1" applyFill="1" applyBorder="1"/>
    <xf numFmtId="0" fontId="30" fillId="0" borderId="0" xfId="0" applyFont="1" applyFill="1" applyBorder="1"/>
    <xf numFmtId="166" fontId="3" fillId="0" borderId="0" xfId="3" applyNumberFormat="1" applyFont="1" applyFill="1" applyBorder="1"/>
    <xf numFmtId="166" fontId="4" fillId="0" borderId="0" xfId="3" applyNumberFormat="1" applyFont="1" applyFill="1"/>
    <xf numFmtId="166" fontId="4" fillId="0" borderId="0" xfId="3" applyNumberFormat="1" applyFont="1" applyFill="1" applyBorder="1"/>
    <xf numFmtId="0" fontId="4" fillId="0" borderId="0" xfId="0" applyFont="1" applyFill="1" applyBorder="1"/>
    <xf numFmtId="6" fontId="15" fillId="0" borderId="0" xfId="0" applyNumberFormat="1" applyFont="1" applyFill="1"/>
    <xf numFmtId="0" fontId="9" fillId="0" borderId="0" xfId="0" applyFont="1" applyFill="1" applyBorder="1"/>
    <xf numFmtId="166" fontId="2" fillId="0" borderId="0" xfId="3" applyNumberFormat="1" applyFont="1" applyFill="1" applyBorder="1"/>
    <xf numFmtId="166" fontId="12" fillId="0" borderId="0" xfId="3" applyNumberFormat="1" applyFont="1" applyFill="1"/>
    <xf numFmtId="38" fontId="3" fillId="0" borderId="0" xfId="3" applyNumberFormat="1" applyFont="1" applyFill="1"/>
    <xf numFmtId="168" fontId="3" fillId="0" borderId="0" xfId="3" applyNumberFormat="1" applyFont="1" applyFill="1"/>
    <xf numFmtId="43" fontId="3" fillId="0" borderId="0" xfId="3" applyFont="1" applyFill="1" applyBorder="1"/>
    <xf numFmtId="0" fontId="24" fillId="0" borderId="0" xfId="0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37" fontId="3" fillId="0" borderId="0" xfId="0" applyNumberFormat="1" applyFont="1" applyFill="1" applyBorder="1"/>
    <xf numFmtId="37" fontId="2" fillId="0" borderId="0" xfId="0" applyNumberFormat="1" applyFont="1" applyFill="1" applyBorder="1"/>
    <xf numFmtId="0" fontId="32" fillId="0" borderId="0" xfId="0" applyFont="1" applyFill="1" applyBorder="1"/>
    <xf numFmtId="43" fontId="33" fillId="0" borderId="0" xfId="3" applyFont="1" applyFill="1" applyBorder="1"/>
    <xf numFmtId="9" fontId="33" fillId="0" borderId="0" xfId="22" applyFont="1" applyFill="1" applyBorder="1"/>
    <xf numFmtId="43" fontId="2" fillId="0" borderId="0" xfId="3" applyFont="1" applyFill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43" fontId="2" fillId="0" borderId="0" xfId="3" applyFont="1" applyFill="1" applyBorder="1"/>
    <xf numFmtId="43" fontId="5" fillId="0" borderId="0" xfId="3" applyFont="1" applyFill="1" applyBorder="1" applyAlignment="1">
      <alignment horizontal="left"/>
    </xf>
    <xf numFmtId="43" fontId="18" fillId="0" borderId="0" xfId="3" applyFont="1" applyFill="1" applyBorder="1" applyAlignment="1">
      <alignment horizontal="left"/>
    </xf>
    <xf numFmtId="168" fontId="3" fillId="0" borderId="0" xfId="3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1" fontId="3" fillId="0" borderId="0" xfId="0" applyNumberFormat="1" applyFont="1" applyFill="1" applyBorder="1"/>
    <xf numFmtId="9" fontId="2" fillId="0" borderId="0" xfId="22" applyFont="1" applyFill="1" applyBorder="1"/>
    <xf numFmtId="0" fontId="17" fillId="0" borderId="0" xfId="21" applyFont="1" applyFill="1" applyBorder="1" applyAlignment="1" applyProtection="1">
      <alignment horizontal="left"/>
    </xf>
    <xf numFmtId="0" fontId="17" fillId="0" borderId="0" xfId="21" applyFont="1" applyFill="1" applyBorder="1" applyAlignment="1">
      <alignment horizontal="center"/>
    </xf>
    <xf numFmtId="38" fontId="3" fillId="0" borderId="0" xfId="0" applyNumberFormat="1" applyFont="1" applyFill="1" applyBorder="1"/>
    <xf numFmtId="9" fontId="3" fillId="0" borderId="0" xfId="0" applyNumberFormat="1" applyFont="1" applyFill="1" applyBorder="1"/>
    <xf numFmtId="40" fontId="3" fillId="0" borderId="0" xfId="0" applyNumberFormat="1" applyFont="1" applyFill="1" applyBorder="1"/>
    <xf numFmtId="0" fontId="18" fillId="0" borderId="0" xfId="21" applyFont="1" applyFill="1" applyBorder="1" applyAlignment="1" applyProtection="1">
      <alignment horizontal="left"/>
    </xf>
    <xf numFmtId="190" fontId="3" fillId="0" borderId="0" xfId="0" applyNumberFormat="1" applyFont="1" applyFill="1" applyBorder="1"/>
    <xf numFmtId="172" fontId="18" fillId="0" borderId="0" xfId="0" applyNumberFormat="1" applyFont="1" applyFill="1" applyBorder="1" applyProtection="1"/>
    <xf numFmtId="166" fontId="14" fillId="0" borderId="0" xfId="3" applyNumberFormat="1" applyFont="1" applyFill="1" applyBorder="1"/>
    <xf numFmtId="166" fontId="3" fillId="0" borderId="0" xfId="0" applyNumberFormat="1" applyFont="1" applyFill="1" applyBorder="1"/>
    <xf numFmtId="41" fontId="14" fillId="0" borderId="0" xfId="0" applyNumberFormat="1" applyFont="1" applyFill="1" applyBorder="1"/>
    <xf numFmtId="41" fontId="2" fillId="0" borderId="0" xfId="0" applyNumberFormat="1" applyFont="1" applyFill="1" applyBorder="1"/>
    <xf numFmtId="41" fontId="18" fillId="0" borderId="0" xfId="0" applyNumberFormat="1" applyFont="1" applyFill="1" applyBorder="1"/>
    <xf numFmtId="0" fontId="14" fillId="0" borderId="0" xfId="0" applyFont="1" applyFill="1" applyBorder="1"/>
    <xf numFmtId="37" fontId="14" fillId="0" borderId="0" xfId="0" applyNumberFormat="1" applyFont="1" applyFill="1" applyBorder="1"/>
    <xf numFmtId="0" fontId="7" fillId="0" borderId="0" xfId="19" applyFont="1" applyFill="1" applyBorder="1"/>
    <xf numFmtId="0" fontId="2" fillId="0" borderId="0" xfId="19" applyFont="1" applyFill="1" applyBorder="1"/>
    <xf numFmtId="0" fontId="3" fillId="0" borderId="0" xfId="19" applyFont="1" applyFill="1" applyBorder="1"/>
    <xf numFmtId="0" fontId="2" fillId="0" borderId="0" xfId="19" applyFont="1" applyFill="1" applyBorder="1" applyAlignment="1">
      <alignment horizontal="center"/>
    </xf>
    <xf numFmtId="0" fontId="2" fillId="0" borderId="0" xfId="20" applyFont="1" applyFill="1" applyBorder="1"/>
    <xf numFmtId="0" fontId="3" fillId="0" borderId="0" xfId="20" applyFont="1" applyFill="1" applyBorder="1"/>
    <xf numFmtId="164" fontId="2" fillId="0" borderId="0" xfId="22" applyNumberFormat="1" applyFont="1" applyFill="1" applyBorder="1"/>
    <xf numFmtId="0" fontId="2" fillId="0" borderId="0" xfId="19" applyFont="1" applyFill="1" applyBorder="1" applyAlignment="1">
      <alignment horizontal="left"/>
    </xf>
    <xf numFmtId="41" fontId="3" fillId="0" borderId="0" xfId="19" applyNumberFormat="1" applyFont="1" applyFill="1" applyBorder="1"/>
    <xf numFmtId="168" fontId="3" fillId="0" borderId="0" xfId="3" applyNumberFormat="1" applyFont="1" applyFill="1" applyBorder="1" applyAlignment="1">
      <alignment horizontal="left"/>
    </xf>
    <xf numFmtId="10" fontId="3" fillId="0" borderId="0" xfId="22" applyNumberFormat="1" applyFont="1" applyFill="1" applyBorder="1"/>
    <xf numFmtId="43" fontId="4" fillId="0" borderId="0" xfId="3" applyFont="1" applyFill="1" applyBorder="1" applyAlignment="1">
      <alignment horizontal="left"/>
    </xf>
    <xf numFmtId="0" fontId="4" fillId="0" borderId="0" xfId="19" applyFont="1" applyFill="1" applyBorder="1"/>
    <xf numFmtId="43" fontId="34" fillId="0" borderId="0" xfId="3" applyFont="1" applyFill="1" applyBorder="1"/>
    <xf numFmtId="0" fontId="2" fillId="0" borderId="0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166" fontId="2" fillId="0" borderId="0" xfId="3" applyNumberFormat="1" applyFont="1" applyFill="1"/>
    <xf numFmtId="38" fontId="15" fillId="0" borderId="0" xfId="0" applyNumberFormat="1" applyFont="1" applyFill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0" fontId="22" fillId="0" borderId="0" xfId="0" applyFont="1" applyFill="1" applyBorder="1"/>
    <xf numFmtId="0" fontId="10" fillId="0" borderId="0" xfId="0" applyFont="1" applyFill="1"/>
    <xf numFmtId="38" fontId="3" fillId="0" borderId="0" xfId="0" applyNumberFormat="1" applyFont="1" applyFill="1"/>
    <xf numFmtId="38" fontId="3" fillId="0" borderId="4" xfId="3" applyNumberFormat="1" applyFont="1" applyFill="1" applyBorder="1"/>
    <xf numFmtId="38" fontId="3" fillId="0" borderId="0" xfId="3" applyNumberFormat="1" applyFont="1" applyFill="1" applyBorder="1"/>
    <xf numFmtId="38" fontId="4" fillId="0" borderId="0" xfId="3" applyNumberFormat="1" applyFont="1" applyFill="1"/>
    <xf numFmtId="38" fontId="4" fillId="0" borderId="0" xfId="3" applyNumberFormat="1" applyFont="1" applyFill="1" applyBorder="1"/>
    <xf numFmtId="38" fontId="2" fillId="0" borderId="0" xfId="0" applyNumberFormat="1" applyFont="1" applyFill="1"/>
    <xf numFmtId="38" fontId="2" fillId="0" borderId="0" xfId="0" applyNumberFormat="1" applyFont="1" applyFill="1" applyBorder="1"/>
    <xf numFmtId="38" fontId="9" fillId="0" borderId="0" xfId="0" applyNumberFormat="1" applyFont="1" applyFill="1"/>
    <xf numFmtId="38" fontId="15" fillId="0" borderId="0" xfId="3" applyNumberFormat="1" applyFont="1" applyFill="1"/>
    <xf numFmtId="38" fontId="2" fillId="0" borderId="0" xfId="3" applyNumberFormat="1" applyFont="1" applyFill="1" applyBorder="1"/>
    <xf numFmtId="38" fontId="9" fillId="0" borderId="0" xfId="3" applyNumberFormat="1" applyFont="1" applyFill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1" fontId="3" fillId="0" borderId="0" xfId="0" applyNumberFormat="1" applyFont="1" applyFill="1"/>
    <xf numFmtId="0" fontId="36" fillId="0" borderId="0" xfId="0" applyFont="1"/>
    <xf numFmtId="0" fontId="3" fillId="0" borderId="13" xfId="0" applyFont="1" applyBorder="1"/>
    <xf numFmtId="40" fontId="4" fillId="0" borderId="0" xfId="3" applyNumberFormat="1" applyFont="1" applyFill="1"/>
    <xf numFmtId="166" fontId="37" fillId="0" borderId="0" xfId="3" applyNumberFormat="1" applyFont="1"/>
    <xf numFmtId="38" fontId="3" fillId="0" borderId="0" xfId="0" applyNumberFormat="1" applyFont="1" applyBorder="1"/>
    <xf numFmtId="38" fontId="3" fillId="0" borderId="4" xfId="0" applyNumberFormat="1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14" fontId="24" fillId="0" borderId="0" xfId="0" applyNumberFormat="1" applyFont="1" applyFill="1" applyBorder="1" applyAlignment="1">
      <alignment horizontal="center"/>
    </xf>
    <xf numFmtId="166" fontId="15" fillId="0" borderId="0" xfId="3" applyNumberFormat="1" applyFont="1" applyFill="1" applyBorder="1"/>
    <xf numFmtId="3" fontId="3" fillId="0" borderId="0" xfId="0" applyNumberFormat="1" applyFont="1" applyFill="1" applyBorder="1"/>
    <xf numFmtId="166" fontId="10" fillId="0" borderId="0" xfId="3" applyNumberFormat="1" applyFont="1" applyFill="1" applyBorder="1"/>
    <xf numFmtId="37" fontId="10" fillId="0" borderId="0" xfId="18" applyFont="1" applyFill="1" applyAlignment="1"/>
    <xf numFmtId="37" fontId="10" fillId="0" borderId="0" xfId="18" applyFont="1" applyFill="1" applyAlignment="1">
      <alignment horizontal="right"/>
    </xf>
    <xf numFmtId="166" fontId="10" fillId="0" borderId="0" xfId="3" applyNumberFormat="1" applyFont="1" applyFill="1" applyBorder="1" applyProtection="1"/>
    <xf numFmtId="166" fontId="20" fillId="0" borderId="0" xfId="3" applyNumberFormat="1" applyFont="1" applyFill="1" applyBorder="1" applyProtection="1"/>
    <xf numFmtId="166" fontId="35" fillId="0" borderId="0" xfId="3" applyNumberFormat="1" applyFont="1" applyFill="1" applyBorder="1" applyProtection="1"/>
    <xf numFmtId="9" fontId="10" fillId="0" borderId="0" xfId="3" applyNumberFormat="1" applyFont="1" applyFill="1" applyBorder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5" fillId="0" borderId="7" xfId="0" applyFont="1" applyFill="1" applyBorder="1"/>
    <xf numFmtId="0" fontId="39" fillId="0" borderId="10" xfId="0" applyFont="1" applyBorder="1" applyAlignment="1" applyProtection="1">
      <alignment horizontal="left"/>
    </xf>
    <xf numFmtId="0" fontId="39" fillId="0" borderId="0" xfId="0" applyFont="1" applyBorder="1" applyAlignment="1">
      <alignment horizontal="center"/>
    </xf>
    <xf numFmtId="0" fontId="22" fillId="0" borderId="0" xfId="0" applyFont="1" applyBorder="1"/>
    <xf numFmtId="0" fontId="39" fillId="0" borderId="0" xfId="0" applyFont="1" applyBorder="1" applyAlignment="1" applyProtection="1">
      <alignment horizontal="left"/>
    </xf>
    <xf numFmtId="0" fontId="22" fillId="0" borderId="10" xfId="0" applyFont="1" applyBorder="1" applyAlignment="1" applyProtection="1">
      <alignment horizontal="left"/>
    </xf>
    <xf numFmtId="0" fontId="22" fillId="0" borderId="0" xfId="0" applyFont="1" applyBorder="1" applyAlignment="1" applyProtection="1">
      <alignment horizontal="left"/>
    </xf>
    <xf numFmtId="38" fontId="22" fillId="0" borderId="0" xfId="3" applyNumberFormat="1" applyFont="1" applyBorder="1"/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0" fontId="39" fillId="0" borderId="10" xfId="0" applyNumberFormat="1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22" fillId="0" borderId="6" xfId="0" applyFont="1" applyBorder="1"/>
    <xf numFmtId="0" fontId="39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9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9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22" fillId="0" borderId="7" xfId="0" applyFont="1" applyBorder="1"/>
    <xf numFmtId="0" fontId="22" fillId="0" borderId="8" xfId="0" applyFont="1" applyBorder="1"/>
    <xf numFmtId="0" fontId="31" fillId="4" borderId="0" xfId="0" applyFont="1" applyFill="1" applyBorder="1" applyAlignment="1">
      <alignment horizontal="center"/>
    </xf>
    <xf numFmtId="0" fontId="31" fillId="4" borderId="9" xfId="0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0" fontId="3" fillId="0" borderId="16" xfId="0" applyFont="1" applyBorder="1"/>
    <xf numFmtId="0" fontId="3" fillId="0" borderId="17" xfId="0" applyFont="1" applyBorder="1"/>
    <xf numFmtId="38" fontId="2" fillId="0" borderId="0" xfId="0" applyNumberFormat="1" applyFont="1"/>
    <xf numFmtId="166" fontId="3" fillId="0" borderId="4" xfId="3" applyNumberFormat="1" applyFont="1" applyBorder="1"/>
    <xf numFmtId="6" fontId="39" fillId="0" borderId="0" xfId="0" quotePrefix="1" applyNumberFormat="1" applyFont="1" applyBorder="1" applyAlignment="1">
      <alignment horizontal="center"/>
    </xf>
    <xf numFmtId="0" fontId="39" fillId="0" borderId="9" xfId="0" quotePrefix="1" applyFont="1" applyBorder="1" applyAlignment="1">
      <alignment horizontal="center"/>
    </xf>
    <xf numFmtId="7" fontId="22" fillId="0" borderId="0" xfId="3" applyNumberFormat="1" applyFont="1" applyBorder="1"/>
    <xf numFmtId="44" fontId="22" fillId="0" borderId="0" xfId="4" applyFont="1" applyFill="1" applyBorder="1"/>
    <xf numFmtId="0" fontId="22" fillId="4" borderId="0" xfId="0" applyFont="1" applyFill="1"/>
    <xf numFmtId="0" fontId="28" fillId="0" borderId="0" xfId="0" applyFont="1" applyBorder="1"/>
    <xf numFmtId="2" fontId="22" fillId="0" borderId="0" xfId="0" applyNumberFormat="1" applyFont="1" applyBorder="1"/>
    <xf numFmtId="43" fontId="22" fillId="0" borderId="0" xfId="0" applyNumberFormat="1" applyFont="1" applyBorder="1"/>
    <xf numFmtId="0" fontId="22" fillId="0" borderId="0" xfId="0" applyFont="1" applyBorder="1" applyAlignment="1">
      <alignment horizontal="right"/>
    </xf>
    <xf numFmtId="0" fontId="19" fillId="0" borderId="0" xfId="3" applyNumberFormat="1" applyFont="1" applyBorder="1" applyAlignment="1">
      <alignment horizontal="right"/>
    </xf>
    <xf numFmtId="2" fontId="40" fillId="0" borderId="0" xfId="3" applyNumberFormat="1" applyFont="1" applyFill="1" applyBorder="1" applyAlignment="1">
      <alignment horizontal="right"/>
    </xf>
    <xf numFmtId="43" fontId="22" fillId="0" borderId="0" xfId="3" applyNumberFormat="1" applyFont="1" applyBorder="1" applyAlignment="1">
      <alignment horizontal="right"/>
    </xf>
    <xf numFmtId="44" fontId="22" fillId="0" borderId="0" xfId="4" applyFont="1" applyBorder="1" applyAlignment="1">
      <alignment horizontal="right"/>
    </xf>
    <xf numFmtId="44" fontId="22" fillId="0" borderId="0" xfId="4" applyFont="1" applyAlignment="1">
      <alignment horizontal="right"/>
    </xf>
    <xf numFmtId="9" fontId="40" fillId="0" borderId="0" xfId="0" applyNumberFormat="1" applyFont="1" applyBorder="1"/>
    <xf numFmtId="40" fontId="22" fillId="0" borderId="0" xfId="3" applyNumberFormat="1" applyFont="1" applyFill="1" applyBorder="1" applyAlignment="1">
      <alignment horizontal="right"/>
    </xf>
    <xf numFmtId="40" fontId="22" fillId="0" borderId="0" xfId="3" applyNumberFormat="1" applyFont="1" applyBorder="1" applyAlignment="1">
      <alignment horizontal="right"/>
    </xf>
    <xf numFmtId="40" fontId="39" fillId="0" borderId="0" xfId="3" applyNumberFormat="1" applyFont="1" applyBorder="1" applyAlignment="1">
      <alignment horizontal="right"/>
    </xf>
    <xf numFmtId="0" fontId="9" fillId="0" borderId="0" xfId="0" applyFont="1" applyBorder="1"/>
    <xf numFmtId="40" fontId="22" fillId="10" borderId="0" xfId="3" applyNumberFormat="1" applyFont="1" applyFill="1" applyBorder="1" applyAlignment="1">
      <alignment horizontal="right"/>
    </xf>
    <xf numFmtId="1" fontId="40" fillId="0" borderId="0" xfId="3" applyNumberFormat="1" applyFont="1" applyFill="1" applyBorder="1" applyAlignment="1">
      <alignment horizontal="right"/>
    </xf>
    <xf numFmtId="43" fontId="39" fillId="0" borderId="0" xfId="3" applyNumberFormat="1" applyFont="1" applyBorder="1" applyAlignment="1">
      <alignment horizontal="right"/>
    </xf>
    <xf numFmtId="7" fontId="22" fillId="0" borderId="0" xfId="3" applyNumberFormat="1" applyFont="1" applyBorder="1" applyAlignment="1">
      <alignment horizontal="right"/>
    </xf>
    <xf numFmtId="43" fontId="22" fillId="0" borderId="0" xfId="3" applyFont="1" applyBorder="1" applyAlignment="1">
      <alignment horizontal="right"/>
    </xf>
    <xf numFmtId="7" fontId="39" fillId="0" borderId="0" xfId="4" applyNumberFormat="1" applyFont="1" applyBorder="1"/>
    <xf numFmtId="166" fontId="20" fillId="0" borderId="0" xfId="3" applyNumberFormat="1" applyFont="1" applyFill="1" applyBorder="1"/>
    <xf numFmtId="38" fontId="3" fillId="0" borderId="0" xfId="4" applyNumberFormat="1" applyFont="1" applyFill="1" applyBorder="1" applyProtection="1"/>
    <xf numFmtId="43" fontId="9" fillId="0" borderId="0" xfId="3" applyFont="1" applyFill="1" applyAlignment="1">
      <alignment horizontal="left"/>
    </xf>
    <xf numFmtId="38" fontId="12" fillId="0" borderId="0" xfId="3" applyNumberFormat="1" applyFont="1" applyFill="1"/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166" fontId="3" fillId="0" borderId="0" xfId="3" applyNumberFormat="1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66" fontId="14" fillId="0" borderId="0" xfId="3" applyNumberFormat="1" applyFont="1" applyBorder="1" applyProtection="1"/>
    <xf numFmtId="166" fontId="15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37" fontId="22" fillId="0" borderId="6" xfId="0" applyNumberFormat="1" applyFont="1" applyBorder="1"/>
    <xf numFmtId="0" fontId="19" fillId="0" borderId="0" xfId="0" applyFont="1" applyBorder="1" applyAlignment="1" applyProtection="1">
      <alignment horizontal="left"/>
    </xf>
    <xf numFmtId="0" fontId="42" fillId="0" borderId="0" xfId="0" applyFont="1" applyBorder="1"/>
    <xf numFmtId="43" fontId="39" fillId="0" borderId="0" xfId="3" applyFont="1" applyBorder="1" applyAlignment="1">
      <alignment horizontal="right"/>
    </xf>
    <xf numFmtId="0" fontId="15" fillId="0" borderId="0" xfId="0" applyFont="1"/>
    <xf numFmtId="0" fontId="2" fillId="0" borderId="9" xfId="0" applyFont="1" applyBorder="1"/>
    <xf numFmtId="40" fontId="3" fillId="0" borderId="9" xfId="0" applyNumberFormat="1" applyFont="1" applyBorder="1"/>
    <xf numFmtId="166" fontId="3" fillId="0" borderId="0" xfId="3" applyNumberFormat="1" applyFont="1" applyFill="1" applyBorder="1" applyProtection="1"/>
    <xf numFmtId="166" fontId="3" fillId="0" borderId="18" xfId="3" applyNumberFormat="1" applyFont="1" applyBorder="1" applyProtection="1"/>
    <xf numFmtId="37" fontId="30" fillId="0" borderId="0" xfId="18" applyFont="1" applyBorder="1" applyAlignment="1"/>
    <xf numFmtId="37" fontId="30" fillId="0" borderId="0" xfId="18" applyFont="1" applyBorder="1" applyAlignment="1">
      <alignment horizontal="right"/>
    </xf>
    <xf numFmtId="0" fontId="13" fillId="0" borderId="0" xfId="0" applyFont="1" applyBorder="1"/>
    <xf numFmtId="0" fontId="24" fillId="0" borderId="0" xfId="0" applyFont="1" applyBorder="1"/>
    <xf numFmtId="165" fontId="10" fillId="0" borderId="0" xfId="4" applyNumberFormat="1" applyFont="1" applyBorder="1" applyProtection="1"/>
    <xf numFmtId="0" fontId="3" fillId="0" borderId="0" xfId="0" applyFont="1" applyBorder="1" applyAlignment="1">
      <alignment horizontal="center"/>
    </xf>
    <xf numFmtId="173" fontId="3" fillId="0" borderId="0" xfId="0" applyNumberFormat="1" applyFont="1" applyBorder="1" applyAlignment="1">
      <alignment horizontal="center"/>
    </xf>
    <xf numFmtId="0" fontId="18" fillId="0" borderId="0" xfId="0" applyFont="1" applyBorder="1"/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39" fillId="0" borderId="0" xfId="3" applyNumberFormat="1" applyFont="1" applyBorder="1" applyAlignment="1">
      <alignment horizontal="center"/>
    </xf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38" fontId="22" fillId="0" borderId="9" xfId="3" applyNumberFormat="1" applyFont="1" applyBorder="1" applyAlignment="1">
      <alignment horizontal="center"/>
    </xf>
    <xf numFmtId="10" fontId="22" fillId="0" borderId="0" xfId="0" applyNumberFormat="1" applyFont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9" fontId="22" fillId="0" borderId="0" xfId="22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38" fontId="22" fillId="0" borderId="0" xfId="0" applyNumberFormat="1" applyFont="1" applyFill="1" applyBorder="1" applyAlignment="1">
      <alignment horizontal="center"/>
    </xf>
    <xf numFmtId="10" fontId="22" fillId="0" borderId="0" xfId="22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4" fontId="24" fillId="0" borderId="0" xfId="0" applyNumberFormat="1" applyFont="1" applyAlignment="1">
      <alignment horizontal="center"/>
    </xf>
    <xf numFmtId="14" fontId="2" fillId="0" borderId="6" xfId="0" applyNumberFormat="1" applyFont="1" applyFill="1" applyBorder="1" applyAlignment="1">
      <alignment horizontal="center"/>
    </xf>
    <xf numFmtId="43" fontId="22" fillId="8" borderId="0" xfId="3" applyFont="1" applyFill="1" applyBorder="1" applyAlignment="1">
      <alignment horizontal="right"/>
    </xf>
    <xf numFmtId="0" fontId="22" fillId="0" borderId="4" xfId="0" applyFont="1" applyFill="1" applyBorder="1" applyAlignment="1">
      <alignment horizontal="centerContinuous"/>
    </xf>
    <xf numFmtId="0" fontId="39" fillId="0" borderId="4" xfId="0" applyFont="1" applyFill="1" applyBorder="1" applyAlignment="1">
      <alignment horizontal="centerContinuous"/>
    </xf>
    <xf numFmtId="0" fontId="9" fillId="0" borderId="0" xfId="17" applyFont="1" applyFill="1" applyBorder="1"/>
    <xf numFmtId="0" fontId="19" fillId="0" borderId="0" xfId="0" applyFont="1" applyBorder="1" applyAlignment="1">
      <alignment horizontal="centerContinuous"/>
    </xf>
    <xf numFmtId="38" fontId="22" fillId="0" borderId="0" xfId="0" applyNumberFormat="1" applyFont="1"/>
    <xf numFmtId="10" fontId="22" fillId="0" borderId="0" xfId="0" applyNumberFormat="1" applyFont="1" applyBorder="1"/>
    <xf numFmtId="3" fontId="3" fillId="0" borderId="0" xfId="0" applyNumberFormat="1" applyFont="1" applyFill="1"/>
    <xf numFmtId="14" fontId="3" fillId="0" borderId="0" xfId="0" applyNumberFormat="1" applyFont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166" fontId="3" fillId="8" borderId="0" xfId="3" applyNumberFormat="1" applyFont="1" applyFill="1"/>
    <xf numFmtId="166" fontId="2" fillId="8" borderId="0" xfId="3" applyNumberFormat="1" applyFont="1" applyFill="1"/>
    <xf numFmtId="166" fontId="3" fillId="8" borderId="4" xfId="3" applyNumberFormat="1" applyFont="1" applyFill="1" applyBorder="1"/>
    <xf numFmtId="0" fontId="19" fillId="0" borderId="6" xfId="0" applyFont="1" applyBorder="1"/>
    <xf numFmtId="38" fontId="19" fillId="0" borderId="13" xfId="3" applyNumberFormat="1" applyFont="1" applyBorder="1" applyAlignment="1">
      <alignment horizontal="center"/>
    </xf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2" applyNumberFormat="1" applyFont="1" applyBorder="1" applyAlignment="1">
      <alignment horizontal="center"/>
    </xf>
    <xf numFmtId="9" fontId="19" fillId="0" borderId="6" xfId="0" applyNumberFormat="1" applyFont="1" applyBorder="1" applyAlignment="1">
      <alignment horizontal="center"/>
    </xf>
    <xf numFmtId="0" fontId="2" fillId="0" borderId="19" xfId="0" applyFont="1" applyBorder="1" applyAlignment="1"/>
    <xf numFmtId="0" fontId="3" fillId="0" borderId="11" xfId="0" applyFont="1" applyBorder="1"/>
    <xf numFmtId="164" fontId="3" fillId="0" borderId="17" xfId="22" applyNumberFormat="1" applyFont="1" applyBorder="1"/>
    <xf numFmtId="164" fontId="15" fillId="0" borderId="17" xfId="22" applyNumberFormat="1" applyFont="1" applyBorder="1"/>
    <xf numFmtId="166" fontId="10" fillId="0" borderId="20" xfId="3" applyNumberFormat="1" applyFont="1" applyBorder="1"/>
    <xf numFmtId="164" fontId="3" fillId="0" borderId="21" xfId="22" applyNumberFormat="1" applyFont="1" applyBorder="1"/>
    <xf numFmtId="0" fontId="97" fillId="0" borderId="0" xfId="0" applyFont="1"/>
    <xf numFmtId="10" fontId="22" fillId="0" borderId="0" xfId="0" applyNumberFormat="1" applyFont="1" applyBorder="1" applyAlignment="1" applyProtection="1">
      <alignment horizontal="center"/>
    </xf>
    <xf numFmtId="10" fontId="39" fillId="0" borderId="0" xfId="0" applyNumberFormat="1" applyFont="1" applyBorder="1" applyAlignment="1" applyProtection="1">
      <alignment horizontal="center"/>
    </xf>
    <xf numFmtId="10" fontId="22" fillId="0" borderId="0" xfId="22" applyNumberFormat="1" applyFont="1" applyBorder="1" applyAlignment="1">
      <alignment horizontal="center"/>
    </xf>
    <xf numFmtId="10" fontId="9" fillId="0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8" borderId="0" xfId="0" applyNumberFormat="1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9" fillId="8" borderId="0" xfId="0" applyNumberFormat="1" applyFont="1" applyFill="1" applyBorder="1" applyAlignment="1">
      <alignment horizontal="center"/>
    </xf>
    <xf numFmtId="38" fontId="22" fillId="8" borderId="0" xfId="0" applyNumberFormat="1" applyFont="1" applyFill="1" applyBorder="1" applyAlignment="1">
      <alignment horizontal="center"/>
    </xf>
    <xf numFmtId="43" fontId="22" fillId="0" borderId="0" xfId="3" applyFont="1" applyFill="1" applyBorder="1" applyAlignment="1">
      <alignment horizontal="center"/>
    </xf>
    <xf numFmtId="9" fontId="39" fillId="0" borderId="0" xfId="22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0" fontId="22" fillId="0" borderId="9" xfId="22" applyNumberFormat="1" applyFont="1" applyFill="1" applyBorder="1" applyAlignment="1">
      <alignment horizontal="center"/>
    </xf>
    <xf numFmtId="187" fontId="3" fillId="0" borderId="0" xfId="0" applyNumberFormat="1" applyFont="1"/>
    <xf numFmtId="164" fontId="3" fillId="0" borderId="0" xfId="22" applyNumberFormat="1" applyFont="1"/>
    <xf numFmtId="3" fontId="22" fillId="0" borderId="0" xfId="3" applyNumberFormat="1" applyFont="1" applyFill="1" applyBorder="1" applyAlignment="1">
      <alignment horizontal="center"/>
    </xf>
    <xf numFmtId="3" fontId="22" fillId="0" borderId="0" xfId="3" applyNumberFormat="1" applyFont="1" applyBorder="1" applyAlignment="1">
      <alignment horizontal="center"/>
    </xf>
    <xf numFmtId="0" fontId="19" fillId="0" borderId="10" xfId="0" applyFont="1" applyBorder="1"/>
    <xf numFmtId="10" fontId="45" fillId="0" borderId="3" xfId="22" applyNumberFormat="1" applyFont="1" applyFill="1" applyBorder="1" applyAlignment="1">
      <alignment horizontal="right"/>
    </xf>
    <xf numFmtId="0" fontId="2" fillId="4" borderId="0" xfId="0" applyFont="1" applyFill="1" applyAlignment="1" applyProtection="1">
      <alignment horizontal="left"/>
      <protection locked="0"/>
    </xf>
    <xf numFmtId="166" fontId="18" fillId="0" borderId="0" xfId="3" applyNumberFormat="1" applyFont="1"/>
    <xf numFmtId="9" fontId="3" fillId="0" borderId="0" xfId="22" applyFont="1"/>
    <xf numFmtId="43" fontId="3" fillId="0" borderId="0" xfId="0" applyNumberFormat="1" applyFont="1"/>
    <xf numFmtId="0" fontId="2" fillId="0" borderId="11" xfId="0" applyFont="1" applyBorder="1" applyAlignment="1"/>
    <xf numFmtId="43" fontId="3" fillId="0" borderId="0" xfId="3" applyNumberFormat="1" applyFont="1"/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4" fontId="29" fillId="0" borderId="0" xfId="0" applyNumberFormat="1" applyFont="1" applyFill="1" applyBorder="1" applyAlignment="1">
      <alignment horizontal="center"/>
    </xf>
    <xf numFmtId="14" fontId="24" fillId="0" borderId="0" xfId="0" applyNumberFormat="1" applyFont="1" applyFill="1" applyAlignment="1">
      <alignment horizontal="center"/>
    </xf>
    <xf numFmtId="0" fontId="2" fillId="0" borderId="19" xfId="0" applyFont="1" applyBorder="1"/>
    <xf numFmtId="37" fontId="3" fillId="0" borderId="12" xfId="0" applyNumberFormat="1" applyFont="1" applyBorder="1"/>
    <xf numFmtId="37" fontId="3" fillId="0" borderId="16" xfId="0" applyNumberFormat="1" applyFont="1" applyBorder="1"/>
    <xf numFmtId="166" fontId="30" fillId="0" borderId="0" xfId="3" applyNumberFormat="1" applyFont="1"/>
    <xf numFmtId="0" fontId="2" fillId="0" borderId="11" xfId="0" applyFont="1" applyBorder="1"/>
    <xf numFmtId="179" fontId="17" fillId="8" borderId="0" xfId="0" applyNumberFormat="1" applyFont="1" applyFill="1" applyBorder="1" applyAlignment="1">
      <alignment horizontal="right"/>
    </xf>
    <xf numFmtId="179" fontId="17" fillId="8" borderId="17" xfId="0" applyNumberFormat="1" applyFont="1" applyFill="1" applyBorder="1" applyAlignment="1">
      <alignment horizontal="right"/>
    </xf>
    <xf numFmtId="0" fontId="2" fillId="0" borderId="20" xfId="0" applyFont="1" applyBorder="1"/>
    <xf numFmtId="166" fontId="3" fillId="0" borderId="21" xfId="3" applyNumberFormat="1" applyFont="1" applyBorder="1"/>
    <xf numFmtId="37" fontId="3" fillId="0" borderId="0" xfId="0" applyNumberFormat="1" applyFont="1"/>
    <xf numFmtId="14" fontId="15" fillId="0" borderId="0" xfId="0" applyNumberFormat="1" applyFont="1" applyFill="1" applyAlignment="1">
      <alignment horizontal="center"/>
    </xf>
    <xf numFmtId="3" fontId="15" fillId="0" borderId="0" xfId="0" applyNumberFormat="1" applyFont="1"/>
    <xf numFmtId="179" fontId="17" fillId="0" borderId="0" xfId="0" applyNumberFormat="1" applyFont="1" applyBorder="1" applyAlignment="1">
      <alignment horizontal="right"/>
    </xf>
    <xf numFmtId="166" fontId="17" fillId="0" borderId="0" xfId="3" applyNumberFormat="1" applyFont="1" applyBorder="1" applyAlignment="1">
      <alignment horizontal="right"/>
    </xf>
    <xf numFmtId="166" fontId="17" fillId="0" borderId="0" xfId="3" applyNumberFormat="1" applyFont="1" applyBorder="1" applyAlignment="1">
      <alignment horizontal="center"/>
    </xf>
    <xf numFmtId="0" fontId="3" fillId="0" borderId="19" xfId="0" applyFont="1" applyBorder="1" applyAlignment="1">
      <alignment horizontal="left"/>
    </xf>
    <xf numFmtId="173" fontId="3" fillId="0" borderId="16" xfId="0" applyNumberFormat="1" applyFont="1" applyFill="1" applyBorder="1" applyAlignment="1">
      <alignment horizontal="center"/>
    </xf>
    <xf numFmtId="173" fontId="15" fillId="0" borderId="17" xfId="0" applyNumberFormat="1" applyFont="1" applyFill="1" applyBorder="1" applyAlignment="1">
      <alignment horizontal="center"/>
    </xf>
    <xf numFmtId="0" fontId="3" fillId="0" borderId="20" xfId="0" applyFont="1" applyBorder="1" applyAlignment="1">
      <alignment horizontal="left"/>
    </xf>
    <xf numFmtId="173" fontId="3" fillId="0" borderId="21" xfId="0" applyNumberFormat="1" applyFont="1" applyBorder="1" applyAlignment="1">
      <alignment horizontal="center"/>
    </xf>
    <xf numFmtId="0" fontId="18" fillId="0" borderId="19" xfId="0" applyFont="1" applyBorder="1"/>
    <xf numFmtId="2" fontId="18" fillId="0" borderId="16" xfId="0" applyNumberFormat="1" applyFont="1" applyBorder="1" applyAlignment="1">
      <alignment horizontal="center"/>
    </xf>
    <xf numFmtId="0" fontId="18" fillId="0" borderId="11" xfId="0" applyFont="1" applyBorder="1"/>
    <xf numFmtId="4" fontId="3" fillId="0" borderId="17" xfId="0" applyNumberFormat="1" applyFont="1" applyBorder="1" applyAlignment="1">
      <alignment horizontal="center"/>
    </xf>
    <xf numFmtId="37" fontId="3" fillId="0" borderId="21" xfId="0" applyNumberFormat="1" applyFont="1" applyFill="1" applyBorder="1" applyAlignment="1">
      <alignment horizontal="center"/>
    </xf>
    <xf numFmtId="168" fontId="15" fillId="0" borderId="0" xfId="3" applyNumberFormat="1" applyFont="1"/>
    <xf numFmtId="166" fontId="3" fillId="0" borderId="4" xfId="3" applyNumberFormat="1" applyFont="1" applyBorder="1" applyAlignment="1" applyProtection="1">
      <alignment horizontal="left"/>
    </xf>
    <xf numFmtId="166" fontId="2" fillId="0" borderId="22" xfId="3" applyNumberFormat="1" applyFont="1" applyBorder="1"/>
    <xf numFmtId="166" fontId="3" fillId="0" borderId="4" xfId="3" applyNumberFormat="1" applyFont="1" applyFill="1" applyBorder="1"/>
    <xf numFmtId="0" fontId="13" fillId="0" borderId="0" xfId="0" applyFont="1" applyFill="1"/>
    <xf numFmtId="3" fontId="15" fillId="0" borderId="0" xfId="0" applyNumberFormat="1" applyFont="1" applyFill="1" applyBorder="1"/>
    <xf numFmtId="3" fontId="2" fillId="0" borderId="0" xfId="0" applyNumberFormat="1" applyFont="1" applyFill="1" applyBorder="1"/>
    <xf numFmtId="15" fontId="22" fillId="8" borderId="0" xfId="0" applyNumberFormat="1" applyFont="1" applyFill="1" applyBorder="1" applyAlignment="1">
      <alignment horizontal="center"/>
    </xf>
    <xf numFmtId="3" fontId="11" fillId="0" borderId="0" xfId="0" applyNumberFormat="1" applyFont="1"/>
    <xf numFmtId="0" fontId="17" fillId="0" borderId="23" xfId="0" applyFont="1" applyBorder="1"/>
    <xf numFmtId="166" fontId="3" fillId="0" borderId="0" xfId="0" applyNumberFormat="1" applyFont="1" applyBorder="1" applyAlignment="1">
      <alignment horizontal="left"/>
    </xf>
    <xf numFmtId="166" fontId="3" fillId="3" borderId="0" xfId="3" applyNumberFormat="1" applyFont="1" applyFill="1" applyBorder="1"/>
    <xf numFmtId="166" fontId="98" fillId="0" borderId="0" xfId="0" applyNumberFormat="1" applyFont="1" applyFill="1" applyBorder="1" applyAlignment="1">
      <alignment horizontal="left"/>
    </xf>
    <xf numFmtId="9" fontId="22" fillId="0" borderId="0" xfId="0" applyNumberFormat="1" applyFont="1" applyFill="1" applyBorder="1" applyAlignment="1">
      <alignment horizontal="center"/>
    </xf>
    <xf numFmtId="179" fontId="17" fillId="11" borderId="24" xfId="0" applyNumberFormat="1" applyFont="1" applyFill="1" applyBorder="1" applyAlignment="1">
      <alignment horizontal="right"/>
    </xf>
    <xf numFmtId="179" fontId="17" fillId="2" borderId="24" xfId="0" applyNumberFormat="1" applyFont="1" applyFill="1" applyBorder="1" applyAlignment="1">
      <alignment horizontal="right"/>
    </xf>
    <xf numFmtId="179" fontId="17" fillId="2" borderId="25" xfId="0" applyNumberFormat="1" applyFont="1" applyFill="1" applyBorder="1" applyAlignment="1">
      <alignment horizontal="right"/>
    </xf>
    <xf numFmtId="10" fontId="2" fillId="12" borderId="3" xfId="22" applyNumberFormat="1" applyFont="1" applyFill="1" applyBorder="1" applyAlignment="1">
      <alignment horizontal="center"/>
    </xf>
    <xf numFmtId="166" fontId="15" fillId="0" borderId="0" xfId="3" applyNumberFormat="1" applyFont="1" applyFill="1"/>
    <xf numFmtId="9" fontId="22" fillId="0" borderId="6" xfId="22" applyFont="1" applyFill="1" applyBorder="1" applyAlignment="1">
      <alignment horizontal="center"/>
    </xf>
    <xf numFmtId="0" fontId="15" fillId="0" borderId="0" xfId="0" applyFont="1" applyFill="1"/>
    <xf numFmtId="0" fontId="2" fillId="0" borderId="12" xfId="0" applyFont="1" applyBorder="1"/>
    <xf numFmtId="0" fontId="2" fillId="0" borderId="16" xfId="0" applyFont="1" applyBorder="1"/>
    <xf numFmtId="0" fontId="2" fillId="0" borderId="11" xfId="0" applyFont="1" applyBorder="1" applyAlignment="1">
      <alignment horizontal="left"/>
    </xf>
    <xf numFmtId="179" fontId="2" fillId="0" borderId="17" xfId="0" applyNumberFormat="1" applyFont="1" applyBorder="1"/>
    <xf numFmtId="0" fontId="2" fillId="0" borderId="20" xfId="0" applyFont="1" applyBorder="1" applyAlignment="1">
      <alignment horizontal="left"/>
    </xf>
    <xf numFmtId="0" fontId="2" fillId="0" borderId="4" xfId="0" applyFont="1" applyBorder="1"/>
    <xf numFmtId="179" fontId="2" fillId="0" borderId="21" xfId="0" applyNumberFormat="1" applyFont="1" applyBorder="1"/>
    <xf numFmtId="0" fontId="3" fillId="0" borderId="9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10" fontId="22" fillId="8" borderId="0" xfId="22" applyNumberFormat="1" applyFont="1" applyFill="1" applyBorder="1" applyAlignment="1">
      <alignment horizontal="center"/>
    </xf>
    <xf numFmtId="40" fontId="22" fillId="8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22" fillId="0" borderId="0" xfId="0" applyNumberFormat="1" applyFont="1" applyFill="1" applyBorder="1" applyAlignment="1">
      <alignment horizontal="center"/>
    </xf>
    <xf numFmtId="10" fontId="22" fillId="0" borderId="9" xfId="0" applyNumberFormat="1" applyFont="1" applyFill="1" applyBorder="1" applyAlignment="1">
      <alignment horizontal="center"/>
    </xf>
    <xf numFmtId="40" fontId="2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9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9" fillId="0" borderId="8" xfId="0" applyFont="1" applyFill="1" applyBorder="1" applyAlignment="1">
      <alignment horizontal="center"/>
    </xf>
    <xf numFmtId="0" fontId="22" fillId="0" borderId="9" xfId="0" applyFont="1" applyFill="1" applyBorder="1" applyAlignment="1">
      <alignment horizontal="center"/>
    </xf>
    <xf numFmtId="10" fontId="22" fillId="8" borderId="6" xfId="22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40" fontId="22" fillId="0" borderId="0" xfId="0" applyNumberFormat="1" applyFont="1" applyBorder="1" applyAlignment="1">
      <alignment horizontal="center"/>
    </xf>
    <xf numFmtId="40" fontId="3" fillId="0" borderId="0" xfId="0" applyNumberFormat="1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38" fontId="3" fillId="4" borderId="0" xfId="0" applyNumberFormat="1" applyFont="1" applyFill="1"/>
    <xf numFmtId="10" fontId="3" fillId="0" borderId="0" xfId="0" applyNumberFormat="1" applyFont="1" applyFill="1" applyBorder="1" applyAlignment="1">
      <alignment horizontal="center"/>
    </xf>
    <xf numFmtId="38" fontId="99" fillId="0" borderId="0" xfId="0" applyNumberFormat="1" applyFont="1"/>
    <xf numFmtId="38" fontId="14" fillId="0" borderId="0" xfId="0" applyNumberFormat="1" applyFont="1"/>
    <xf numFmtId="38" fontId="9" fillId="0" borderId="0" xfId="0" applyNumberFormat="1" applyFont="1"/>
    <xf numFmtId="0" fontId="2" fillId="0" borderId="4" xfId="0" applyFont="1" applyBorder="1" applyAlignment="1">
      <alignment horizontal="center"/>
    </xf>
    <xf numFmtId="37" fontId="3" fillId="0" borderId="0" xfId="0" applyNumberFormat="1" applyFont="1" applyFill="1"/>
    <xf numFmtId="10" fontId="3" fillId="0" borderId="0" xfId="22" applyNumberFormat="1" applyFont="1" applyAlignment="1">
      <alignment horizontal="center"/>
    </xf>
    <xf numFmtId="3" fontId="22" fillId="0" borderId="6" xfId="0" applyNumberFormat="1" applyFont="1" applyBorder="1" applyAlignment="1">
      <alignment horizontal="center"/>
    </xf>
    <xf numFmtId="3" fontId="22" fillId="8" borderId="0" xfId="3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9" fontId="22" fillId="8" borderId="0" xfId="3" applyNumberFormat="1" applyFont="1" applyFill="1" applyBorder="1" applyAlignment="1">
      <alignment horizontal="center"/>
    </xf>
    <xf numFmtId="4" fontId="22" fillId="8" borderId="0" xfId="3" applyNumberFormat="1" applyFont="1" applyFill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3" fontId="22" fillId="0" borderId="0" xfId="0" applyNumberFormat="1" applyFont="1"/>
    <xf numFmtId="3" fontId="22" fillId="0" borderId="6" xfId="3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4" fontId="22" fillId="0" borderId="0" xfId="0" applyNumberFormat="1" applyFont="1" applyBorder="1" applyAlignment="1">
      <alignment horizontal="center"/>
    </xf>
    <xf numFmtId="3" fontId="22" fillId="0" borderId="0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0" fillId="0" borderId="0" xfId="0" applyBorder="1"/>
    <xf numFmtId="0" fontId="9" fillId="0" borderId="15" xfId="0" applyFont="1" applyBorder="1"/>
    <xf numFmtId="164" fontId="9" fillId="12" borderId="6" xfId="22" applyNumberFormat="1" applyFont="1" applyFill="1" applyBorder="1" applyAlignment="1">
      <alignment horizontal="center"/>
    </xf>
    <xf numFmtId="9" fontId="22" fillId="0" borderId="0" xfId="0" applyNumberFormat="1" applyFont="1" applyBorder="1" applyAlignment="1">
      <alignment horizontal="center"/>
    </xf>
    <xf numFmtId="9" fontId="22" fillId="0" borderId="0" xfId="22" applyNumberFormat="1" applyFont="1" applyBorder="1" applyAlignment="1">
      <alignment horizontal="center"/>
    </xf>
    <xf numFmtId="2" fontId="3" fillId="0" borderId="0" xfId="0" applyNumberFormat="1" applyFont="1" applyBorder="1"/>
    <xf numFmtId="37" fontId="9" fillId="0" borderId="0" xfId="0" applyNumberFormat="1" applyFont="1" applyFill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39" fontId="9" fillId="0" borderId="0" xfId="0" applyNumberFormat="1" applyFont="1" applyFill="1" applyBorder="1" applyAlignment="1">
      <alignment horizontal="center"/>
    </xf>
    <xf numFmtId="173" fontId="9" fillId="0" borderId="0" xfId="22" applyNumberFormat="1" applyFont="1" applyFill="1" applyBorder="1" applyAlignment="1">
      <alignment horizontal="center"/>
    </xf>
    <xf numFmtId="173" fontId="19" fillId="0" borderId="0" xfId="22" applyNumberFormat="1" applyFont="1" applyFill="1" applyBorder="1" applyAlignment="1">
      <alignment horizontal="center"/>
    </xf>
    <xf numFmtId="9" fontId="9" fillId="8" borderId="0" xfId="22" applyFont="1" applyFill="1" applyBorder="1" applyAlignment="1">
      <alignment horizontal="center"/>
    </xf>
    <xf numFmtId="37" fontId="9" fillId="8" borderId="0" xfId="0" applyNumberFormat="1" applyFont="1" applyFill="1" applyBorder="1" applyAlignment="1">
      <alignment horizontal="center"/>
    </xf>
    <xf numFmtId="43" fontId="22" fillId="0" borderId="0" xfId="3" applyFont="1" applyFill="1" applyBorder="1" applyAlignment="1">
      <alignment horizontal="right"/>
    </xf>
    <xf numFmtId="44" fontId="22" fillId="0" borderId="0" xfId="4" applyFont="1" applyFill="1" applyAlignment="1">
      <alignment horizontal="right"/>
    </xf>
    <xf numFmtId="43" fontId="22" fillId="10" borderId="0" xfId="3" applyNumberFormat="1" applyFont="1" applyFill="1" applyBorder="1" applyAlignment="1">
      <alignment horizontal="right"/>
    </xf>
    <xf numFmtId="0" fontId="100" fillId="0" borderId="0" xfId="0" applyFont="1" applyAlignment="1">
      <alignment horizontal="center"/>
    </xf>
    <xf numFmtId="0" fontId="101" fillId="0" borderId="0" xfId="0" applyFont="1"/>
    <xf numFmtId="166" fontId="100" fillId="0" borderId="0" xfId="0" applyNumberFormat="1" applyFont="1"/>
    <xf numFmtId="166" fontId="101" fillId="0" borderId="0" xfId="0" applyNumberFormat="1" applyFont="1"/>
    <xf numFmtId="0" fontId="101" fillId="0" borderId="0" xfId="0" applyFont="1" applyFill="1"/>
    <xf numFmtId="15" fontId="22" fillId="0" borderId="0" xfId="0" applyNumberFormat="1" applyFont="1" applyFill="1" applyBorder="1" applyAlignment="1">
      <alignment horizontal="center"/>
    </xf>
    <xf numFmtId="38" fontId="15" fillId="0" borderId="4" xfId="3" applyNumberFormat="1" applyFont="1" applyFill="1" applyBorder="1"/>
    <xf numFmtId="0" fontId="102" fillId="0" borderId="0" xfId="0" applyFont="1"/>
    <xf numFmtId="38" fontId="13" fillId="0" borderId="0" xfId="0" applyNumberFormat="1" applyFont="1"/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6" fontId="13" fillId="0" borderId="0" xfId="3" applyNumberFormat="1" applyFont="1" applyFill="1" applyBorder="1"/>
    <xf numFmtId="166" fontId="13" fillId="0" borderId="0" xfId="0" applyNumberFormat="1" applyFont="1"/>
    <xf numFmtId="166" fontId="102" fillId="0" borderId="0" xfId="3" applyNumberFormat="1" applyFont="1" applyFill="1" applyBorder="1"/>
    <xf numFmtId="164" fontId="2" fillId="0" borderId="0" xfId="22" applyNumberFormat="1" applyFont="1" applyFill="1" applyAlignment="1">
      <alignment horizontal="center"/>
    </xf>
    <xf numFmtId="166" fontId="2" fillId="0" borderId="3" xfId="3" applyNumberFormat="1" applyFont="1" applyFill="1" applyBorder="1"/>
    <xf numFmtId="164" fontId="3" fillId="0" borderId="0" xfId="0" applyNumberFormat="1" applyFont="1"/>
    <xf numFmtId="166" fontId="2" fillId="0" borderId="3" xfId="3" applyNumberFormat="1" applyFont="1" applyBorder="1"/>
    <xf numFmtId="0" fontId="3" fillId="0" borderId="5" xfId="0" applyFont="1" applyBorder="1"/>
    <xf numFmtId="10" fontId="2" fillId="0" borderId="0" xfId="22" applyNumberFormat="1" applyFont="1" applyFill="1"/>
    <xf numFmtId="166" fontId="2" fillId="0" borderId="5" xfId="3" applyNumberFormat="1" applyFont="1" applyFill="1" applyBorder="1"/>
    <xf numFmtId="10" fontId="2" fillId="0" borderId="5" xfId="22" applyNumberFormat="1" applyFont="1" applyFill="1" applyBorder="1"/>
    <xf numFmtId="10" fontId="3" fillId="0" borderId="0" xfId="22" applyNumberFormat="1" applyFont="1" applyFill="1"/>
    <xf numFmtId="10" fontId="15" fillId="0" borderId="0" xfId="22" applyNumberFormat="1" applyFont="1" applyFill="1"/>
    <xf numFmtId="0" fontId="7" fillId="4" borderId="0" xfId="17" applyFont="1" applyFill="1" applyBorder="1"/>
    <xf numFmtId="190" fontId="3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19" fillId="0" borderId="8" xfId="0" applyFont="1" applyBorder="1" applyAlignment="1">
      <alignment horizontal="centerContinuous"/>
    </xf>
    <xf numFmtId="166" fontId="2" fillId="0" borderId="0" xfId="3" applyNumberFormat="1" applyFont="1" applyFill="1" applyBorder="1" applyAlignment="1">
      <alignment horizontal="centerContinuous"/>
    </xf>
    <xf numFmtId="166" fontId="3" fillId="0" borderId="0" xfId="0" applyNumberFormat="1" applyFont="1" applyFill="1"/>
    <xf numFmtId="0" fontId="103" fillId="0" borderId="0" xfId="0" applyFont="1"/>
    <xf numFmtId="166" fontId="103" fillId="0" borderId="0" xfId="0" applyNumberFormat="1" applyFont="1"/>
    <xf numFmtId="10" fontId="15" fillId="0" borderId="0" xfId="3" applyNumberFormat="1" applyFont="1" applyFill="1" applyBorder="1"/>
    <xf numFmtId="164" fontId="16" fillId="0" borderId="0" xfId="22" applyNumberFormat="1" applyFont="1"/>
    <xf numFmtId="166" fontId="13" fillId="0" borderId="0" xfId="0" applyNumberFormat="1" applyFont="1" applyFill="1" applyBorder="1"/>
    <xf numFmtId="166" fontId="102" fillId="0" borderId="0" xfId="0" applyNumberFormat="1" applyFont="1" applyFill="1" applyBorder="1"/>
    <xf numFmtId="166" fontId="13" fillId="0" borderId="0" xfId="3" applyNumberFormat="1" applyFont="1" applyFill="1"/>
    <xf numFmtId="166" fontId="2" fillId="0" borderId="0" xfId="3" applyNumberFormat="1" applyFont="1" applyFill="1" applyBorder="1" applyProtection="1"/>
    <xf numFmtId="0" fontId="104" fillId="0" borderId="11" xfId="0" applyFont="1" applyBorder="1" applyAlignment="1" applyProtection="1">
      <alignment horizontal="left"/>
    </xf>
    <xf numFmtId="0" fontId="10" fillId="0" borderId="0" xfId="0" applyFont="1" applyBorder="1"/>
    <xf numFmtId="0" fontId="43" fillId="0" borderId="0" xfId="0" applyFont="1"/>
    <xf numFmtId="1" fontId="10" fillId="0" borderId="0" xfId="0" applyNumberFormat="1" applyFont="1" applyBorder="1"/>
    <xf numFmtId="1" fontId="43" fillId="0" borderId="0" xfId="0" applyNumberFormat="1" applyFont="1" applyBorder="1"/>
    <xf numFmtId="166" fontId="43" fillId="0" borderId="0" xfId="3" applyNumberFormat="1" applyFont="1" applyBorder="1"/>
    <xf numFmtId="0" fontId="43" fillId="0" borderId="0" xfId="0" applyFont="1" applyBorder="1"/>
    <xf numFmtId="0" fontId="20" fillId="0" borderId="0" xfId="0" applyFont="1" applyBorder="1"/>
    <xf numFmtId="165" fontId="20" fillId="0" borderId="0" xfId="4" applyNumberFormat="1" applyFont="1" applyBorder="1" applyProtection="1"/>
    <xf numFmtId="0" fontId="10" fillId="0" borderId="11" xfId="0" applyFont="1" applyBorder="1"/>
    <xf numFmtId="0" fontId="10" fillId="0" borderId="0" xfId="0" applyFont="1" applyBorder="1" applyAlignment="1" applyProtection="1">
      <alignment horizontal="left"/>
    </xf>
    <xf numFmtId="0" fontId="20" fillId="0" borderId="11" xfId="0" applyFont="1" applyBorder="1" applyAlignment="1" applyProtection="1">
      <alignment horizontal="left"/>
    </xf>
    <xf numFmtId="165" fontId="3" fillId="0" borderId="0" xfId="4" applyNumberFormat="1" applyFont="1" applyBorder="1" applyProtection="1"/>
    <xf numFmtId="10" fontId="15" fillId="0" borderId="0" xfId="0" applyNumberFormat="1" applyFont="1" applyBorder="1"/>
    <xf numFmtId="165" fontId="2" fillId="0" borderId="0" xfId="4" applyNumberFormat="1" applyFont="1" applyBorder="1" applyProtection="1"/>
    <xf numFmtId="41" fontId="3" fillId="0" borderId="0" xfId="0" applyNumberFormat="1" applyFont="1" applyBorder="1"/>
    <xf numFmtId="166" fontId="3" fillId="0" borderId="0" xfId="0" applyNumberFormat="1" applyFont="1" applyBorder="1"/>
    <xf numFmtId="166" fontId="2" fillId="0" borderId="0" xfId="0" applyNumberFormat="1" applyFont="1" applyBorder="1"/>
    <xf numFmtId="0" fontId="105" fillId="0" borderId="11" xfId="0" applyFont="1" applyBorder="1" applyAlignment="1" applyProtection="1">
      <alignment horizontal="left"/>
    </xf>
    <xf numFmtId="0" fontId="3" fillId="0" borderId="11" xfId="0" applyFont="1" applyBorder="1" applyAlignment="1" applyProtection="1">
      <alignment horizontal="left"/>
    </xf>
    <xf numFmtId="0" fontId="3" fillId="0" borderId="4" xfId="0" applyFont="1" applyFill="1" applyBorder="1" applyAlignment="1">
      <alignment horizontal="left"/>
    </xf>
    <xf numFmtId="166" fontId="18" fillId="0" borderId="0" xfId="3" applyNumberFormat="1" applyFont="1" applyBorder="1"/>
    <xf numFmtId="38" fontId="18" fillId="0" borderId="0" xfId="0" applyNumberFormat="1" applyFont="1" applyBorder="1"/>
    <xf numFmtId="166" fontId="106" fillId="0" borderId="0" xfId="3" applyNumberFormat="1" applyFont="1" applyBorder="1"/>
    <xf numFmtId="166" fontId="18" fillId="0" borderId="0" xfId="0" applyNumberFormat="1" applyFont="1" applyBorder="1"/>
    <xf numFmtId="0" fontId="3" fillId="0" borderId="0" xfId="0" applyNumberFormat="1" applyFont="1" applyFill="1" applyBorder="1" applyAlignment="1">
      <alignment horizontal="left"/>
    </xf>
    <xf numFmtId="10" fontId="18" fillId="0" borderId="0" xfId="0" applyNumberFormat="1" applyFont="1" applyBorder="1"/>
    <xf numFmtId="10" fontId="106" fillId="0" borderId="0" xfId="0" applyNumberFormat="1" applyFont="1" applyBorder="1"/>
    <xf numFmtId="38" fontId="13" fillId="0" borderId="0" xfId="0" applyNumberFormat="1" applyFont="1" applyFill="1" applyBorder="1"/>
    <xf numFmtId="0" fontId="19" fillId="0" borderId="0" xfId="0" applyFont="1" applyBorder="1" applyAlignment="1">
      <alignment horizontal="center"/>
    </xf>
    <xf numFmtId="3" fontId="3" fillId="0" borderId="0" xfId="0" applyNumberFormat="1" applyFont="1" applyBorder="1"/>
    <xf numFmtId="38" fontId="22" fillId="0" borderId="9" xfId="0" applyNumberFormat="1" applyFont="1" applyFill="1" applyBorder="1" applyAlignment="1">
      <alignment horizontal="center"/>
    </xf>
    <xf numFmtId="0" fontId="22" fillId="0" borderId="8" xfId="0" applyFont="1" applyFill="1" applyBorder="1"/>
    <xf numFmtId="0" fontId="3" fillId="0" borderId="9" xfId="0" applyFont="1" applyFill="1" applyBorder="1"/>
    <xf numFmtId="40" fontId="22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0" fontId="22" fillId="0" borderId="7" xfId="0" applyNumberFormat="1" applyFont="1" applyFill="1" applyBorder="1" applyAlignment="1">
      <alignment horizontal="center"/>
    </xf>
    <xf numFmtId="40" fontId="22" fillId="0" borderId="8" xfId="0" applyNumberFormat="1" applyFont="1" applyFill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4" fontId="22" fillId="0" borderId="0" xfId="0" applyNumberFormat="1" applyFont="1" applyFill="1" applyBorder="1" applyAlignment="1">
      <alignment horizontal="center"/>
    </xf>
    <xf numFmtId="38" fontId="22" fillId="8" borderId="9" xfId="3" applyNumberFormat="1" applyFont="1" applyFill="1" applyBorder="1" applyAlignment="1">
      <alignment horizontal="center"/>
    </xf>
    <xf numFmtId="3" fontId="22" fillId="0" borderId="13" xfId="0" applyNumberFormat="1" applyFont="1" applyBorder="1" applyAlignment="1">
      <alignment horizontal="center"/>
    </xf>
    <xf numFmtId="39" fontId="3" fillId="0" borderId="0" xfId="3" applyNumberFormat="1" applyFont="1" applyFill="1" applyBorder="1" applyAlignment="1">
      <alignment horizontal="center"/>
    </xf>
    <xf numFmtId="1" fontId="9" fillId="0" borderId="3" xfId="3" applyNumberFormat="1" applyFont="1" applyFill="1" applyBorder="1" applyAlignment="1">
      <alignment horizontal="center"/>
    </xf>
    <xf numFmtId="1" fontId="9" fillId="8" borderId="3" xfId="3" applyNumberFormat="1" applyFont="1" applyFill="1" applyBorder="1" applyAlignment="1">
      <alignment horizontal="center"/>
    </xf>
    <xf numFmtId="189" fontId="3" fillId="0" borderId="0" xfId="0" applyNumberFormat="1" applyFont="1"/>
    <xf numFmtId="166" fontId="2" fillId="0" borderId="0" xfId="0" applyNumberFormat="1" applyFont="1" applyFill="1"/>
    <xf numFmtId="166" fontId="17" fillId="8" borderId="0" xfId="3" applyNumberFormat="1" applyFont="1" applyFill="1" applyBorder="1"/>
    <xf numFmtId="38" fontId="3" fillId="8" borderId="0" xfId="3" applyNumberFormat="1" applyFont="1" applyFill="1"/>
    <xf numFmtId="166" fontId="13" fillId="0" borderId="0" xfId="3" applyNumberFormat="1" applyFont="1"/>
    <xf numFmtId="166" fontId="102" fillId="0" borderId="0" xfId="3" applyNumberFormat="1" applyFont="1"/>
    <xf numFmtId="38" fontId="3" fillId="8" borderId="0" xfId="0" applyNumberFormat="1" applyFont="1" applyFill="1" applyBorder="1"/>
    <xf numFmtId="222" fontId="22" fillId="0" borderId="0" xfId="3" applyNumberFormat="1" applyFont="1" applyBorder="1" applyAlignment="1">
      <alignment horizontal="center"/>
    </xf>
    <xf numFmtId="0" fontId="0" fillId="0" borderId="9" xfId="0" applyBorder="1"/>
    <xf numFmtId="166" fontId="22" fillId="0" borderId="0" xfId="3" applyNumberFormat="1" applyFont="1" applyBorder="1"/>
    <xf numFmtId="39" fontId="22" fillId="0" borderId="0" xfId="3" applyNumberFormat="1" applyFont="1" applyFill="1" applyBorder="1" applyAlignment="1">
      <alignment horizontal="center"/>
    </xf>
    <xf numFmtId="0" fontId="0" fillId="0" borderId="10" xfId="0" applyBorder="1"/>
    <xf numFmtId="0" fontId="0" fillId="0" borderId="0" xfId="0" applyFill="1" applyBorder="1"/>
    <xf numFmtId="166" fontId="2" fillId="11" borderId="0" xfId="0" applyNumberFormat="1" applyFont="1" applyFill="1"/>
    <xf numFmtId="166" fontId="3" fillId="11" borderId="0" xfId="0" applyNumberFormat="1" applyFont="1" applyFill="1"/>
    <xf numFmtId="38" fontId="3" fillId="11" borderId="0" xfId="0" applyNumberFormat="1" applyFont="1" applyFill="1"/>
    <xf numFmtId="38" fontId="22" fillId="8" borderId="6" xfId="0" applyNumberFormat="1" applyFont="1" applyFill="1" applyBorder="1" applyAlignment="1">
      <alignment horizontal="center"/>
    </xf>
    <xf numFmtId="0" fontId="22" fillId="0" borderId="6" xfId="0" applyFont="1" applyBorder="1" applyAlignment="1">
      <alignment horizontal="center"/>
    </xf>
    <xf numFmtId="38" fontId="22" fillId="0" borderId="13" xfId="0" applyNumberFormat="1" applyFont="1" applyFill="1" applyBorder="1" applyAlignment="1">
      <alignment horizontal="center"/>
    </xf>
    <xf numFmtId="3" fontId="22" fillId="0" borderId="9" xfId="0" applyNumberFormat="1" applyFont="1" applyBorder="1" applyAlignment="1">
      <alignment horizontal="center"/>
    </xf>
    <xf numFmtId="0" fontId="0" fillId="0" borderId="6" xfId="0" applyBorder="1"/>
    <xf numFmtId="0" fontId="19" fillId="0" borderId="0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66" fontId="17" fillId="0" borderId="26" xfId="3" applyNumberFormat="1" applyFont="1" applyBorder="1" applyAlignment="1">
      <alignment horizontal="center"/>
    </xf>
    <xf numFmtId="166" fontId="17" fillId="0" borderId="18" xfId="3" applyNumberFormat="1" applyFont="1" applyBorder="1" applyAlignment="1">
      <alignment horizontal="center"/>
    </xf>
    <xf numFmtId="166" fontId="17" fillId="0" borderId="27" xfId="3" applyNumberFormat="1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4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IPP Summary" xfId="19"/>
    <cellStyle name="Normal_Summary" xfId="20"/>
    <cellStyle name="Normal_Yuma CE Strategic" xfId="21"/>
    <cellStyle name="Percent" xfId="22" builtinId="5"/>
    <cellStyle name="Percent [2]" xfId="23"/>
    <cellStyle name="Standard_Anpassen der Amortisation" xfId="24"/>
    <cellStyle name="Total" xfId="25" builtinId="25" customBuiltin="1"/>
    <cellStyle name="uk" xfId="26"/>
    <cellStyle name="Un" xfId="27"/>
    <cellStyle name="Unprot" xfId="28"/>
    <cellStyle name="Unprot$" xfId="29"/>
    <cellStyle name="Unprot_CurrencySKorea" xfId="30"/>
    <cellStyle name="Unprotect" xfId="31"/>
    <cellStyle name="Währung [0]_Compiling Utility Macros" xfId="32"/>
    <cellStyle name="Währung_Compiling Utility Macros" xfId="3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4" dropStyle="combo" dx="22" fmlaLink="$W$23" fmlaRange="$W$19:$W$22" noThreeD="1" sel="1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447675</xdr:colOff>
          <xdr:row>35</xdr:row>
          <xdr:rowOff>28575</xdr:rowOff>
        </xdr:from>
        <xdr:to>
          <xdr:col>3</xdr:col>
          <xdr:colOff>657225</xdr:colOff>
          <xdr:row>36</xdr:row>
          <xdr:rowOff>161925</xdr:rowOff>
        </xdr:to>
        <xdr:sp macro="" textlink="">
          <xdr:nvSpPr>
            <xdr:cNvPr id="7590" name="Button 422" hidden="1">
              <a:extLst>
                <a:ext uri="{63B3BB69-23CF-44E3-9099-C40C66FF867C}">
                  <a14:compatExt spid="_x0000_s7590"/>
                </a:ext>
                <a:ext uri="{FF2B5EF4-FFF2-40B4-BE49-F238E27FC236}">
                  <a16:creationId xmlns:a16="http://schemas.microsoft.com/office/drawing/2014/main" id="{373723EF-32C8-C011-8614-47B1B89793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Equity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2047875</xdr:colOff>
          <xdr:row>21</xdr:row>
          <xdr:rowOff>180975</xdr:rowOff>
        </xdr:from>
        <xdr:to>
          <xdr:col>1</xdr:col>
          <xdr:colOff>0</xdr:colOff>
          <xdr:row>22</xdr:row>
          <xdr:rowOff>190500</xdr:rowOff>
        </xdr:to>
        <xdr:sp macro="" textlink="">
          <xdr:nvSpPr>
            <xdr:cNvPr id="26625" name="Drop Down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CF031683-90E4-CCC5-1901-264CE0D524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13</xdr:row>
          <xdr:rowOff>28575</xdr:rowOff>
        </xdr:from>
        <xdr:to>
          <xdr:col>0</xdr:col>
          <xdr:colOff>1933575</xdr:colOff>
          <xdr:row>15</xdr:row>
          <xdr:rowOff>38100</xdr:rowOff>
        </xdr:to>
        <xdr:sp macro="" textlink="">
          <xdr:nvSpPr>
            <xdr:cNvPr id="23553" name="Butto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F83A2224-2E84-A1B3-E9B6-C5FC78CB10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 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0</xdr:row>
          <xdr:rowOff>123825</xdr:rowOff>
        </xdr:from>
        <xdr:to>
          <xdr:col>4</xdr:col>
          <xdr:colOff>228600</xdr:colOff>
          <xdr:row>2</xdr:row>
          <xdr:rowOff>57150</xdr:rowOff>
        </xdr:to>
        <xdr:sp macro="" textlink="">
          <xdr:nvSpPr>
            <xdr:cNvPr id="15417" name="Button 57" hidden="1">
              <a:extLst>
                <a:ext uri="{63B3BB69-23CF-44E3-9099-C40C66FF867C}">
                  <a14:compatExt spid="_x0000_s15417"/>
                </a:ext>
                <a:ext uri="{FF2B5EF4-FFF2-40B4-BE49-F238E27FC236}">
                  <a16:creationId xmlns:a16="http://schemas.microsoft.com/office/drawing/2014/main" id="{3D42898C-F394-21BD-4BA6-0AC5391F4E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Solve Franchise Tax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95250</xdr:colOff>
          <xdr:row>2</xdr:row>
          <xdr:rowOff>47625</xdr:rowOff>
        </xdr:from>
        <xdr:to>
          <xdr:col>10</xdr:col>
          <xdr:colOff>466725</xdr:colOff>
          <xdr:row>4</xdr:row>
          <xdr:rowOff>19050</xdr:rowOff>
        </xdr:to>
        <xdr:sp macro="" textlink="">
          <xdr:nvSpPr>
            <xdr:cNvPr id="18629" name="Button 197" hidden="1">
              <a:extLst>
                <a:ext uri="{63B3BB69-23CF-44E3-9099-C40C66FF867C}">
                  <a14:compatExt spid="_x0000_s18629"/>
                </a:ext>
                <a:ext uri="{FF2B5EF4-FFF2-40B4-BE49-F238E27FC236}">
                  <a16:creationId xmlns:a16="http://schemas.microsoft.com/office/drawing/2014/main" id="{AFB7D728-2571-EE00-EEA1-8358C1F6E6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Solve CF %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BasePowerModel-2-7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3-29-00/00%20O&amp;M%20analysis%20-%200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GenSvcs\Genco\Financing\Control\Wilton_Ne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5-08-00/Peaker%20Valuation%20050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>
        <row r="34">
          <cell r="G34">
            <v>42826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iance"/>
      <sheetName val="Consol Summary"/>
      <sheetName val="WC Summ"/>
      <sheetName val="WC MO"/>
      <sheetName val="WC YTD"/>
      <sheetName val="WH Summ"/>
      <sheetName val="WH MO"/>
      <sheetName val="WH YTD"/>
      <sheetName val="Gl Summ"/>
      <sheetName val="Gl MO"/>
      <sheetName val="Gl YTD"/>
    </sheetNames>
    <sheetDataSet>
      <sheetData sheetId="0" refreshError="1"/>
      <sheetData sheetId="1">
        <row r="22">
          <cell r="D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D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D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D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D29">
            <v>0</v>
          </cell>
          <cell r="F29">
            <v>0</v>
          </cell>
          <cell r="G29">
            <v>0</v>
          </cell>
          <cell r="H29">
            <v>0</v>
          </cell>
        </row>
        <row r="31">
          <cell r="D31">
            <v>0</v>
          </cell>
          <cell r="F31">
            <v>0</v>
          </cell>
          <cell r="G31">
            <v>0</v>
          </cell>
          <cell r="H31">
            <v>0</v>
          </cell>
        </row>
        <row r="33">
          <cell r="D33">
            <v>0</v>
          </cell>
          <cell r="F33">
            <v>0</v>
          </cell>
          <cell r="G33">
            <v>0</v>
          </cell>
          <cell r="H33">
            <v>0</v>
          </cell>
        </row>
        <row r="35">
          <cell r="D35">
            <v>0</v>
          </cell>
          <cell r="F35">
            <v>0</v>
          </cell>
          <cell r="G35">
            <v>0</v>
          </cell>
          <cell r="H35">
            <v>0</v>
          </cell>
        </row>
        <row r="38">
          <cell r="D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D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D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D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D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D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D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D45">
            <v>0</v>
          </cell>
          <cell r="F45">
            <v>0</v>
          </cell>
          <cell r="G45">
            <v>0</v>
          </cell>
          <cell r="H45">
            <v>0</v>
          </cell>
        </row>
      </sheetData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xirr"/>
      <definedName name="xnpv"/>
    </definedNames>
    <sheetDataSet>
      <sheetData sheetId="0"/>
      <sheetData sheetId="1" refreshError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>
        <row r="15">
          <cell r="I15">
            <v>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apacity Prices"/>
      <sheetName val="Assumptions"/>
      <sheetName val="Spark-Spread"/>
      <sheetName val="99 Acct Sumry"/>
      <sheetName val="00 Acct Sumry"/>
      <sheetName val="Consolidated"/>
      <sheetName val="Brownsville"/>
      <sheetName val="Caledonia"/>
      <sheetName val="New Albany"/>
      <sheetName val="Gleason"/>
      <sheetName val="Wheatland"/>
      <sheetName val="Wilton"/>
      <sheetName val="Depreciation"/>
      <sheetName val="Notes"/>
      <sheetName val="Process"/>
      <sheetName val="Changes"/>
      <sheetName val="Start Charge Matri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0">
          <cell r="B70">
            <v>0.125039438479223</v>
          </cell>
        </row>
        <row r="71">
          <cell r="B71">
            <v>0.1511835224699338</v>
          </cell>
        </row>
        <row r="72">
          <cell r="B72">
            <v>0.14539217477626698</v>
          </cell>
        </row>
        <row r="73">
          <cell r="B73">
            <v>0.17074206551655802</v>
          </cell>
        </row>
        <row r="74">
          <cell r="B74">
            <v>0.1561848046993598</v>
          </cell>
        </row>
        <row r="75">
          <cell r="B75">
            <v>0.25145799405865837</v>
          </cell>
        </row>
      </sheetData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4" Type="http://schemas.openxmlformats.org/officeDocument/2006/relationships/ctrlProp" Target="../ctrlProps/ctrlProp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H94"/>
  <sheetViews>
    <sheetView tabSelected="1" topLeftCell="A2" zoomScale="75" zoomScaleNormal="75" workbookViewId="0">
      <selection activeCell="A2" sqref="A2"/>
    </sheetView>
  </sheetViews>
  <sheetFormatPr defaultRowHeight="12.75"/>
  <cols>
    <col min="1" max="1" width="52.7109375" style="18" customWidth="1"/>
    <col min="2" max="2" width="19.28515625" style="18" customWidth="1"/>
    <col min="3" max="3" width="20.7109375" style="18" customWidth="1"/>
    <col min="4" max="4" width="21.140625" style="18" customWidth="1"/>
    <col min="5" max="5" width="20.140625" style="18" customWidth="1"/>
    <col min="6" max="6" width="21.28515625" style="18" bestFit="1" customWidth="1"/>
    <col min="7" max="7" width="17.7109375" style="18" customWidth="1"/>
    <col min="8" max="8" width="9.85546875" style="18" customWidth="1"/>
    <col min="9" max="9" width="14.140625" style="18" customWidth="1"/>
    <col min="10" max="10" width="23" style="18" bestFit="1" customWidth="1"/>
    <col min="11" max="11" width="14.42578125" style="18" customWidth="1"/>
    <col min="12" max="12" width="13.85546875" style="18" customWidth="1"/>
    <col min="13" max="13" width="5.140625" style="18" customWidth="1"/>
    <col min="14" max="16" width="14.42578125" style="18" customWidth="1"/>
    <col min="17" max="17" width="5.7109375" style="18" customWidth="1"/>
    <col min="18" max="18" width="12.28515625" style="18" customWidth="1"/>
    <col min="19" max="19" width="9" style="18" customWidth="1"/>
    <col min="20" max="20" width="12" style="18" customWidth="1"/>
    <col min="21" max="21" width="12.85546875" style="18" customWidth="1"/>
    <col min="22" max="22" width="12" style="18" customWidth="1"/>
    <col min="23" max="23" width="23" style="18" bestFit="1" customWidth="1"/>
    <col min="24" max="29" width="12" style="18" customWidth="1"/>
    <col min="30" max="30" width="9.140625" style="18"/>
    <col min="31" max="33" width="10" style="18" customWidth="1"/>
    <col min="34" max="34" width="12" style="18" customWidth="1"/>
    <col min="35" max="35" width="17.5703125" style="18" customWidth="1"/>
    <col min="36" max="36" width="22.42578125" style="18" customWidth="1"/>
    <col min="37" max="37" width="19" style="18" customWidth="1"/>
    <col min="38" max="38" width="10.28515625" style="18" customWidth="1"/>
    <col min="39" max="58" width="13.140625" style="18" customWidth="1"/>
    <col min="59" max="59" width="9.140625" style="18"/>
    <col min="60" max="69" width="10" style="18" customWidth="1"/>
    <col min="70" max="70" width="9.140625" style="18"/>
    <col min="71" max="76" width="10" style="18" customWidth="1"/>
    <col min="77" max="77" width="9.140625" style="18"/>
    <col min="78" max="83" width="10" style="18" customWidth="1"/>
    <col min="84" max="16384" width="9.140625" style="18"/>
  </cols>
  <sheetData>
    <row r="1" spans="1:34" ht="25.5" hidden="1">
      <c r="A1" s="308" t="s">
        <v>138</v>
      </c>
      <c r="T1" s="144"/>
      <c r="AH1" s="144"/>
    </row>
    <row r="2" spans="1:34" ht="12.75" customHeight="1">
      <c r="A2" s="308"/>
      <c r="T2" s="144"/>
      <c r="AH2" s="144"/>
    </row>
    <row r="3" spans="1:34" ht="18.75">
      <c r="A3" s="473" t="s">
        <v>242</v>
      </c>
      <c r="B3" s="6"/>
      <c r="C3" s="6"/>
      <c r="D3" s="6"/>
    </row>
    <row r="5" spans="1:34" ht="13.5" thickBot="1">
      <c r="S5" s="124"/>
    </row>
    <row r="6" spans="1:34" ht="15.75">
      <c r="A6" s="168" t="s">
        <v>1</v>
      </c>
      <c r="B6" s="169"/>
      <c r="C6" s="169"/>
      <c r="D6" s="169"/>
      <c r="E6" s="29"/>
      <c r="F6" s="29"/>
      <c r="G6" s="30"/>
      <c r="T6" s="284"/>
    </row>
    <row r="7" spans="1:34" ht="15.75">
      <c r="A7" s="170" t="s">
        <v>5</v>
      </c>
      <c r="B7" s="171" t="s">
        <v>6</v>
      </c>
      <c r="C7" s="207" t="s">
        <v>7</v>
      </c>
      <c r="D7" s="172"/>
      <c r="E7" s="173" t="s">
        <v>8</v>
      </c>
      <c r="F7" s="171" t="s">
        <v>6</v>
      </c>
      <c r="G7" s="208" t="s">
        <v>7</v>
      </c>
      <c r="X7" s="38"/>
      <c r="Y7" s="38"/>
      <c r="Z7" s="38"/>
    </row>
    <row r="8" spans="1:34" ht="15.75">
      <c r="A8" s="174" t="s">
        <v>9</v>
      </c>
      <c r="B8" s="378">
        <f>C8/$C$11</f>
        <v>0.47669925209898306</v>
      </c>
      <c r="C8" s="265">
        <f>B36</f>
        <v>582042.46193541633</v>
      </c>
      <c r="D8" s="286"/>
      <c r="E8" s="175" t="s">
        <v>10</v>
      </c>
      <c r="F8" s="436">
        <f>G8/G14</f>
        <v>0.42161513572542375</v>
      </c>
      <c r="G8" s="270">
        <f>(C11-G11)*Allocation!C10</f>
        <v>514785.60225621099</v>
      </c>
      <c r="H8" s="58"/>
      <c r="X8" s="38"/>
      <c r="Y8" s="38"/>
      <c r="Z8" s="38"/>
    </row>
    <row r="9" spans="1:34" ht="15.75">
      <c r="A9" s="174" t="s">
        <v>16</v>
      </c>
      <c r="B9" s="378">
        <f>C9/$C$11</f>
        <v>0.52330074790101699</v>
      </c>
      <c r="C9" s="265">
        <f>E20</f>
        <v>638942.17223925516</v>
      </c>
      <c r="D9" s="190"/>
      <c r="E9" s="175" t="s">
        <v>17</v>
      </c>
      <c r="F9" s="436">
        <f>G9/G14</f>
        <v>0.57838486427457614</v>
      </c>
      <c r="G9" s="270">
        <f>(C11-G11)*Allocation!C15</f>
        <v>706199.03191846039</v>
      </c>
      <c r="H9" s="6"/>
      <c r="T9" s="285"/>
      <c r="X9" s="38"/>
      <c r="Y9" s="38"/>
      <c r="Z9" s="38"/>
    </row>
    <row r="10" spans="1:34" ht="15.75">
      <c r="A10" s="177"/>
      <c r="B10" s="309"/>
      <c r="C10" s="265"/>
      <c r="D10" s="172"/>
      <c r="E10" s="172"/>
      <c r="F10" s="437"/>
      <c r="G10" s="270"/>
      <c r="H10" s="129"/>
      <c r="T10" s="285"/>
      <c r="X10" s="38"/>
      <c r="Y10" s="38"/>
      <c r="Z10" s="38"/>
    </row>
    <row r="11" spans="1:34" ht="15.75">
      <c r="A11" s="178" t="s">
        <v>18</v>
      </c>
      <c r="B11" s="274">
        <f>C11/$C$11</f>
        <v>1</v>
      </c>
      <c r="C11" s="266">
        <f>SUM(C8:C9)</f>
        <v>1220984.6341746715</v>
      </c>
      <c r="D11" s="172"/>
      <c r="E11" s="175" t="s">
        <v>19</v>
      </c>
      <c r="F11" s="437">
        <f>G11/G14</f>
        <v>0</v>
      </c>
      <c r="G11" s="529">
        <v>0</v>
      </c>
      <c r="H11" s="6"/>
      <c r="T11" s="285"/>
      <c r="X11" s="38"/>
      <c r="Y11" s="38"/>
      <c r="Z11" s="38"/>
    </row>
    <row r="12" spans="1:34" ht="15.75">
      <c r="A12" s="179"/>
      <c r="B12" s="310"/>
      <c r="C12" s="267"/>
      <c r="D12" s="172"/>
      <c r="E12" s="172"/>
      <c r="F12" s="300"/>
      <c r="G12" s="298"/>
      <c r="H12" s="143"/>
      <c r="T12" s="285"/>
      <c r="W12" s="38"/>
      <c r="X12" s="38"/>
      <c r="Y12" s="38"/>
      <c r="Z12" s="38"/>
    </row>
    <row r="13" spans="1:34" ht="15.75">
      <c r="A13" s="180" t="s">
        <v>21</v>
      </c>
      <c r="B13" s="314">
        <v>1</v>
      </c>
      <c r="C13" s="268">
        <f>B13*C8</f>
        <v>582042.46193541633</v>
      </c>
      <c r="D13" s="172"/>
      <c r="E13" s="247"/>
      <c r="F13" s="19"/>
      <c r="G13" s="31"/>
      <c r="H13" s="6"/>
      <c r="T13" s="285"/>
      <c r="W13" s="38"/>
      <c r="X13" s="38"/>
      <c r="Y13" s="38"/>
      <c r="Z13" s="38"/>
    </row>
    <row r="14" spans="1:34" ht="16.5" thickBot="1">
      <c r="A14" s="182" t="s">
        <v>22</v>
      </c>
      <c r="B14" s="315">
        <f>1-B13</f>
        <v>0</v>
      </c>
      <c r="C14" s="269">
        <f>B14*C8</f>
        <v>0</v>
      </c>
      <c r="D14" s="248"/>
      <c r="E14" s="296" t="s">
        <v>247</v>
      </c>
      <c r="F14" s="301">
        <f>SUM(F8:F12)</f>
        <v>0.99999999999999989</v>
      </c>
      <c r="G14" s="297">
        <f>SUM(G8:G12)</f>
        <v>1220984.6341746715</v>
      </c>
      <c r="H14" s="6"/>
      <c r="T14" s="285"/>
    </row>
    <row r="15" spans="1:34" ht="16.5" thickBot="1">
      <c r="A15" s="19"/>
      <c r="B15" s="19"/>
      <c r="C15" s="19"/>
      <c r="D15" s="172"/>
      <c r="E15" s="175"/>
      <c r="F15" s="311"/>
      <c r="G15" s="176"/>
      <c r="H15" s="6"/>
      <c r="T15" s="285"/>
    </row>
    <row r="16" spans="1:34" ht="15.75">
      <c r="A16" s="168" t="s">
        <v>220</v>
      </c>
      <c r="B16" s="29"/>
      <c r="C16" s="29"/>
      <c r="D16" s="150"/>
      <c r="E16" s="29"/>
      <c r="F16" s="29"/>
      <c r="G16" s="30"/>
      <c r="H16" s="6"/>
      <c r="T16" s="285"/>
    </row>
    <row r="17" spans="1:20" ht="15.75">
      <c r="A17" s="32"/>
      <c r="B17" s="200" t="s">
        <v>24</v>
      </c>
      <c r="C17" s="200" t="s">
        <v>25</v>
      </c>
      <c r="D17" s="200" t="s">
        <v>26</v>
      </c>
      <c r="E17" s="200" t="s">
        <v>27</v>
      </c>
      <c r="F17" s="34"/>
      <c r="G17" s="253"/>
      <c r="H17" s="6"/>
      <c r="T17" s="285"/>
    </row>
    <row r="18" spans="1:20" ht="15.75">
      <c r="A18" s="328" t="s">
        <v>221</v>
      </c>
      <c r="B18" s="166"/>
      <c r="C18" s="166"/>
      <c r="D18" s="166"/>
      <c r="E18" s="19"/>
      <c r="F18" s="19"/>
      <c r="G18" s="31"/>
      <c r="H18" s="6"/>
      <c r="T18" s="285"/>
    </row>
    <row r="19" spans="1:20" ht="15.75">
      <c r="A19" s="185" t="s">
        <v>197</v>
      </c>
      <c r="B19" s="372">
        <v>36892</v>
      </c>
      <c r="C19" s="19"/>
      <c r="D19" s="19"/>
      <c r="E19" s="19"/>
      <c r="F19" s="19"/>
      <c r="G19" s="31"/>
      <c r="H19" s="6"/>
      <c r="T19" s="285"/>
    </row>
    <row r="20" spans="1:20" ht="15.75">
      <c r="A20" s="185" t="s">
        <v>28</v>
      </c>
      <c r="B20" s="186">
        <f>Debt!B22</f>
        <v>82765.051649290515</v>
      </c>
      <c r="C20" s="186">
        <f>Debt!B40</f>
        <v>90939.291151374055</v>
      </c>
      <c r="D20" s="186">
        <f>Debt!B58</f>
        <v>465237.82943859056</v>
      </c>
      <c r="E20" s="439">
        <f>SUM(B20:D20)</f>
        <v>638942.17223925516</v>
      </c>
      <c r="F20" s="151"/>
      <c r="G20" s="254"/>
      <c r="H20" s="6"/>
      <c r="T20" s="285"/>
    </row>
    <row r="21" spans="1:20" ht="15.75">
      <c r="A21" s="185" t="s">
        <v>29</v>
      </c>
      <c r="B21" s="395">
        <f>Debt!E96</f>
        <v>2.9952087611225187</v>
      </c>
      <c r="C21" s="395">
        <f>Debt!J96</f>
        <v>9.9958932238193015</v>
      </c>
      <c r="D21" s="395">
        <f>Debt!O96</f>
        <v>19.997262149212869</v>
      </c>
      <c r="E21" s="440"/>
      <c r="F21" s="151"/>
      <c r="G21" s="254"/>
      <c r="H21" s="129"/>
      <c r="T21" s="285"/>
    </row>
    <row r="22" spans="1:20" ht="15.75">
      <c r="A22" s="185" t="s">
        <v>31</v>
      </c>
      <c r="B22" s="454" t="str">
        <f>Summary!C22</f>
        <v>31-Dec-2003</v>
      </c>
      <c r="C22" s="372">
        <v>40543</v>
      </c>
      <c r="D22" s="372">
        <v>44196</v>
      </c>
      <c r="E22" s="439"/>
      <c r="F22" s="19"/>
      <c r="G22" s="31"/>
      <c r="H22" s="129"/>
      <c r="T22" s="285"/>
    </row>
    <row r="23" spans="1:20" ht="15.75">
      <c r="A23" s="185" t="s">
        <v>32</v>
      </c>
      <c r="B23" s="528">
        <f>Debt!E97</f>
        <v>1.7989472972860778</v>
      </c>
      <c r="C23" s="528">
        <f>Debt!J97</f>
        <v>7.4932248259303211</v>
      </c>
      <c r="D23" s="528">
        <f>Debt!O97</f>
        <v>16.26045855061723</v>
      </c>
      <c r="E23" s="441"/>
      <c r="F23" s="19"/>
      <c r="G23" s="31"/>
      <c r="H23" s="6"/>
      <c r="T23" s="285"/>
    </row>
    <row r="24" spans="1:20" ht="15.75">
      <c r="A24" s="185"/>
      <c r="B24" s="19"/>
      <c r="C24" s="19"/>
      <c r="D24" s="19"/>
      <c r="E24" s="439"/>
      <c r="F24" s="19"/>
      <c r="G24" s="31"/>
      <c r="T24" s="285"/>
    </row>
    <row r="25" spans="1:20" ht="15.75">
      <c r="A25" s="32"/>
      <c r="B25" s="19"/>
      <c r="C25" s="19"/>
      <c r="D25" s="19"/>
      <c r="E25" s="439"/>
      <c r="F25" s="19"/>
      <c r="G25" s="31"/>
      <c r="T25" s="285"/>
    </row>
    <row r="26" spans="1:20" ht="15.75">
      <c r="A26" s="180" t="s">
        <v>302</v>
      </c>
      <c r="B26" s="317">
        <v>6.5799999999999997E-2</v>
      </c>
      <c r="C26" s="317">
        <v>6.4399999999999999E-2</v>
      </c>
      <c r="D26" s="317">
        <v>6.13E-2</v>
      </c>
      <c r="E26" s="442">
        <f>SUMPRODUCT(B26:D26,$B$20:$D$20)/E20</f>
        <v>6.2324121686470932E-2</v>
      </c>
      <c r="F26" s="19"/>
      <c r="G26" s="31"/>
      <c r="T26" s="285"/>
    </row>
    <row r="27" spans="1:20" ht="15.75">
      <c r="A27" s="180" t="s">
        <v>35</v>
      </c>
      <c r="B27" s="318">
        <v>2.2499999999999999E-2</v>
      </c>
      <c r="C27" s="318">
        <v>3.5000000000000003E-2</v>
      </c>
      <c r="D27" s="318">
        <v>4.1250000000000002E-2</v>
      </c>
      <c r="E27" s="443">
        <f>SUMPRODUCT(B27:D27,$B$20:$D$20)/E20</f>
        <v>3.7931678905792493E-2</v>
      </c>
      <c r="F27" s="19"/>
      <c r="G27" s="31"/>
      <c r="T27" s="285"/>
    </row>
    <row r="28" spans="1:20" ht="15.75">
      <c r="A28" s="185" t="s">
        <v>36</v>
      </c>
      <c r="B28" s="187">
        <f>SUM(B26:B27)</f>
        <v>8.829999999999999E-2</v>
      </c>
      <c r="C28" s="187">
        <f>SUM(C26:C27)</f>
        <v>9.9400000000000002E-2</v>
      </c>
      <c r="D28" s="187">
        <f>SUM(D26:D27)</f>
        <v>0.10255</v>
      </c>
      <c r="E28" s="442">
        <f>SUMPRODUCT(B28:D28,$B$20:$D$20)/E20</f>
        <v>0.10025580059226341</v>
      </c>
      <c r="F28" s="19"/>
      <c r="G28" s="31"/>
      <c r="T28" s="285"/>
    </row>
    <row r="29" spans="1:20" ht="15.75">
      <c r="A29" s="180"/>
      <c r="B29" s="172"/>
      <c r="C29" s="172"/>
      <c r="D29" s="172"/>
      <c r="E29" s="263"/>
      <c r="F29" s="19"/>
      <c r="G29" s="31"/>
      <c r="T29" s="285"/>
    </row>
    <row r="30" spans="1:20" ht="15.75">
      <c r="A30" s="180" t="s">
        <v>140</v>
      </c>
      <c r="B30" s="186">
        <f>MAX(Debt!B75:U75)</f>
        <v>88936.76805949182</v>
      </c>
      <c r="C30" s="543"/>
      <c r="D30" s="172"/>
      <c r="E30" s="262"/>
      <c r="F30" s="19"/>
      <c r="G30" s="31"/>
      <c r="T30" s="285"/>
    </row>
    <row r="31" spans="1:20" ht="15.75">
      <c r="A31" s="180" t="s">
        <v>37</v>
      </c>
      <c r="B31" s="316">
        <v>0.02</v>
      </c>
      <c r="C31" s="172"/>
      <c r="D31" s="172"/>
      <c r="E31" s="262"/>
      <c r="F31" s="19"/>
      <c r="G31" s="31"/>
      <c r="T31" s="285"/>
    </row>
    <row r="32" spans="1:20" ht="15.75">
      <c r="A32" s="180" t="s">
        <v>39</v>
      </c>
      <c r="B32" s="316">
        <v>0.05</v>
      </c>
      <c r="C32" s="19"/>
      <c r="D32" s="19"/>
      <c r="E32" s="438"/>
      <c r="F32" s="19"/>
      <c r="G32" s="31"/>
      <c r="T32" s="285"/>
    </row>
    <row r="33" spans="1:20" ht="15.75">
      <c r="A33" s="32"/>
      <c r="B33" s="19"/>
      <c r="C33" s="19"/>
      <c r="D33" s="19"/>
      <c r="E33" s="19"/>
      <c r="F33" s="19"/>
      <c r="G33" s="31"/>
      <c r="T33" s="285"/>
    </row>
    <row r="34" spans="1:20" ht="15.75">
      <c r="A34" s="328" t="s">
        <v>222</v>
      </c>
      <c r="B34" s="19"/>
      <c r="C34" s="19"/>
      <c r="D34" s="19"/>
      <c r="E34" s="19"/>
      <c r="F34" s="19"/>
      <c r="G34" s="31"/>
      <c r="T34" s="285"/>
    </row>
    <row r="35" spans="1:20" ht="15.75">
      <c r="A35" s="185" t="s">
        <v>223</v>
      </c>
      <c r="B35" s="372">
        <v>36892</v>
      </c>
      <c r="C35" s="19"/>
      <c r="D35" s="19"/>
      <c r="E35" s="19"/>
      <c r="F35" s="19"/>
      <c r="G35" s="31"/>
      <c r="T35" s="285"/>
    </row>
    <row r="36" spans="1:20" ht="15.75">
      <c r="A36" s="185" t="s">
        <v>28</v>
      </c>
      <c r="B36" s="445">
        <v>582042.46193541633</v>
      </c>
      <c r="C36" s="19"/>
      <c r="D36" s="19"/>
      <c r="E36" s="19"/>
      <c r="F36" s="19"/>
      <c r="G36" s="31"/>
      <c r="T36" s="285"/>
    </row>
    <row r="37" spans="1:20" ht="15.75">
      <c r="A37" s="185" t="s">
        <v>224</v>
      </c>
      <c r="B37" s="444">
        <v>0.13</v>
      </c>
      <c r="C37" s="19"/>
      <c r="D37" s="19"/>
      <c r="E37" s="19"/>
      <c r="F37" s="19"/>
      <c r="G37" s="31"/>
      <c r="T37" s="285"/>
    </row>
    <row r="38" spans="1:20" ht="15.75">
      <c r="A38" s="32"/>
      <c r="B38" s="19"/>
      <c r="C38" s="19"/>
      <c r="D38" s="19"/>
      <c r="E38" s="19"/>
      <c r="F38" s="19"/>
      <c r="G38" s="31"/>
      <c r="T38" s="285"/>
    </row>
    <row r="39" spans="1:20" ht="16.5" thickBot="1">
      <c r="A39" s="434" t="s">
        <v>226</v>
      </c>
      <c r="B39" s="435">
        <f>B37*B8+B9*E28</f>
        <v>0.11443483820421446</v>
      </c>
      <c r="C39" s="33"/>
      <c r="D39" s="33"/>
      <c r="E39" s="33"/>
      <c r="F39" s="33"/>
      <c r="G39" s="145"/>
      <c r="T39" s="285"/>
    </row>
    <row r="40" spans="1:20" ht="16.5" thickBot="1">
      <c r="T40" s="285"/>
    </row>
    <row r="41" spans="1:20" ht="15.75">
      <c r="A41" s="167" t="s">
        <v>41</v>
      </c>
      <c r="B41" s="193"/>
      <c r="C41" s="194"/>
      <c r="D41" s="194"/>
      <c r="E41" s="198"/>
      <c r="F41" s="198"/>
      <c r="G41" s="30"/>
      <c r="T41" s="285"/>
    </row>
    <row r="42" spans="1:20" ht="15.75">
      <c r="A42" s="32"/>
      <c r="B42" s="281" t="s">
        <v>43</v>
      </c>
      <c r="C42" s="282"/>
      <c r="D42" s="19"/>
      <c r="E42" s="19"/>
      <c r="F42" s="172"/>
      <c r="G42" s="31"/>
      <c r="T42" s="285"/>
    </row>
    <row r="43" spans="1:20" ht="15.75">
      <c r="A43" s="180"/>
      <c r="B43" s="272">
        <v>1999</v>
      </c>
      <c r="C43" s="272">
        <v>2000</v>
      </c>
      <c r="D43" s="272" t="s">
        <v>44</v>
      </c>
      <c r="E43" s="272" t="s">
        <v>45</v>
      </c>
      <c r="F43" s="171" t="s">
        <v>46</v>
      </c>
      <c r="G43" s="31"/>
      <c r="T43" s="285"/>
    </row>
    <row r="44" spans="1:20" ht="15.75">
      <c r="A44" s="195" t="s">
        <v>47</v>
      </c>
      <c r="B44" s="312"/>
      <c r="C44" s="19"/>
      <c r="D44" s="312"/>
      <c r="E44" s="312"/>
      <c r="F44" s="172"/>
      <c r="G44" s="31"/>
      <c r="T44" s="285"/>
    </row>
    <row r="45" spans="1:20" ht="15.75">
      <c r="A45" s="196" t="s">
        <v>164</v>
      </c>
      <c r="B45" s="275">
        <f>G8</f>
        <v>514785.60225621099</v>
      </c>
      <c r="C45" s="191">
        <f>G9</f>
        <v>706199.03191846039</v>
      </c>
      <c r="D45" s="275">
        <v>15</v>
      </c>
      <c r="E45" s="320" t="s">
        <v>48</v>
      </c>
      <c r="F45" s="273">
        <v>0</v>
      </c>
      <c r="G45" s="31"/>
      <c r="T45" s="285"/>
    </row>
    <row r="46" spans="1:20" ht="15.75">
      <c r="A46" s="196" t="s">
        <v>295</v>
      </c>
      <c r="B46" s="275">
        <f>G11</f>
        <v>0</v>
      </c>
      <c r="C46" s="191"/>
      <c r="D46" s="275">
        <v>20</v>
      </c>
      <c r="E46" s="320" t="s">
        <v>49</v>
      </c>
      <c r="F46" s="273">
        <v>0</v>
      </c>
      <c r="G46" s="31"/>
      <c r="T46" s="285"/>
    </row>
    <row r="47" spans="1:20" ht="15.75">
      <c r="A47" s="196"/>
      <c r="B47" s="276"/>
      <c r="C47" s="262"/>
      <c r="D47" s="276"/>
      <c r="E47" s="276"/>
      <c r="F47" s="321"/>
      <c r="G47" s="31"/>
      <c r="T47" s="285"/>
    </row>
    <row r="48" spans="1:20" ht="15.75">
      <c r="A48" s="195" t="s">
        <v>51</v>
      </c>
      <c r="B48" s="276"/>
      <c r="C48" s="262"/>
      <c r="D48" s="276"/>
      <c r="E48" s="276"/>
      <c r="F48" s="273"/>
      <c r="G48" s="31"/>
      <c r="T48" s="285"/>
    </row>
    <row r="49" spans="1:24" ht="16.5" thickBot="1">
      <c r="A49" s="197" t="s">
        <v>296</v>
      </c>
      <c r="B49" s="277">
        <f>G8+G11*Allocation!C10</f>
        <v>514785.60225621099</v>
      </c>
      <c r="C49" s="192">
        <f>G9+G11*Allocation!C15</f>
        <v>706199.03191846039</v>
      </c>
      <c r="D49" s="277">
        <v>30</v>
      </c>
      <c r="E49" s="322" t="s">
        <v>49</v>
      </c>
      <c r="F49" s="384">
        <v>0.1</v>
      </c>
      <c r="G49" s="145"/>
      <c r="T49" s="285"/>
    </row>
    <row r="50" spans="1:24" ht="16.5" thickBot="1">
      <c r="T50" s="285"/>
    </row>
    <row r="51" spans="1:24" ht="15.75">
      <c r="A51" s="168" t="s">
        <v>55</v>
      </c>
      <c r="B51" s="198"/>
      <c r="C51" s="198"/>
      <c r="D51" s="198"/>
      <c r="E51" s="198"/>
      <c r="F51" s="198"/>
      <c r="G51" s="199"/>
      <c r="T51" s="285"/>
    </row>
    <row r="52" spans="1:24" ht="15.75">
      <c r="A52" s="180"/>
      <c r="B52" s="172"/>
      <c r="C52" s="172"/>
      <c r="D52" s="172"/>
      <c r="E52" s="172"/>
      <c r="F52" s="172"/>
      <c r="G52" s="181"/>
      <c r="T52" s="285"/>
    </row>
    <row r="53" spans="1:24" ht="15.75">
      <c r="A53" s="184" t="s">
        <v>0</v>
      </c>
      <c r="B53" s="188"/>
      <c r="C53" s="19"/>
      <c r="D53" s="171" t="s">
        <v>57</v>
      </c>
      <c r="E53" s="171" t="s">
        <v>58</v>
      </c>
      <c r="F53" s="172"/>
      <c r="G53" s="181"/>
      <c r="T53" s="285"/>
    </row>
    <row r="54" spans="1:24" ht="15.75">
      <c r="A54" s="180" t="s">
        <v>153</v>
      </c>
      <c r="B54" s="172"/>
      <c r="C54" s="19"/>
      <c r="D54" s="189">
        <f>Debt!D82</f>
        <v>1.3509246575342468</v>
      </c>
      <c r="E54" s="189">
        <f>Debt!D83</f>
        <v>1.3522337700028049</v>
      </c>
      <c r="F54" s="172"/>
      <c r="G54" s="181"/>
      <c r="T54" s="285"/>
    </row>
    <row r="55" spans="1:24" ht="15.75">
      <c r="A55" s="180" t="s">
        <v>154</v>
      </c>
      <c r="B55" s="172"/>
      <c r="C55" s="19"/>
      <c r="D55" s="189">
        <f>Debt!G82</f>
        <v>2.9938524590163915</v>
      </c>
      <c r="E55" s="189">
        <f>Debt!G83</f>
        <v>2.9997406072658213</v>
      </c>
      <c r="F55" s="172"/>
      <c r="G55" s="181"/>
      <c r="T55" s="285"/>
    </row>
    <row r="56" spans="1:24" ht="15.75">
      <c r="A56" s="180"/>
      <c r="B56" s="172"/>
      <c r="C56" s="172"/>
      <c r="D56" s="172"/>
      <c r="E56" s="172"/>
      <c r="F56" s="172"/>
      <c r="G56" s="181"/>
      <c r="T56" s="285"/>
    </row>
    <row r="57" spans="1:24" ht="15.75">
      <c r="A57" s="180"/>
      <c r="B57" s="172"/>
      <c r="C57" s="172"/>
      <c r="D57" s="171" t="s">
        <v>59</v>
      </c>
      <c r="E57" s="171" t="s">
        <v>60</v>
      </c>
      <c r="F57" s="171" t="s">
        <v>61</v>
      </c>
      <c r="G57" s="181"/>
      <c r="T57" s="42"/>
      <c r="U57" s="42"/>
      <c r="V57" s="42"/>
      <c r="W57" s="42"/>
      <c r="X57" s="42"/>
    </row>
    <row r="58" spans="1:24" ht="15.75">
      <c r="A58" s="180" t="s">
        <v>62</v>
      </c>
      <c r="B58" s="172"/>
      <c r="C58" s="172"/>
      <c r="D58" s="191">
        <f>SUMPRODUCT(Summary!C11:E11,Summary!C13:E13)/SUM(Summary!C11:E11)</f>
        <v>11948.009523809524</v>
      </c>
      <c r="E58" s="191">
        <f>SUMPRODUCT(Summary!G11:I11,Summary!G13:I13)/SUM(Summary!G11:I11)</f>
        <v>11458.743073047859</v>
      </c>
      <c r="F58" s="191">
        <f>SUMPRODUCT(Summary!C11:I11,Summary!C13:I13)/Summary!K11</f>
        <v>11675.202247191011</v>
      </c>
      <c r="G58" s="181"/>
      <c r="T58" s="42"/>
      <c r="U58" s="42"/>
      <c r="V58" s="42"/>
      <c r="W58" s="42"/>
      <c r="X58" s="42"/>
    </row>
    <row r="59" spans="1:24" ht="15.75">
      <c r="A59" s="32"/>
      <c r="B59" s="19"/>
      <c r="C59" s="19"/>
      <c r="D59" s="19"/>
      <c r="E59" s="19"/>
      <c r="F59" s="19"/>
      <c r="G59" s="31"/>
      <c r="T59" s="427"/>
      <c r="U59" s="42"/>
      <c r="V59" s="42"/>
      <c r="W59" s="42"/>
      <c r="X59" s="42"/>
    </row>
    <row r="60" spans="1:24" ht="15.75">
      <c r="A60" s="180" t="s">
        <v>234</v>
      </c>
      <c r="B60" s="172"/>
      <c r="C60" s="172"/>
      <c r="D60" s="191">
        <f>SUM(Summary!C10:E10)</f>
        <v>1394</v>
      </c>
      <c r="E60" s="191">
        <f>SUM(Summary!G10:I10)</f>
        <v>1700</v>
      </c>
      <c r="F60" s="191">
        <f>SUM(D60:E60)</f>
        <v>3094</v>
      </c>
      <c r="G60" s="181"/>
      <c r="T60" s="427"/>
      <c r="U60" s="42"/>
      <c r="V60" s="42"/>
      <c r="W60" s="42"/>
      <c r="X60" s="42"/>
    </row>
    <row r="61" spans="1:24" ht="15.75">
      <c r="A61" s="180"/>
      <c r="B61" s="19"/>
      <c r="C61" s="19"/>
      <c r="D61" s="191"/>
      <c r="E61" s="191"/>
      <c r="F61" s="191"/>
      <c r="G61" s="31"/>
      <c r="T61" s="427"/>
      <c r="U61" s="42"/>
      <c r="V61" s="42"/>
      <c r="W61" s="42"/>
      <c r="X61" s="42"/>
    </row>
    <row r="62" spans="1:24" ht="15.75">
      <c r="A62" s="180" t="str">
        <f>CONCATENATE("Total Cost per MW @ ISO MW of ",Summary!K10," MW (000 $)")</f>
        <v>Total Cost per MW @ ISO MW of 3094 MW (000 $)</v>
      </c>
      <c r="B62" s="172"/>
      <c r="C62" s="172"/>
      <c r="D62" s="191">
        <f>G14/F60</f>
        <v>394.62981065761846</v>
      </c>
      <c r="E62" s="172"/>
      <c r="F62" s="172"/>
      <c r="G62" s="181"/>
      <c r="T62" s="427"/>
      <c r="U62" s="42"/>
      <c r="V62" s="42"/>
      <c r="W62" s="42"/>
      <c r="X62" s="42"/>
    </row>
    <row r="63" spans="1:24" ht="15.75">
      <c r="A63" s="180"/>
      <c r="B63" s="172"/>
      <c r="C63" s="172"/>
      <c r="D63" s="191"/>
      <c r="E63" s="172"/>
      <c r="F63" s="172"/>
      <c r="G63" s="181"/>
      <c r="T63" s="427"/>
      <c r="U63" s="42"/>
      <c r="V63" s="42"/>
      <c r="W63" s="42"/>
      <c r="X63" s="42"/>
    </row>
    <row r="64" spans="1:24" ht="15.75">
      <c r="A64" s="180" t="s">
        <v>155</v>
      </c>
      <c r="B64" s="19"/>
      <c r="C64" s="19"/>
      <c r="D64" s="191">
        <f>Depreciation!V59/F60</f>
        <v>157.85192426304749</v>
      </c>
      <c r="E64" s="19"/>
      <c r="F64" s="19"/>
      <c r="G64" s="31"/>
      <c r="I64" s="3"/>
      <c r="J64" s="429"/>
      <c r="K64" s="429"/>
      <c r="L64" s="429"/>
      <c r="M64" s="429"/>
      <c r="N64" s="429"/>
      <c r="O64" s="429"/>
      <c r="P64" s="429"/>
      <c r="Q64" s="429"/>
      <c r="R64" s="429"/>
      <c r="S64" s="42"/>
      <c r="T64" s="427"/>
      <c r="U64" s="42"/>
      <c r="V64" s="42"/>
      <c r="W64" s="42"/>
      <c r="X64" s="42"/>
    </row>
    <row r="65" spans="1:24" ht="15.75">
      <c r="A65" s="32"/>
      <c r="B65" s="19"/>
      <c r="C65" s="19"/>
      <c r="D65" s="19"/>
      <c r="E65" s="19"/>
      <c r="F65" s="19"/>
      <c r="G65" s="31"/>
      <c r="J65" s="429"/>
      <c r="K65" s="429"/>
      <c r="L65" s="429"/>
      <c r="M65" s="429"/>
      <c r="N65" s="429"/>
      <c r="O65" s="429"/>
      <c r="P65" s="429"/>
      <c r="Q65" s="429"/>
      <c r="R65" s="429"/>
      <c r="S65" s="42"/>
      <c r="T65" s="427"/>
      <c r="U65" s="42"/>
      <c r="V65" s="42"/>
      <c r="W65" s="42"/>
      <c r="X65" s="42"/>
    </row>
    <row r="66" spans="1:24" ht="15.75">
      <c r="A66" s="180" t="s">
        <v>156</v>
      </c>
      <c r="B66" s="172"/>
      <c r="C66" s="172"/>
      <c r="D66" s="299">
        <f>CF!B32</f>
        <v>0.13006251454353332</v>
      </c>
      <c r="E66" s="172"/>
      <c r="F66" s="172"/>
      <c r="G66" s="181"/>
      <c r="J66" s="429"/>
      <c r="K66" s="429"/>
      <c r="L66" s="429"/>
      <c r="M66" s="429"/>
      <c r="N66" s="429"/>
      <c r="O66" s="429"/>
      <c r="P66" s="429"/>
      <c r="Q66" s="429"/>
      <c r="R66" s="429"/>
      <c r="S66" s="42"/>
      <c r="T66" s="427"/>
      <c r="U66" s="42"/>
      <c r="V66" s="42"/>
      <c r="W66" s="42"/>
      <c r="X66" s="42"/>
    </row>
    <row r="67" spans="1:24" ht="15.75">
      <c r="A67" s="180" t="s">
        <v>157</v>
      </c>
      <c r="B67" s="172"/>
      <c r="C67" s="172"/>
      <c r="D67" s="299">
        <f>CF!B38</f>
        <v>0.13952128291130067</v>
      </c>
      <c r="E67" s="172"/>
      <c r="F67" s="172"/>
      <c r="G67" s="181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7"/>
      <c r="U67" s="42"/>
      <c r="V67" s="42"/>
      <c r="W67" s="42"/>
      <c r="X67" s="42"/>
    </row>
    <row r="68" spans="1:24" ht="15.75">
      <c r="A68" s="180"/>
      <c r="B68" s="312"/>
      <c r="C68" s="190"/>
      <c r="D68" s="271"/>
      <c r="E68" s="172"/>
      <c r="F68" s="172"/>
      <c r="G68" s="181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</row>
    <row r="69" spans="1:24" ht="15.75">
      <c r="A69" s="180"/>
      <c r="B69" s="171">
        <v>2001</v>
      </c>
      <c r="C69" s="171">
        <v>2002</v>
      </c>
      <c r="D69" s="171">
        <v>2003</v>
      </c>
      <c r="E69" s="171">
        <v>2004</v>
      </c>
      <c r="F69" s="171">
        <v>2005</v>
      </c>
      <c r="G69" s="31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</row>
    <row r="70" spans="1:24" ht="15.75">
      <c r="A70" s="180" t="s">
        <v>205</v>
      </c>
      <c r="B70" s="191">
        <f>IS!B36</f>
        <v>120476.94675971066</v>
      </c>
      <c r="C70" s="191">
        <f>IS!C36</f>
        <v>119829.5978405621</v>
      </c>
      <c r="D70" s="191">
        <f>IS!D36</f>
        <v>119238.1252661586</v>
      </c>
      <c r="E70" s="191">
        <f>IS!E36</f>
        <v>185089.21705495185</v>
      </c>
      <c r="F70" s="191">
        <f>IS!F36</f>
        <v>195084.39606282642</v>
      </c>
      <c r="G70" s="31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</row>
    <row r="71" spans="1:24" ht="15.75">
      <c r="A71" s="180" t="s">
        <v>206</v>
      </c>
      <c r="B71" s="191">
        <f>IS!B49</f>
        <v>12611.111930679232</v>
      </c>
      <c r="C71" s="191">
        <f>IS!C49</f>
        <v>13518.378146201649</v>
      </c>
      <c r="D71" s="191">
        <f>IS!D49</f>
        <v>14671.31101542262</v>
      </c>
      <c r="E71" s="191">
        <f>IS!E49</f>
        <v>56211.697992030568</v>
      </c>
      <c r="F71" s="191">
        <f>IS!F49</f>
        <v>62802.165751660898</v>
      </c>
      <c r="G71" s="31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</row>
    <row r="72" spans="1:24" ht="15.75">
      <c r="A72" s="180" t="s">
        <v>203</v>
      </c>
      <c r="B72" s="191">
        <f>CF!C17</f>
        <v>31719.740598818826</v>
      </c>
      <c r="C72" s="191">
        <f>CF!D17</f>
        <v>31474.33450658455</v>
      </c>
      <c r="D72" s="191">
        <f>CF!E17</f>
        <v>31178.239601081761</v>
      </c>
      <c r="E72" s="191">
        <f>CF!F17</f>
        <v>123343.36670531702</v>
      </c>
      <c r="F72" s="191">
        <f>CF!G17</f>
        <v>130148.43937249413</v>
      </c>
      <c r="G72" s="31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</row>
    <row r="73" spans="1:24" ht="16.5" thickBot="1">
      <c r="A73" s="182" t="s">
        <v>204</v>
      </c>
      <c r="B73" s="192">
        <f>CF!C22</f>
        <v>32809.748652386435</v>
      </c>
      <c r="C73" s="192">
        <f>CF!D22</f>
        <v>51344.137668142066</v>
      </c>
      <c r="D73" s="192">
        <f>CF!E22</f>
        <v>46328.76163171111</v>
      </c>
      <c r="E73" s="192">
        <f>CF!F22</f>
        <v>110971.43174967422</v>
      </c>
      <c r="F73" s="192">
        <f>CF!G22</f>
        <v>110116.67597388706</v>
      </c>
      <c r="G73" s="145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</row>
    <row r="74" spans="1:24"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</row>
    <row r="75" spans="1:24">
      <c r="S75" s="42"/>
      <c r="T75" s="42"/>
      <c r="U75" s="42"/>
      <c r="V75" s="42"/>
      <c r="W75" s="42"/>
      <c r="X75" s="42"/>
    </row>
    <row r="76" spans="1:24">
      <c r="S76" s="42"/>
      <c r="T76" s="42"/>
      <c r="U76" s="42"/>
      <c r="V76" s="42"/>
      <c r="W76" s="42"/>
      <c r="X76" s="42"/>
    </row>
    <row r="77" spans="1:24">
      <c r="S77" s="42"/>
      <c r="T77" s="42"/>
      <c r="U77" s="42"/>
      <c r="V77" s="42"/>
      <c r="W77" s="42"/>
      <c r="X77" s="42"/>
    </row>
    <row r="78" spans="1:24">
      <c r="S78" s="42"/>
      <c r="T78" s="42"/>
      <c r="U78" s="42"/>
      <c r="V78" s="42"/>
      <c r="W78" s="42"/>
      <c r="X78" s="42"/>
    </row>
    <row r="79" spans="1:24">
      <c r="S79" s="42"/>
      <c r="T79" s="42"/>
      <c r="U79" s="42"/>
      <c r="V79" s="42"/>
      <c r="W79" s="42"/>
      <c r="X79" s="42"/>
    </row>
    <row r="80" spans="1:24">
      <c r="S80" s="42"/>
      <c r="T80" s="42"/>
      <c r="U80" s="42"/>
      <c r="V80" s="42"/>
      <c r="W80" s="42"/>
      <c r="X80" s="42"/>
    </row>
    <row r="81" spans="10:24">
      <c r="S81" s="42"/>
      <c r="T81" s="42"/>
      <c r="U81" s="42"/>
      <c r="V81" s="42"/>
      <c r="W81" s="42"/>
      <c r="X81" s="42"/>
    </row>
    <row r="82" spans="10:24">
      <c r="S82" s="42"/>
      <c r="T82" s="42"/>
      <c r="U82" s="42"/>
      <c r="V82" s="42"/>
      <c r="W82" s="42"/>
      <c r="X82" s="42"/>
    </row>
    <row r="83" spans="10:24">
      <c r="S83" s="42"/>
      <c r="T83" s="42"/>
      <c r="U83" s="42"/>
      <c r="V83" s="42"/>
      <c r="W83" s="42"/>
      <c r="X83" s="42"/>
    </row>
    <row r="84" spans="10:24">
      <c r="S84" s="42"/>
      <c r="T84" s="42"/>
      <c r="U84" s="42"/>
      <c r="V84" s="42"/>
      <c r="W84" s="42"/>
      <c r="X84" s="42"/>
    </row>
    <row r="85" spans="10:24">
      <c r="S85" s="42"/>
      <c r="T85" s="42"/>
      <c r="U85" s="42"/>
      <c r="V85" s="42"/>
      <c r="W85" s="42"/>
      <c r="X85" s="42"/>
    </row>
    <row r="86" spans="10:24">
      <c r="S86" s="42"/>
      <c r="T86" s="42"/>
      <c r="U86" s="42"/>
      <c r="V86" s="42"/>
      <c r="W86" s="42"/>
      <c r="X86" s="42"/>
    </row>
    <row r="87" spans="10:24">
      <c r="S87" s="42"/>
      <c r="T87" s="42"/>
      <c r="U87" s="42"/>
      <c r="V87" s="42"/>
      <c r="W87" s="42"/>
      <c r="X87" s="42"/>
    </row>
    <row r="88" spans="10:24"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</row>
    <row r="89" spans="10:24"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</row>
    <row r="94" spans="10:24">
      <c r="Q94" s="6"/>
    </row>
  </sheetData>
  <pageMargins left="0.18" right="0.17" top="0.37" bottom="0.4" header="0.17" footer="0.21"/>
  <pageSetup scale="50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8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90" r:id="rId4" name="Button 422">
              <controlPr defaultSize="0" print="0" autoFill="0" autoPict="0" macro="[0]!Equity">
                <anchor moveWithCells="1" sizeWithCells="1">
                  <from>
                    <xdr:col>2</xdr:col>
                    <xdr:colOff>447675</xdr:colOff>
                    <xdr:row>35</xdr:row>
                    <xdr:rowOff>28575</xdr:rowOff>
                  </from>
                  <to>
                    <xdr:col>3</xdr:col>
                    <xdr:colOff>657225</xdr:colOff>
                    <xdr:row>36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2:BC783"/>
  <sheetViews>
    <sheetView zoomScale="75" zoomScaleNormal="75" workbookViewId="0"/>
  </sheetViews>
  <sheetFormatPr defaultRowHeight="12.75" outlineLevelRow="2" outlineLevelCol="1"/>
  <cols>
    <col min="1" max="1" width="38.285156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" style="7" bestFit="1" customWidth="1"/>
    <col min="24" max="16384" width="9.140625" style="7"/>
  </cols>
  <sheetData>
    <row r="2" spans="1:55" ht="18.75">
      <c r="A2" s="54" t="s">
        <v>130</v>
      </c>
      <c r="B2" s="413"/>
      <c r="C2" s="413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</row>
    <row r="5" spans="1:55" ht="13.5" thickBot="1">
      <c r="A5" s="202" t="s">
        <v>83</v>
      </c>
      <c r="B5" s="8">
        <f>Brownsville!$B$5</f>
        <v>2001</v>
      </c>
      <c r="C5" s="8">
        <f>Brownsville!C5</f>
        <v>2002</v>
      </c>
      <c r="D5" s="8">
        <f>Brownsville!D5</f>
        <v>2003</v>
      </c>
      <c r="E5" s="8">
        <f>Brownsville!E5</f>
        <v>2004</v>
      </c>
      <c r="F5" s="8">
        <f>Brownsville!F5</f>
        <v>2005</v>
      </c>
      <c r="G5" s="8">
        <f>Brownsville!G5</f>
        <v>2006</v>
      </c>
      <c r="H5" s="8">
        <f>Brownsville!H5</f>
        <v>2007</v>
      </c>
      <c r="I5" s="8">
        <f>Brownsville!I5</f>
        <v>2008</v>
      </c>
      <c r="J5" s="8">
        <f>Brownsville!J5</f>
        <v>2009</v>
      </c>
      <c r="K5" s="8">
        <f>Brownsville!K5</f>
        <v>2010</v>
      </c>
      <c r="L5" s="8">
        <f>Brownsville!L5</f>
        <v>2011</v>
      </c>
      <c r="M5" s="8">
        <f>Brownsville!M5</f>
        <v>2012</v>
      </c>
      <c r="N5" s="8">
        <f>Brownsville!N5</f>
        <v>2013</v>
      </c>
      <c r="O5" s="8">
        <f>Brownsville!O5</f>
        <v>2014</v>
      </c>
      <c r="P5" s="8">
        <f>Brownsville!P5</f>
        <v>2015</v>
      </c>
      <c r="Q5" s="8">
        <f>Brownsville!Q5</f>
        <v>2016</v>
      </c>
      <c r="R5" s="8">
        <f>Brownsville!R5</f>
        <v>2017</v>
      </c>
      <c r="S5" s="8">
        <f>Brownsville!S5</f>
        <v>2018</v>
      </c>
      <c r="T5" s="8">
        <f>Brownsville!T5</f>
        <v>2019</v>
      </c>
      <c r="U5" s="8">
        <f>Brownsville!U5</f>
        <v>2020</v>
      </c>
      <c r="Y5" s="547">
        <f>SUM(Z5:AS5)-SUM(Z6:AS6)</f>
        <v>0</v>
      </c>
      <c r="Z5" s="548">
        <f>B11+B12</f>
        <v>1237.5553</v>
      </c>
      <c r="AA5" s="548">
        <f>C11+C12</f>
        <v>1274.681959</v>
      </c>
      <c r="AB5" s="548">
        <f>D11+D12</f>
        <v>1312.9224177700003</v>
      </c>
      <c r="AC5" s="548">
        <f t="shared" ref="AC5:AS5" si="0">E16</f>
        <v>997.74082478703781</v>
      </c>
      <c r="AD5" s="548">
        <f t="shared" si="0"/>
        <v>1027.673049530649</v>
      </c>
      <c r="AE5" s="548">
        <f t="shared" si="0"/>
        <v>1058.5032410165686</v>
      </c>
      <c r="AF5" s="548">
        <f t="shared" si="0"/>
        <v>1090.2583382470657</v>
      </c>
      <c r="AG5" s="548">
        <f t="shared" si="0"/>
        <v>1122.9660883944775</v>
      </c>
      <c r="AH5" s="548">
        <f t="shared" si="0"/>
        <v>1156.6550710463118</v>
      </c>
      <c r="AI5" s="548">
        <f t="shared" si="0"/>
        <v>1191.3547231777011</v>
      </c>
      <c r="AJ5" s="548">
        <f t="shared" si="0"/>
        <v>1227.0953648730322</v>
      </c>
      <c r="AK5" s="548">
        <f t="shared" si="0"/>
        <v>1263.9082258192229</v>
      </c>
      <c r="AL5" s="548">
        <f t="shared" si="0"/>
        <v>1301.8254725937995</v>
      </c>
      <c r="AM5" s="548">
        <f t="shared" si="0"/>
        <v>1340.8802367716139</v>
      </c>
      <c r="AN5" s="548">
        <f t="shared" si="0"/>
        <v>1381.1066438747623</v>
      </c>
      <c r="AO5" s="548">
        <f t="shared" si="0"/>
        <v>1422.5398431910048</v>
      </c>
      <c r="AP5" s="548">
        <f t="shared" si="0"/>
        <v>1465.216038486735</v>
      </c>
      <c r="AQ5" s="548">
        <f t="shared" si="0"/>
        <v>1509.1725196413372</v>
      </c>
      <c r="AR5" s="548">
        <f t="shared" si="0"/>
        <v>1554.4476952305772</v>
      </c>
      <c r="AS5" s="548">
        <f t="shared" si="0"/>
        <v>1601.0811260874943</v>
      </c>
    </row>
    <row r="6" spans="1:55">
      <c r="A6" s="2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Y6" s="547">
        <v>0</v>
      </c>
      <c r="Z6" s="549">
        <f>B24+B25</f>
        <v>1237.5553</v>
      </c>
      <c r="AA6" s="549">
        <f>C24+C25</f>
        <v>1274.681959</v>
      </c>
      <c r="AB6" s="549">
        <f>D24+D25</f>
        <v>1312.9224177700003</v>
      </c>
      <c r="AC6" s="549">
        <f t="shared" ref="AC6:AS6" si="1">E24+1/3*E25</f>
        <v>997.74082478703781</v>
      </c>
      <c r="AD6" s="549">
        <f t="shared" si="1"/>
        <v>1027.673049530649</v>
      </c>
      <c r="AE6" s="549">
        <f t="shared" si="1"/>
        <v>1058.5032410165686</v>
      </c>
      <c r="AF6" s="549">
        <f t="shared" si="1"/>
        <v>1090.2583382470657</v>
      </c>
      <c r="AG6" s="549">
        <f t="shared" si="1"/>
        <v>1122.9660883944778</v>
      </c>
      <c r="AH6" s="549">
        <f t="shared" si="1"/>
        <v>1156.6550710463121</v>
      </c>
      <c r="AI6" s="549">
        <f t="shared" si="1"/>
        <v>1191.3547231777015</v>
      </c>
      <c r="AJ6" s="549">
        <f t="shared" si="1"/>
        <v>1227.0953648730324</v>
      </c>
      <c r="AK6" s="549">
        <f t="shared" si="1"/>
        <v>1263.9082258192236</v>
      </c>
      <c r="AL6" s="549">
        <f t="shared" si="1"/>
        <v>1301.8254725938004</v>
      </c>
      <c r="AM6" s="549">
        <f t="shared" si="1"/>
        <v>1340.8802367716144</v>
      </c>
      <c r="AN6" s="549">
        <f t="shared" si="1"/>
        <v>1381.1066438747628</v>
      </c>
      <c r="AO6" s="549">
        <f t="shared" si="1"/>
        <v>1422.5398431910057</v>
      </c>
      <c r="AP6" s="549">
        <f t="shared" si="1"/>
        <v>1465.2160384867361</v>
      </c>
      <c r="AQ6" s="549">
        <f t="shared" si="1"/>
        <v>1509.1725196413383</v>
      </c>
      <c r="AR6" s="549">
        <f t="shared" si="1"/>
        <v>1554.4476952305786</v>
      </c>
      <c r="AS6" s="549">
        <f t="shared" si="1"/>
        <v>1601.0811260874957</v>
      </c>
    </row>
    <row r="7" spans="1:55">
      <c r="A7" s="2"/>
      <c r="B7" s="477"/>
      <c r="C7" s="477"/>
      <c r="D7" s="477"/>
      <c r="E7" s="477"/>
      <c r="F7" s="477"/>
      <c r="G7" s="477"/>
      <c r="H7" s="477"/>
      <c r="I7" s="477"/>
      <c r="J7" s="477"/>
      <c r="K7" s="477"/>
      <c r="L7" s="477"/>
      <c r="M7" s="477"/>
      <c r="N7" s="477"/>
      <c r="O7" s="477"/>
      <c r="P7" s="477"/>
      <c r="Q7" s="477"/>
      <c r="R7" s="477"/>
      <c r="S7" s="477"/>
      <c r="T7" s="477"/>
      <c r="U7" s="477"/>
    </row>
    <row r="8" spans="1:55">
      <c r="A8" s="1" t="s">
        <v>84</v>
      </c>
      <c r="B8" s="478"/>
      <c r="C8" s="478"/>
      <c r="D8" s="478"/>
      <c r="E8" s="478"/>
      <c r="F8" s="478"/>
      <c r="G8" s="478"/>
      <c r="H8" s="478"/>
      <c r="I8" s="478"/>
      <c r="J8" s="478"/>
      <c r="K8" s="478"/>
      <c r="L8" s="478"/>
      <c r="M8" s="478"/>
      <c r="N8" s="478"/>
      <c r="O8" s="478"/>
      <c r="P8" s="478"/>
      <c r="Q8" s="478"/>
      <c r="R8" s="478"/>
      <c r="S8" s="478"/>
      <c r="T8" s="478"/>
      <c r="U8" s="478"/>
      <c r="V8" s="60"/>
      <c r="W8" s="60"/>
      <c r="X8" s="60"/>
    </row>
    <row r="9" spans="1:55">
      <c r="A9" s="385" t="s">
        <v>198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60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55">
      <c r="A10" s="3" t="s">
        <v>85</v>
      </c>
      <c r="B10" s="58">
        <f>'Power Price Assumption'!E32*12*(Summary!$D$11+Summary!$D$12)</f>
        <v>22368</v>
      </c>
      <c r="C10" s="58">
        <f>'Power Price Assumption'!F32*12*(Summary!$D$11+Summary!$D$12)</f>
        <v>22368</v>
      </c>
      <c r="D10" s="58">
        <f>'Power Price Assumption'!G32*12*(Summary!$D$11+Summary!$D$12)</f>
        <v>22368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60"/>
      <c r="W10" s="93">
        <f>SUM(B10:U10)</f>
        <v>67104</v>
      </c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1:55">
      <c r="A11" s="3" t="s">
        <v>317</v>
      </c>
      <c r="B11" s="58">
        <f>Summary!D24*Summary!D26/1000*(1+Summary!$D$48)</f>
        <v>774.05529999999999</v>
      </c>
      <c r="C11" s="58">
        <f>B11*(1+Summary!$D$48)</f>
        <v>797.27695900000003</v>
      </c>
      <c r="D11" s="58">
        <f>C11*(1+Summary!$D$48)</f>
        <v>821.1952677700001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60"/>
      <c r="W11" s="93">
        <f>SUM(B11:U11)</f>
        <v>2392.5275267699999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1:55">
      <c r="A12" s="3" t="s">
        <v>213</v>
      </c>
      <c r="B12" s="129">
        <f>Summary!$D$25*Summary!$D$14*Summary!$D$9/1000*(1+Summary!$D$48)</f>
        <v>463.5</v>
      </c>
      <c r="C12" s="93">
        <f>B12*(1+Summary!$D$48)</f>
        <v>477.40500000000003</v>
      </c>
      <c r="D12" s="93">
        <f>C12*(1+Summary!$D$48)</f>
        <v>491.72715000000005</v>
      </c>
      <c r="E12" s="58"/>
      <c r="F12" s="58"/>
      <c r="G12" s="58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0"/>
      <c r="W12" s="93">
        <f>SUM(B12:U12)</f>
        <v>1432.6321499999999</v>
      </c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</row>
    <row r="13" spans="1:55">
      <c r="A13" s="1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60"/>
      <c r="W13" s="93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</row>
    <row r="14" spans="1:55">
      <c r="A14" s="385" t="s">
        <v>233</v>
      </c>
      <c r="W14" s="93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</row>
    <row r="15" spans="1:55" s="64" customFormat="1" ht="12" customHeight="1">
      <c r="A15" s="3" t="s">
        <v>85</v>
      </c>
      <c r="B15" s="21">
        <v>0</v>
      </c>
      <c r="C15" s="21">
        <v>0</v>
      </c>
      <c r="D15" s="21">
        <v>0</v>
      </c>
      <c r="E15" s="21">
        <f>'Power Price Assumption'!H32*(Summary!$D$11+Summary!$D$12)*12*(1-Summary!$D$29)</f>
        <v>33154.228008954902</v>
      </c>
      <c r="F15" s="21">
        <f>'Power Price Assumption'!I32*(Summary!$D$11+Summary!$D$12)*12*(1-Summary!$D$29)</f>
        <v>34822.845405458233</v>
      </c>
      <c r="G15" s="21">
        <f>'Power Price Assumption'!J32*(Summary!$D$11+Summary!$D$12)*12*(1-Summary!$D$29)</f>
        <v>35289.022206853886</v>
      </c>
      <c r="H15" s="21">
        <f>'Power Price Assumption'!K32*(Summary!$D$11+Summary!$D$12)*12*(1-Summary!$D$29)</f>
        <v>35692.242673709246</v>
      </c>
      <c r="I15" s="21">
        <f>'Power Price Assumption'!L32*(Summary!$D$11+Summary!$D$12)*12*(1-Summary!$D$29)</f>
        <v>36149.270221801642</v>
      </c>
      <c r="J15" s="21">
        <f>'Power Price Assumption'!M32*(Summary!$D$11+Summary!$D$12)*12*(1-Summary!$D$29)</f>
        <v>36664.81159678151</v>
      </c>
      <c r="K15" s="21">
        <f>'Power Price Assumption'!N32*(Summary!$D$11+Summary!$D$12)*12*(1-Summary!$D$29)</f>
        <v>37113.639462880034</v>
      </c>
      <c r="L15" s="21">
        <f>'Power Price Assumption'!O32*(Summary!$D$11+Summary!$D$12)*12*(1-Summary!$D$29)</f>
        <v>37824.658661010995</v>
      </c>
      <c r="M15" s="21">
        <f>'Power Price Assumption'!P32*(Summary!$D$11+Summary!$D$12)*12*(1-Summary!$D$29)</f>
        <v>38544.936735513227</v>
      </c>
      <c r="N15" s="21">
        <f>'Power Price Assumption'!Q32*(Summary!$D$11+Summary!$D$12)*12*(1-Summary!$D$29)</f>
        <v>39274.389301690688</v>
      </c>
      <c r="O15" s="21">
        <f>'Power Price Assumption'!R32*(Summary!$D$11+Summary!$D$12)*12*(1-Summary!$D$29)</f>
        <v>40012.918578776815</v>
      </c>
      <c r="P15" s="21">
        <f>'Power Price Assumption'!S32*(Summary!$D$11+Summary!$D$12)*12*(1-Summary!$D$29)</f>
        <v>40760.4126621166</v>
      </c>
      <c r="Q15" s="21">
        <f>'Power Price Assumption'!T32*(Summary!$D$11+Summary!$D$12)*12*(1-Summary!$D$29)</f>
        <v>41361.251337654467</v>
      </c>
      <c r="R15" s="21">
        <f>'Power Price Assumption'!U32*(Summary!$D$11+Summary!$D$12)*12*(1-Summary!$D$29)</f>
        <v>41961.455962328713</v>
      </c>
      <c r="S15" s="21">
        <f>'Power Price Assumption'!V32*(Summary!$D$11+Summary!$D$12)*12*(1-Summary!$D$29)</f>
        <v>42560.447738279508</v>
      </c>
      <c r="T15" s="21">
        <f>'Power Price Assumption'!W32*(Summary!$D$11+Summary!$D$12)*12*(1-Summary!$D$29)</f>
        <v>43157.613710421247</v>
      </c>
      <c r="U15" s="21">
        <f>'Power Price Assumption'!X32*(Summary!$D$11+Summary!$D$12)*12*(1-Summary!$D$29)</f>
        <v>43752.305237927059</v>
      </c>
      <c r="W15" s="93">
        <f t="shared" ref="W15:W20" si="2">SUM(B15:U15)</f>
        <v>658096.44950215868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 spans="1:55" s="64" customFormat="1" ht="12" customHeight="1">
      <c r="A16" s="3" t="s">
        <v>86</v>
      </c>
      <c r="B16" s="21">
        <v>0</v>
      </c>
      <c r="C16" s="21">
        <v>0</v>
      </c>
      <c r="D16" s="21">
        <v>0</v>
      </c>
      <c r="E16" s="129">
        <f>1/3*Summary!$D$25*Summary!$D$14*Summary!$D$9/1000*(1+Summary!$D$48)^(E5-2000)+Summary!$D$31*Summary!$D$24*(1+Summary!$D$48)^(E5-2000)/1000</f>
        <v>997.74082478703781</v>
      </c>
      <c r="F16" s="129">
        <f>1/3*Summary!$D$25*Summary!$D$14*Summary!$D$9/1000*(1+Summary!$D$48)^(F5-2000)+Summary!$D$31*Summary!$D$24*(1+Summary!$D$48)^(F5-2000)/1000</f>
        <v>1027.673049530649</v>
      </c>
      <c r="G16" s="129">
        <f>1/3*Summary!$D$25*Summary!$D$14*Summary!$D$9/1000*(1+Summary!$D$48)^(G5-2000)+Summary!$D$31*Summary!$D$24*(1+Summary!$D$48)^(G5-2000)/1000</f>
        <v>1058.5032410165686</v>
      </c>
      <c r="H16" s="129">
        <f>1/3*Summary!$D$25*Summary!$D$14*Summary!$D$9/1000*(1+Summary!$D$48)^(H5-2000)+Summary!$D$31*Summary!$D$24*(1+Summary!$D$48)^(H5-2000)/1000</f>
        <v>1090.2583382470657</v>
      </c>
      <c r="I16" s="129">
        <f>1/3*Summary!$D$25*Summary!$D$14*Summary!$D$9/1000*(1+Summary!$D$48)^(I5-2000)+Summary!$D$31*Summary!$D$24*(1+Summary!$D$48)^(I5-2000)/1000</f>
        <v>1122.9660883944775</v>
      </c>
      <c r="J16" s="129">
        <f>1/3*Summary!$D$25*Summary!$D$14*Summary!$D$9/1000*(1+Summary!$D$48)^(J5-2000)+Summary!$D$31*Summary!$D$24*(1+Summary!$D$48)^(J5-2000)/1000</f>
        <v>1156.6550710463118</v>
      </c>
      <c r="K16" s="129">
        <f>1/3*Summary!$D$25*Summary!$D$14*Summary!$D$9/1000*(1+Summary!$D$48)^(K5-2000)+Summary!$D$31*Summary!$D$24*(1+Summary!$D$48)^(K5-2000)/1000</f>
        <v>1191.3547231777011</v>
      </c>
      <c r="L16" s="129">
        <f>1/3*Summary!$D$25*Summary!$D$14*Summary!$D$9/1000*(1+Summary!$D$48)^(L5-2000)+Summary!$D$31*Summary!$D$24*(1+Summary!$D$48)^(L5-2000)/1000</f>
        <v>1227.0953648730322</v>
      </c>
      <c r="M16" s="129">
        <f>1/3*Summary!$D$25*Summary!$D$14*Summary!$D$9/1000*(1+Summary!$D$48)^(M5-2000)+Summary!$D$31*Summary!$D$24*(1+Summary!$D$48)^(M5-2000)/1000</f>
        <v>1263.9082258192229</v>
      </c>
      <c r="N16" s="129">
        <f>1/3*Summary!$D$25*Summary!$D$14*Summary!$D$9/1000*(1+Summary!$D$48)^(N5-2000)+Summary!$D$31*Summary!$D$24*(1+Summary!$D$48)^(N5-2000)/1000</f>
        <v>1301.8254725937995</v>
      </c>
      <c r="O16" s="129">
        <f>1/3*Summary!$D$25*Summary!$D$14*Summary!$D$9/1000*(1+Summary!$D$48)^(O5-2000)+Summary!$D$31*Summary!$D$24*(1+Summary!$D$48)^(O5-2000)/1000</f>
        <v>1340.8802367716139</v>
      </c>
      <c r="P16" s="129">
        <f>1/3*Summary!$D$25*Summary!$D$14*Summary!$D$9/1000*(1+Summary!$D$48)^(P5-2000)+Summary!$D$31*Summary!$D$24*(1+Summary!$D$48)^(P5-2000)/1000</f>
        <v>1381.1066438747623</v>
      </c>
      <c r="Q16" s="129">
        <f>1/3*Summary!$D$25*Summary!$D$14*Summary!$D$9/1000*(1+Summary!$D$48)^(Q5-2000)+Summary!$D$31*Summary!$D$24*(1+Summary!$D$48)^(Q5-2000)/1000</f>
        <v>1422.5398431910048</v>
      </c>
      <c r="R16" s="129">
        <f>1/3*Summary!$D$25*Summary!$D$14*Summary!$D$9/1000*(1+Summary!$D$48)^(R5-2000)+Summary!$D$31*Summary!$D$24*(1+Summary!$D$48)^(R5-2000)/1000</f>
        <v>1465.216038486735</v>
      </c>
      <c r="S16" s="129">
        <f>1/3*Summary!$D$25*Summary!$D$14*Summary!$D$9/1000*(1+Summary!$D$48)^(S5-2000)+Summary!$D$31*Summary!$D$24*(1+Summary!$D$48)^(S5-2000)/1000</f>
        <v>1509.1725196413372</v>
      </c>
      <c r="T16" s="129">
        <f>1/3*Summary!$D$25*Summary!$D$14*Summary!$D$9/1000*(1+Summary!$D$48)^(T5-2000)+Summary!$D$31*Summary!$D$24*(1+Summary!$D$48)^(T5-2000)/1000</f>
        <v>1554.4476952305772</v>
      </c>
      <c r="U16" s="129">
        <f>1/3*Summary!$D$25*Summary!$D$14*Summary!$D$9/1000*(1+Summary!$D$48)^(U5-2000)+Summary!$D$31*Summary!$D$24*(1+Summary!$D$48)^(U5-2000)/1000</f>
        <v>1601.0811260874943</v>
      </c>
      <c r="W16" s="93">
        <f t="shared" si="2"/>
        <v>21712.424502769394</v>
      </c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 spans="1:55" s="64" customFormat="1" ht="12" customHeight="1">
      <c r="A17" s="3" t="s">
        <v>87</v>
      </c>
      <c r="B17" s="21">
        <v>0</v>
      </c>
      <c r="C17" s="21">
        <v>0</v>
      </c>
      <c r="D17" s="21">
        <v>0</v>
      </c>
      <c r="E17" s="21">
        <f>Summary!$D$11*Summary!$D$29*Summary!$D$30*Summary!$D$15/1000</f>
        <v>15.030200000000001</v>
      </c>
      <c r="F17" s="21">
        <f>Summary!$D$11*Summary!$D$29*Summary!$D$30*Summary!$D$15/1000</f>
        <v>15.030200000000001</v>
      </c>
      <c r="G17" s="21">
        <f>Summary!$D$11*Summary!$D$29*Summary!$D$30*Summary!$D$15/1000</f>
        <v>15.030200000000001</v>
      </c>
      <c r="H17" s="21">
        <f>Summary!$D$11*Summary!$D$29*Summary!$D$30*Summary!$D$15/1000</f>
        <v>15.030200000000001</v>
      </c>
      <c r="I17" s="21">
        <f>Summary!$D$11*Summary!$D$29*Summary!$D$30*Summary!$D$15/1000</f>
        <v>15.030200000000001</v>
      </c>
      <c r="J17" s="21">
        <f>Summary!$D$11*Summary!$D$29*Summary!$D$30*Summary!$D$15/1000</f>
        <v>15.030200000000001</v>
      </c>
      <c r="K17" s="21">
        <f>Summary!$D$11*Summary!$D$29*Summary!$D$30*Summary!$D$15/1000</f>
        <v>15.030200000000001</v>
      </c>
      <c r="L17" s="21">
        <f>Summary!$D$11*Summary!$D$29*Summary!$D$30*Summary!$D$15/1000</f>
        <v>15.030200000000001</v>
      </c>
      <c r="M17" s="21">
        <f>Summary!$D$11*Summary!$D$29*Summary!$D$30*Summary!$D$15/1000</f>
        <v>15.030200000000001</v>
      </c>
      <c r="N17" s="21">
        <f>Summary!$D$11*Summary!$D$29*Summary!$D$30*Summary!$D$15/1000</f>
        <v>15.030200000000001</v>
      </c>
      <c r="O17" s="21">
        <f>Summary!$D$11*Summary!$D$29*Summary!$D$30*Summary!$D$15/1000</f>
        <v>15.030200000000001</v>
      </c>
      <c r="P17" s="21">
        <f>Summary!$D$11*Summary!$D$29*Summary!$D$30*Summary!$D$15/1000</f>
        <v>15.030200000000001</v>
      </c>
      <c r="Q17" s="21">
        <f>Summary!$D$11*Summary!$D$29*Summary!$D$30*Summary!$D$15/1000</f>
        <v>15.030200000000001</v>
      </c>
      <c r="R17" s="21">
        <f>Summary!$D$11*Summary!$D$29*Summary!$D$30*Summary!$D$15/1000</f>
        <v>15.030200000000001</v>
      </c>
      <c r="S17" s="21">
        <f>Summary!$D$11*Summary!$D$29*Summary!$D$30*Summary!$D$15/1000</f>
        <v>15.030200000000001</v>
      </c>
      <c r="T17" s="21">
        <f>Summary!$D$11*Summary!$D$29*Summary!$D$30*Summary!$D$15/1000</f>
        <v>15.030200000000001</v>
      </c>
      <c r="U17" s="21">
        <f>Summary!$D$11*Summary!$D$29*Summary!$D$30*Summary!$D$15/1000</f>
        <v>15.030200000000001</v>
      </c>
      <c r="W17" s="93">
        <f t="shared" si="2"/>
        <v>255.5134000000001</v>
      </c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 spans="1:55" s="64" customFormat="1" ht="12" customHeight="1">
      <c r="A18" s="3"/>
      <c r="W18" s="93">
        <f t="shared" si="2"/>
        <v>0</v>
      </c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</row>
    <row r="19" spans="1:55" s="64" customFormat="1" ht="12" customHeight="1">
      <c r="A19" s="3" t="s">
        <v>254</v>
      </c>
      <c r="B19" s="206">
        <f>(SUM(B10:B17)-SUM(B23:B32))*Assumptions!$B$32/4</f>
        <v>233.87328678779951</v>
      </c>
      <c r="C19" s="206">
        <f>(SUM(C10:C17)-SUM(C23:C32))*Assumptions!$B$32/4</f>
        <v>233.13624917097229</v>
      </c>
      <c r="D19" s="206">
        <f>(SUM(D10:D17)-SUM(D23:D32))*Assumptions!$B$32/4</f>
        <v>232.26492232162164</v>
      </c>
      <c r="E19" s="206">
        <f>(SUM(E10:E17)-SUM(E23:E32))*Assumptions!$B$32/4</f>
        <v>357.86815296451118</v>
      </c>
      <c r="F19" s="206">
        <f>(SUM(F10:F17)-SUM(F23:F32))*Assumptions!$B$32/4</f>
        <v>377.510338063912</v>
      </c>
      <c r="G19" s="206">
        <f>(SUM(G10:G17)-SUM(G23:G32))*Assumptions!$B$32/4</f>
        <v>382.0784961059083</v>
      </c>
      <c r="H19" s="206">
        <f>(SUM(H10:H17)-SUM(H23:H32))*Assumptions!$B$32/4</f>
        <v>385.97644043927198</v>
      </c>
      <c r="I19" s="206">
        <f>(SUM(I10:I17)-SUM(I23:I32))*Assumptions!$B$32/4</f>
        <v>390.50812652018578</v>
      </c>
      <c r="J19" s="206">
        <f>(SUM(J10:J17)-SUM(J23:J32))*Assumptions!$B$32/4</f>
        <v>395.85055606684426</v>
      </c>
      <c r="K19" s="206">
        <f>(SUM(K10:K17)-SUM(K23:K32))*Assumptions!$B$32/4</f>
        <v>395.18994362763601</v>
      </c>
      <c r="L19" s="206">
        <f>(SUM(L10:L17)-SUM(L23:L32))*Assumptions!$B$32/4</f>
        <v>404.94856353891578</v>
      </c>
      <c r="M19" s="206">
        <f>(SUM(M10:M17)-SUM(M23:M32))*Assumptions!$B$32/4</f>
        <v>415.04024176109965</v>
      </c>
      <c r="N19" s="206">
        <f>(SUM(N10:N17)-SUM(N23:N32))*Assumptions!$B$32/4</f>
        <v>424.30859464921224</v>
      </c>
      <c r="O19" s="206">
        <f>(SUM(O10:O17)-SUM(O23:O32))*Assumptions!$B$32/4</f>
        <v>432.06367587562681</v>
      </c>
      <c r="P19" s="206">
        <f>(SUM(P10:P17)-SUM(P23:P32))*Assumptions!$B$32/4</f>
        <v>439.90105479650742</v>
      </c>
      <c r="Q19" s="206">
        <f>(SUM(Q10:Q17)-SUM(Q23:Q32))*Assumptions!$B$32/4</f>
        <v>445.81163007844128</v>
      </c>
      <c r="R19" s="206">
        <f>(SUM(R10:R17)-SUM(R23:R32))*Assumptions!$B$32/4</f>
        <v>451.69117688743484</v>
      </c>
      <c r="S19" s="206">
        <f>(SUM(S10:S17)-SUM(S23:S32))*Assumptions!$B$32/4</f>
        <v>457.59674333023941</v>
      </c>
      <c r="T19" s="206">
        <f>(SUM(T10:T17)-SUM(T23:T32))*Assumptions!$B$32/4</f>
        <v>463.45656465616662</v>
      </c>
      <c r="U19" s="206">
        <f>(SUM(U10:U17)-SUM(U23:U32))*Assumptions!$B$32/4</f>
        <v>469.26420651555912</v>
      </c>
      <c r="W19" s="93">
        <f t="shared" si="2"/>
        <v>7788.338964157866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 spans="1:55" s="64" customFormat="1" ht="12" customHeight="1">
      <c r="A20" s="3" t="s">
        <v>88</v>
      </c>
      <c r="B20" s="58">
        <f>SUM(B10:B19)</f>
        <v>23839.428586787799</v>
      </c>
      <c r="C20" s="58">
        <f t="shared" ref="C20:U20" si="3">SUM(C10:C19)</f>
        <v>23875.818208170971</v>
      </c>
      <c r="D20" s="58">
        <f t="shared" si="3"/>
        <v>23913.187340091619</v>
      </c>
      <c r="E20" s="58">
        <f t="shared" si="3"/>
        <v>34524.867186706455</v>
      </c>
      <c r="F20" s="58">
        <f t="shared" si="3"/>
        <v>36243.058993052793</v>
      </c>
      <c r="G20" s="58">
        <f t="shared" si="3"/>
        <v>36744.634143976364</v>
      </c>
      <c r="H20" s="58">
        <f t="shared" si="3"/>
        <v>37183.507652395579</v>
      </c>
      <c r="I20" s="58">
        <f t="shared" si="3"/>
        <v>37677.774636716305</v>
      </c>
      <c r="J20" s="58">
        <f t="shared" si="3"/>
        <v>38232.347423894666</v>
      </c>
      <c r="K20" s="58">
        <f t="shared" si="3"/>
        <v>38715.214329685376</v>
      </c>
      <c r="L20" s="58">
        <f t="shared" si="3"/>
        <v>39471.732789422946</v>
      </c>
      <c r="M20" s="58">
        <f t="shared" si="3"/>
        <v>40238.915403093546</v>
      </c>
      <c r="N20" s="58">
        <f t="shared" si="3"/>
        <v>41015.553568933705</v>
      </c>
      <c r="O20" s="58">
        <f t="shared" si="3"/>
        <v>41800.892691424058</v>
      </c>
      <c r="P20" s="58">
        <f t="shared" si="3"/>
        <v>42596.450560787875</v>
      </c>
      <c r="Q20" s="58">
        <f t="shared" si="3"/>
        <v>43244.633010923913</v>
      </c>
      <c r="R20" s="58">
        <f t="shared" si="3"/>
        <v>43893.393377702887</v>
      </c>
      <c r="S20" s="58">
        <f t="shared" si="3"/>
        <v>44542.247201251084</v>
      </c>
      <c r="T20" s="58">
        <f t="shared" si="3"/>
        <v>45190.548170307993</v>
      </c>
      <c r="U20" s="58">
        <f t="shared" si="3"/>
        <v>45837.680770530118</v>
      </c>
      <c r="W20" s="93">
        <f t="shared" si="2"/>
        <v>758781.88604585617</v>
      </c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</row>
    <row r="21" spans="1:55" s="64" customFormat="1" ht="12" customHeight="1">
      <c r="A21" s="4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W21" s="93"/>
    </row>
    <row r="22" spans="1:55">
      <c r="A22" s="1" t="s">
        <v>89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W22" s="93"/>
    </row>
    <row r="23" spans="1:55">
      <c r="A23" s="3" t="s">
        <v>63</v>
      </c>
      <c r="B23" s="129">
        <f>Summary!D51*(1+Summary!$D$48)</f>
        <v>1772.9410188000002</v>
      </c>
      <c r="C23" s="129">
        <f>B23*(1+Summary!$D$48)</f>
        <v>1826.1292493640003</v>
      </c>
      <c r="D23" s="129">
        <f>C23*(1+Summary!$D$48)</f>
        <v>1880.9131268449203</v>
      </c>
      <c r="E23" s="129">
        <f>D23*(1+Summary!$D$48)</f>
        <v>1937.340520650268</v>
      </c>
      <c r="F23" s="129">
        <f>E23*(1+Summary!$D$48)</f>
        <v>1995.4607362697761</v>
      </c>
      <c r="G23" s="129">
        <f>F23*(1+Summary!$D$48)</f>
        <v>2055.3245583578696</v>
      </c>
      <c r="H23" s="129">
        <f>G23*(1+Summary!$D$48)</f>
        <v>2116.9842951086057</v>
      </c>
      <c r="I23" s="129">
        <f>H23*(1+Summary!$D$48)</f>
        <v>2180.4938239618641</v>
      </c>
      <c r="J23" s="129">
        <f>I23*(1+Summary!$D$48)</f>
        <v>2245.9086386807203</v>
      </c>
      <c r="K23" s="129">
        <f>J23*(1+Summary!$D$48)</f>
        <v>2313.2858978411418</v>
      </c>
      <c r="L23" s="129">
        <f>K23*(1+Summary!$D$48)</f>
        <v>2382.6844747763762</v>
      </c>
      <c r="M23" s="129">
        <f>L23*(1+Summary!$D$48)</f>
        <v>2454.1650090196677</v>
      </c>
      <c r="N23" s="129">
        <f>M23*(1+Summary!$D$48)</f>
        <v>2527.7899592902577</v>
      </c>
      <c r="O23" s="129">
        <f>N23*(1+Summary!$D$48)</f>
        <v>2603.6236580689656</v>
      </c>
      <c r="P23" s="129">
        <f>O23*(1+Summary!$D$48)</f>
        <v>2681.7323678110347</v>
      </c>
      <c r="Q23" s="129">
        <f>P23*(1+Summary!$D$48)</f>
        <v>2762.1843388453658</v>
      </c>
      <c r="R23" s="129">
        <f>Q23*(1+Summary!$D$48)</f>
        <v>2845.049869010727</v>
      </c>
      <c r="S23" s="129">
        <f>R23*(1+Summary!$D$48)</f>
        <v>2930.4013650810489</v>
      </c>
      <c r="T23" s="129">
        <f>S23*(1+Summary!$D$48)</f>
        <v>3018.3134060334805</v>
      </c>
      <c r="U23" s="129">
        <f>T23*(1+Summary!$D$48)</f>
        <v>3108.8628082144851</v>
      </c>
      <c r="W23" s="93">
        <f t="shared" ref="W23:W33" si="4">SUM(B23:U23)</f>
        <v>47639.589122030571</v>
      </c>
    </row>
    <row r="24" spans="1:55">
      <c r="A24" s="3" t="s">
        <v>64</v>
      </c>
      <c r="B24" s="129">
        <f>Summary!D52*(1+Summary!$D$48)</f>
        <v>774.05529999999999</v>
      </c>
      <c r="C24" s="129">
        <f>B24*(1+Summary!$D$48)</f>
        <v>797.27695900000003</v>
      </c>
      <c r="D24" s="129">
        <f>C24*(1+Summary!$D$48)</f>
        <v>821.1952677700001</v>
      </c>
      <c r="E24" s="129">
        <f>Summary!$D$31*Summary!$D$45*(1+Summary!$D$48)^(E5-2000)/1000</f>
        <v>828.91450328703786</v>
      </c>
      <c r="F24" s="129">
        <f>E24*(1+Summary!$D$48)</f>
        <v>853.78193838564903</v>
      </c>
      <c r="G24" s="129">
        <f>F24*(1+Summary!$D$48)</f>
        <v>879.39539653721852</v>
      </c>
      <c r="H24" s="129">
        <f>G24*(1+Summary!$D$48)</f>
        <v>905.77725843333508</v>
      </c>
      <c r="I24" s="129">
        <f>H24*(1+Summary!$D$48)</f>
        <v>932.95057618633518</v>
      </c>
      <c r="J24" s="129">
        <f>I24*(1+Summary!$D$48)</f>
        <v>960.93909347192528</v>
      </c>
      <c r="K24" s="129">
        <f>J24*(1+Summary!$D$48)</f>
        <v>989.76726627608309</v>
      </c>
      <c r="L24" s="129">
        <f>K24*(1+Summary!$D$48)</f>
        <v>1019.4602842643656</v>
      </c>
      <c r="M24" s="129">
        <f>L24*(1+Summary!$D$48)</f>
        <v>1050.0440927922966</v>
      </c>
      <c r="N24" s="129">
        <f>M24*(1+Summary!$D$48)</f>
        <v>1081.5454155760656</v>
      </c>
      <c r="O24" s="129">
        <f>N24*(1+Summary!$D$48)</f>
        <v>1113.9917780433475</v>
      </c>
      <c r="P24" s="129">
        <f>O24*(1+Summary!$D$48)</f>
        <v>1147.411531384648</v>
      </c>
      <c r="Q24" s="129">
        <f>P24*(1+Summary!$D$48)</f>
        <v>1181.8338773261876</v>
      </c>
      <c r="R24" s="129">
        <f>Q24*(1+Summary!$D$48)</f>
        <v>1217.2888936459733</v>
      </c>
      <c r="S24" s="129">
        <f>R24*(1+Summary!$D$48)</f>
        <v>1253.8075604553526</v>
      </c>
      <c r="T24" s="129">
        <f>S24*(1+Summary!$D$48)</f>
        <v>1291.4217872690133</v>
      </c>
      <c r="U24" s="129">
        <f>T24*(1+Summary!$D$48)</f>
        <v>1330.1644408870836</v>
      </c>
      <c r="W24" s="93">
        <f t="shared" si="4"/>
        <v>20431.02322099192</v>
      </c>
    </row>
    <row r="25" spans="1:55">
      <c r="A25" s="3" t="s">
        <v>65</v>
      </c>
      <c r="B25" s="129">
        <f>Summary!$D$53*Summary!$D$14*Summary!$D$9/1000*(1+Summary!$D$48)</f>
        <v>463.5</v>
      </c>
      <c r="C25" s="93">
        <f>B25*(1+Summary!$D$48)</f>
        <v>477.40500000000003</v>
      </c>
      <c r="D25" s="93">
        <f>C25*(1+Summary!$D$48)</f>
        <v>491.72715000000005</v>
      </c>
      <c r="E25" s="93">
        <f>D25*(1+Summary!$D$48)</f>
        <v>506.47896450000007</v>
      </c>
      <c r="F25" s="93">
        <f>E25*(1+Summary!$D$48)</f>
        <v>521.67333343500013</v>
      </c>
      <c r="G25" s="93">
        <f>F25*(1+Summary!$D$48)</f>
        <v>537.32353343805016</v>
      </c>
      <c r="H25" s="93">
        <f>G25*(1+Summary!$D$48)</f>
        <v>553.44323944119174</v>
      </c>
      <c r="I25" s="93">
        <f>H25*(1+Summary!$D$48)</f>
        <v>570.04653662442752</v>
      </c>
      <c r="J25" s="93">
        <f>I25*(1+Summary!$D$48)</f>
        <v>587.14793272316035</v>
      </c>
      <c r="K25" s="93">
        <f>J25*(1+Summary!$D$48)</f>
        <v>604.76237070485513</v>
      </c>
      <c r="L25" s="93">
        <f>K25*(1+Summary!$D$48)</f>
        <v>622.90524182600075</v>
      </c>
      <c r="M25" s="93">
        <f>L25*(1+Summary!$D$48)</f>
        <v>641.59239908078075</v>
      </c>
      <c r="N25" s="93">
        <f>M25*(1+Summary!$D$48)</f>
        <v>660.84017105320424</v>
      </c>
      <c r="O25" s="93">
        <f>N25*(1+Summary!$D$48)</f>
        <v>680.66537618480038</v>
      </c>
      <c r="P25" s="93">
        <f>O25*(1+Summary!$D$48)</f>
        <v>701.08533747034437</v>
      </c>
      <c r="Q25" s="93">
        <f>P25*(1+Summary!$D$48)</f>
        <v>722.11789759445469</v>
      </c>
      <c r="R25" s="93">
        <f>Q25*(1+Summary!$D$48)</f>
        <v>743.78143452228835</v>
      </c>
      <c r="S25" s="93">
        <f>R25*(1+Summary!$D$48)</f>
        <v>766.09487755795703</v>
      </c>
      <c r="T25" s="93">
        <f>S25*(1+Summary!$D$48)</f>
        <v>789.07772388469573</v>
      </c>
      <c r="U25" s="93">
        <f>T25*(1+Summary!$D$48)</f>
        <v>812.75005560123657</v>
      </c>
      <c r="W25" s="93">
        <f t="shared" si="4"/>
        <v>12454.418575642445</v>
      </c>
    </row>
    <row r="26" spans="1:55">
      <c r="A26" s="3" t="s">
        <v>158</v>
      </c>
      <c r="B26" s="129">
        <f>Summary!D54*(1+Summary!$D$48)</f>
        <v>213.22957000000002</v>
      </c>
      <c r="C26" s="129">
        <f>B26*(1+Summary!$D$48)</f>
        <v>219.62645710000004</v>
      </c>
      <c r="D26" s="129">
        <f>C26*(1+Summary!$D$48)</f>
        <v>226.21525081300004</v>
      </c>
      <c r="E26" s="129">
        <f>D26*(1+Summary!$D$48)</f>
        <v>233.00170833739006</v>
      </c>
      <c r="F26" s="129">
        <f>E26*(1+Summary!$D$48)</f>
        <v>239.99175958751175</v>
      </c>
      <c r="G26" s="129">
        <f>F26*(1+Summary!$D$48)</f>
        <v>247.19151237513711</v>
      </c>
      <c r="H26" s="129">
        <f>G26*(1+Summary!$D$48)</f>
        <v>254.60725774639124</v>
      </c>
      <c r="I26" s="129">
        <f>H26*(1+Summary!$D$48)</f>
        <v>262.24547547878296</v>
      </c>
      <c r="J26" s="129">
        <f>I26*(1+Summary!$D$48)</f>
        <v>270.11283974314648</v>
      </c>
      <c r="K26" s="129">
        <f>J26*(1+Summary!$D$48)</f>
        <v>278.21622493544089</v>
      </c>
      <c r="L26" s="129">
        <f>K26*(1+Summary!$D$48)</f>
        <v>286.56271168350412</v>
      </c>
      <c r="M26" s="129">
        <f>L26*(1+Summary!$D$48)</f>
        <v>295.15959303400928</v>
      </c>
      <c r="N26" s="129">
        <f>M26*(1+Summary!$D$48)</f>
        <v>304.01438082502955</v>
      </c>
      <c r="O26" s="129">
        <f>N26*(1+Summary!$D$48)</f>
        <v>313.13481224978045</v>
      </c>
      <c r="P26" s="129">
        <f>O26*(1+Summary!$D$48)</f>
        <v>322.5288566172739</v>
      </c>
      <c r="Q26" s="129">
        <f>P26*(1+Summary!$D$48)</f>
        <v>332.20472231579214</v>
      </c>
      <c r="R26" s="129">
        <f>Q26*(1+Summary!$D$48)</f>
        <v>342.1708639852659</v>
      </c>
      <c r="S26" s="129">
        <f>R26*(1+Summary!$D$48)</f>
        <v>352.43598990482388</v>
      </c>
      <c r="T26" s="129">
        <f>S26*(1+Summary!$D$48)</f>
        <v>363.00906960196863</v>
      </c>
      <c r="U26" s="129">
        <f>T26*(1+Summary!$D$48)</f>
        <v>373.89934169002771</v>
      </c>
      <c r="W26" s="93">
        <f t="shared" si="4"/>
        <v>5729.5583980242764</v>
      </c>
    </row>
    <row r="27" spans="1:55">
      <c r="A27" s="3" t="s">
        <v>159</v>
      </c>
      <c r="B27" s="129">
        <f>Summary!D55*(1+Summary!$D$48)</f>
        <v>423.2585866666667</v>
      </c>
      <c r="C27" s="129">
        <f>B27*(1+Summary!$D$48)</f>
        <v>435.95634426666669</v>
      </c>
      <c r="D27" s="129">
        <f>C27*(1+Summary!$D$48)</f>
        <v>449.03503459466668</v>
      </c>
      <c r="E27" s="129">
        <f>D27*(1+Summary!$D$48)</f>
        <v>462.50608563250671</v>
      </c>
      <c r="F27" s="129">
        <f>E27*(1+Summary!$D$48)</f>
        <v>476.38126820148193</v>
      </c>
      <c r="G27" s="129">
        <f>F27*(1+Summary!$D$48)</f>
        <v>490.67270624752638</v>
      </c>
      <c r="H27" s="129">
        <f>G27*(1+Summary!$D$48)</f>
        <v>505.39288743495217</v>
      </c>
      <c r="I27" s="129">
        <f>H27*(1+Summary!$D$48)</f>
        <v>520.55467405800073</v>
      </c>
      <c r="J27" s="129">
        <f>I27*(1+Summary!$D$48)</f>
        <v>536.17131427974073</v>
      </c>
      <c r="K27" s="129">
        <f>J27*(1+Summary!$D$48)</f>
        <v>552.25645370813299</v>
      </c>
      <c r="L27" s="129">
        <f>K27*(1+Summary!$D$48)</f>
        <v>568.82414731937695</v>
      </c>
      <c r="M27" s="129">
        <f>L27*(1+Summary!$D$48)</f>
        <v>585.8888717389583</v>
      </c>
      <c r="N27" s="129">
        <f>M27*(1+Summary!$D$48)</f>
        <v>603.46553789112704</v>
      </c>
      <c r="O27" s="129">
        <f>N27*(1+Summary!$D$48)</f>
        <v>621.56950402786083</v>
      </c>
      <c r="P27" s="129">
        <f>O27*(1+Summary!$D$48)</f>
        <v>640.2165891486967</v>
      </c>
      <c r="Q27" s="129">
        <f>P27*(1+Summary!$D$48)</f>
        <v>659.42308682315763</v>
      </c>
      <c r="R27" s="129">
        <f>Q27*(1+Summary!$D$48)</f>
        <v>679.20577942785235</v>
      </c>
      <c r="S27" s="129">
        <f>R27*(1+Summary!$D$48)</f>
        <v>699.58195281068788</v>
      </c>
      <c r="T27" s="129">
        <f>S27*(1+Summary!$D$48)</f>
        <v>720.5694113950085</v>
      </c>
      <c r="U27" s="129">
        <f>T27*(1+Summary!$D$48)</f>
        <v>742.18649373685878</v>
      </c>
      <c r="W27" s="93">
        <f t="shared" si="4"/>
        <v>11373.116729409925</v>
      </c>
    </row>
    <row r="28" spans="1:55">
      <c r="A28" s="3" t="s">
        <v>289</v>
      </c>
      <c r="B28" s="527">
        <v>579.4</v>
      </c>
      <c r="C28" s="527">
        <v>573.6</v>
      </c>
      <c r="D28" s="527">
        <v>567.9</v>
      </c>
      <c r="E28" s="527">
        <v>562.20000000000005</v>
      </c>
      <c r="F28" s="527">
        <v>556.6</v>
      </c>
      <c r="G28" s="527">
        <v>551</v>
      </c>
      <c r="H28" s="527">
        <v>534.5</v>
      </c>
      <c r="I28" s="527">
        <v>518.5</v>
      </c>
      <c r="J28" s="527">
        <v>492.6</v>
      </c>
      <c r="K28" s="527">
        <v>877.7</v>
      </c>
      <c r="L28" s="527">
        <v>694.8</v>
      </c>
      <c r="M28" s="527">
        <v>493.7</v>
      </c>
      <c r="N28" s="527">
        <v>365.7</v>
      </c>
      <c r="O28" s="527">
        <v>365.7</v>
      </c>
      <c r="P28" s="527">
        <v>365.7</v>
      </c>
      <c r="Q28" s="527">
        <v>365.7</v>
      </c>
      <c r="R28" s="527">
        <v>365.7</v>
      </c>
      <c r="S28" s="527">
        <v>365.7</v>
      </c>
      <c r="T28" s="527">
        <v>365.7</v>
      </c>
      <c r="U28" s="527">
        <f>T28</f>
        <v>365.7</v>
      </c>
      <c r="W28" s="93">
        <f t="shared" si="4"/>
        <v>9928.100000000004</v>
      </c>
    </row>
    <row r="29" spans="1:55">
      <c r="A29" s="3" t="s">
        <v>66</v>
      </c>
      <c r="B29" s="129">
        <f>Summary!D57*(1+Summary!$D$48)</f>
        <v>0</v>
      </c>
      <c r="C29" s="129">
        <f>B29*(1+Summary!$D$48)</f>
        <v>0</v>
      </c>
      <c r="D29" s="129">
        <f>C29*(1+Summary!$D$48)</f>
        <v>0</v>
      </c>
      <c r="E29" s="129">
        <f>D29*(1+Summary!$D$48)</f>
        <v>0</v>
      </c>
      <c r="F29" s="129">
        <f>E29*(1+Summary!$D$48)</f>
        <v>0</v>
      </c>
      <c r="G29" s="129">
        <f>F29*(1+Summary!$D$48)</f>
        <v>0</v>
      </c>
      <c r="H29" s="129">
        <f>G29*(1+Summary!$D$48)</f>
        <v>0</v>
      </c>
      <c r="I29" s="129">
        <f>H29*(1+Summary!$D$48)</f>
        <v>0</v>
      </c>
      <c r="J29" s="129">
        <f>I29*(1+Summary!$D$48)</f>
        <v>0</v>
      </c>
      <c r="K29" s="129">
        <f>J29*(1+Summary!$D$48)</f>
        <v>0</v>
      </c>
      <c r="L29" s="129">
        <f>K29*(1+Summary!$D$48)</f>
        <v>0</v>
      </c>
      <c r="M29" s="129">
        <f>L29*(1+Summary!$D$48)</f>
        <v>0</v>
      </c>
      <c r="N29" s="129">
        <f>M29*(1+Summary!$D$48)</f>
        <v>0</v>
      </c>
      <c r="O29" s="129">
        <f>N29*(1+Summary!$D$48)</f>
        <v>0</v>
      </c>
      <c r="P29" s="129">
        <f>O29*(1+Summary!$D$48)</f>
        <v>0</v>
      </c>
      <c r="Q29" s="129">
        <f>P29*(1+Summary!$D$48)</f>
        <v>0</v>
      </c>
      <c r="R29" s="129">
        <f>Q29*(1+Summary!$D$48)</f>
        <v>0</v>
      </c>
      <c r="S29" s="129">
        <f>R29*(1+Summary!$D$48)</f>
        <v>0</v>
      </c>
      <c r="T29" s="129">
        <f>S29*(1+Summary!$D$48)</f>
        <v>0</v>
      </c>
      <c r="U29" s="129">
        <f>T29*(1+Summary!$D$48)</f>
        <v>0</v>
      </c>
      <c r="W29" s="93">
        <f t="shared" si="4"/>
        <v>0</v>
      </c>
    </row>
    <row r="30" spans="1:55" s="18" customFormat="1">
      <c r="A30" s="3" t="s">
        <v>214</v>
      </c>
      <c r="B30" s="129">
        <v>0</v>
      </c>
      <c r="C30" s="93">
        <v>0</v>
      </c>
      <c r="D30" s="93">
        <v>0</v>
      </c>
      <c r="E30" s="93">
        <f>Summary!D46*Summary!D11*12</f>
        <v>374.64000000000004</v>
      </c>
      <c r="F30" s="93">
        <f>E30*(1+Summary!$D$48)</f>
        <v>385.87920000000008</v>
      </c>
      <c r="G30" s="93">
        <f>F30*(1+Summary!$D$48)</f>
        <v>397.45557600000012</v>
      </c>
      <c r="H30" s="93">
        <f>G30*(1+Summary!$D$48)</f>
        <v>409.37924328000014</v>
      </c>
      <c r="I30" s="93">
        <f>H30*(1+Summary!$D$48)</f>
        <v>421.66062057840014</v>
      </c>
      <c r="J30" s="93">
        <f>I30*(1+Summary!$D$48)</f>
        <v>434.31043919575217</v>
      </c>
      <c r="K30" s="93">
        <f>J30*(1+Summary!$D$48)</f>
        <v>447.33975237162474</v>
      </c>
      <c r="L30" s="93">
        <f>K30*(1+Summary!$D$48)</f>
        <v>460.75994494277347</v>
      </c>
      <c r="M30" s="93">
        <f>L30*(1+Summary!$D$48)</f>
        <v>474.58274329105672</v>
      </c>
      <c r="N30" s="93">
        <f>M30*(1+Summary!$D$48)</f>
        <v>488.82022558978844</v>
      </c>
      <c r="O30" s="93">
        <f>N30*(1+Summary!$D$48)</f>
        <v>503.48483235748211</v>
      </c>
      <c r="P30" s="93">
        <f>O30*(1+Summary!$D$48)</f>
        <v>518.58937732820664</v>
      </c>
      <c r="Q30" s="93">
        <f>P30*(1+Summary!$D$48)</f>
        <v>534.14705864805285</v>
      </c>
      <c r="R30" s="93">
        <f>Q30*(1+Summary!$D$48)</f>
        <v>550.17147040749444</v>
      </c>
      <c r="S30" s="93">
        <f>R30*(1+Summary!$D$48)</f>
        <v>566.67661451971924</v>
      </c>
      <c r="T30" s="93">
        <f>S30*(1+Summary!$D$48)</f>
        <v>583.67691295531085</v>
      </c>
      <c r="U30" s="93">
        <f>T30*(1+Summary!$D$48)</f>
        <v>601.18722034397024</v>
      </c>
      <c r="V30" s="93"/>
      <c r="W30" s="93">
        <f t="shared" si="4"/>
        <v>8152.7612318096326</v>
      </c>
    </row>
    <row r="31" spans="1:55" s="18" customFormat="1">
      <c r="A31" s="3" t="s">
        <v>37</v>
      </c>
      <c r="B31" s="148">
        <f>IS!B31*Allocation!$F$8</f>
        <v>277.69200977011519</v>
      </c>
      <c r="C31" s="148">
        <f>IS!C31*Allocation!$F$8</f>
        <v>276.95687672037593</v>
      </c>
      <c r="D31" s="148">
        <f>IS!D31*Allocation!$F$8</f>
        <v>275.5853354899034</v>
      </c>
      <c r="E31" s="148">
        <f>IS!E31*Allocation!$F$8</f>
        <v>254.18477385518571</v>
      </c>
      <c r="F31" s="148">
        <f>IS!F31*Allocation!$F$8</f>
        <v>254.18477385518571</v>
      </c>
      <c r="G31" s="148">
        <f>IS!G31*Allocation!$F$8</f>
        <v>254.18477385518571</v>
      </c>
      <c r="H31" s="148">
        <f>IS!H31*Allocation!$F$8</f>
        <v>254.18477385518571</v>
      </c>
      <c r="I31" s="148">
        <f>IS!I31*Allocation!$F$8</f>
        <v>254.18477385518571</v>
      </c>
      <c r="J31" s="148">
        <f>IS!J31*Allocation!$F$8</f>
        <v>254.18477385518571</v>
      </c>
      <c r="K31" s="148">
        <f>IS!K31*Allocation!$F$8</f>
        <v>254.18477385518571</v>
      </c>
      <c r="L31" s="148">
        <f>IS!L31*Allocation!$F$8</f>
        <v>254.18477385518571</v>
      </c>
      <c r="M31" s="148">
        <f>IS!M31*Allocation!$F$8</f>
        <v>254.18477385518571</v>
      </c>
      <c r="N31" s="148">
        <f>IS!N31*Allocation!$F$8</f>
        <v>254.18477385518571</v>
      </c>
      <c r="O31" s="148">
        <f>IS!O31*Allocation!$F$8</f>
        <v>254.18477385518571</v>
      </c>
      <c r="P31" s="148">
        <f>IS!P31*Allocation!$F$8</f>
        <v>254.18477385518571</v>
      </c>
      <c r="Q31" s="148">
        <f>IS!Q31*Allocation!$F$8</f>
        <v>254.18477385518571</v>
      </c>
      <c r="R31" s="148">
        <f>IS!R31*Allocation!$F$8</f>
        <v>254.18477385518571</v>
      </c>
      <c r="S31" s="148">
        <f>IS!S31*Allocation!$F$8</f>
        <v>254.18477385518571</v>
      </c>
      <c r="T31" s="148">
        <f>IS!T31*Allocation!$F$8</f>
        <v>254.18477385518571</v>
      </c>
      <c r="U31" s="148">
        <f>IS!U31*Allocation!$F$8</f>
        <v>254.18477385518571</v>
      </c>
      <c r="V31" s="93"/>
      <c r="W31" s="93">
        <f t="shared" si="4"/>
        <v>5151.3753775185514</v>
      </c>
    </row>
    <row r="32" spans="1:55" s="18" customFormat="1">
      <c r="A32" s="3" t="s">
        <v>283</v>
      </c>
      <c r="B32" s="149">
        <f>B90</f>
        <v>391.61587173925977</v>
      </c>
      <c r="C32" s="149">
        <f t="shared" ref="C32:U32" si="5">C90</f>
        <v>384.83113887117429</v>
      </c>
      <c r="D32" s="149">
        <f t="shared" si="5"/>
        <v>387.15746652777671</v>
      </c>
      <c r="E32" s="149">
        <f t="shared" si="5"/>
        <v>378.28024031866147</v>
      </c>
      <c r="F32" s="149">
        <f t="shared" si="5"/>
        <v>380.76860014132012</v>
      </c>
      <c r="G32" s="149">
        <f t="shared" si="5"/>
        <v>383.72790258680368</v>
      </c>
      <c r="H32" s="149">
        <f t="shared" si="5"/>
        <v>385.14702151488865</v>
      </c>
      <c r="I32" s="149">
        <f t="shared" si="5"/>
        <v>385.97990783826151</v>
      </c>
      <c r="J32" s="149">
        <f t="shared" si="5"/>
        <v>387.07735053065329</v>
      </c>
      <c r="K32" s="149">
        <f t="shared" si="5"/>
        <v>387.3161561543929</v>
      </c>
      <c r="L32" s="149">
        <f t="shared" si="5"/>
        <v>380.71756410319023</v>
      </c>
      <c r="M32" s="149">
        <f t="shared" si="5"/>
        <v>371.33833763253045</v>
      </c>
      <c r="N32" s="149">
        <f t="shared" si="5"/>
        <v>360.19693826685341</v>
      </c>
      <c r="O32" s="149">
        <f t="shared" si="5"/>
        <v>347.38021071086229</v>
      </c>
      <c r="P32" s="149">
        <f t="shared" si="5"/>
        <v>333.01628865538396</v>
      </c>
      <c r="Q32" s="149">
        <f t="shared" si="5"/>
        <v>322.09521916197554</v>
      </c>
      <c r="R32" s="149">
        <f t="shared" si="5"/>
        <v>308.85496496588303</v>
      </c>
      <c r="S32" s="149">
        <f t="shared" si="5"/>
        <v>288.02785731691927</v>
      </c>
      <c r="T32" s="149">
        <f t="shared" si="5"/>
        <v>264.61334816383527</v>
      </c>
      <c r="U32" s="149">
        <f t="shared" si="5"/>
        <v>238.3449084409863</v>
      </c>
      <c r="V32" s="93"/>
      <c r="W32" s="93">
        <f t="shared" si="4"/>
        <v>7066.4872936416104</v>
      </c>
    </row>
    <row r="33" spans="1:23">
      <c r="A33" s="3" t="s">
        <v>90</v>
      </c>
      <c r="B33" s="129">
        <f>SUM(B23:B32)</f>
        <v>4895.692356976042</v>
      </c>
      <c r="C33" s="129">
        <f t="shared" ref="C33:U33" si="6">SUM(C23:C32)</f>
        <v>4991.7820253222171</v>
      </c>
      <c r="D33" s="129">
        <f t="shared" si="6"/>
        <v>5099.7286320402673</v>
      </c>
      <c r="E33" s="129">
        <f t="shared" si="6"/>
        <v>5537.5467965810503</v>
      </c>
      <c r="F33" s="129">
        <f t="shared" si="6"/>
        <v>5664.7216098759254</v>
      </c>
      <c r="G33" s="129">
        <f t="shared" si="6"/>
        <v>5796.2759593977917</v>
      </c>
      <c r="H33" s="129">
        <f t="shared" si="6"/>
        <v>5919.41597681455</v>
      </c>
      <c r="I33" s="129">
        <f t="shared" si="6"/>
        <v>6046.6163885812584</v>
      </c>
      <c r="J33" s="129">
        <f t="shared" si="6"/>
        <v>6168.4523824802855</v>
      </c>
      <c r="K33" s="129">
        <f t="shared" si="6"/>
        <v>6704.8288958468574</v>
      </c>
      <c r="L33" s="129">
        <f t="shared" si="6"/>
        <v>6670.8991427707724</v>
      </c>
      <c r="M33" s="129">
        <f t="shared" si="6"/>
        <v>6620.6558204444846</v>
      </c>
      <c r="N33" s="129">
        <f t="shared" si="6"/>
        <v>6646.557402347511</v>
      </c>
      <c r="O33" s="129">
        <f t="shared" si="6"/>
        <v>6803.734945498285</v>
      </c>
      <c r="P33" s="129">
        <f t="shared" si="6"/>
        <v>6964.4651222707744</v>
      </c>
      <c r="Q33" s="129">
        <f t="shared" si="6"/>
        <v>7133.8909745701721</v>
      </c>
      <c r="R33" s="129">
        <f t="shared" si="6"/>
        <v>7306.4080498206713</v>
      </c>
      <c r="S33" s="129">
        <f t="shared" si="6"/>
        <v>7476.9109915016943</v>
      </c>
      <c r="T33" s="129">
        <f t="shared" si="6"/>
        <v>7650.5664331584994</v>
      </c>
      <c r="U33" s="129">
        <f t="shared" si="6"/>
        <v>7827.2800427698339</v>
      </c>
      <c r="W33" s="93">
        <f t="shared" si="4"/>
        <v>127926.42994906894</v>
      </c>
    </row>
    <row r="34" spans="1:23" s="64" customFormat="1" outlineLevel="1">
      <c r="A34" s="5"/>
      <c r="B34" s="132"/>
      <c r="C34" s="133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W34" s="93"/>
    </row>
    <row r="35" spans="1:23" s="64" customFormat="1" ht="6.75" customHeight="1">
      <c r="A35" s="5"/>
      <c r="B35" s="132"/>
      <c r="C35" s="133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W35" s="93"/>
    </row>
    <row r="36" spans="1:23" s="59" customFormat="1">
      <c r="A36" s="1" t="s">
        <v>91</v>
      </c>
      <c r="B36" s="134">
        <f t="shared" ref="B36:U36" si="7">B20-B33</f>
        <v>18943.736229811759</v>
      </c>
      <c r="C36" s="134">
        <f t="shared" si="7"/>
        <v>18884.036182848755</v>
      </c>
      <c r="D36" s="134">
        <f t="shared" si="7"/>
        <v>18813.458708051352</v>
      </c>
      <c r="E36" s="134">
        <f t="shared" si="7"/>
        <v>28987.320390125406</v>
      </c>
      <c r="F36" s="134">
        <f t="shared" si="7"/>
        <v>30578.337383176869</v>
      </c>
      <c r="G36" s="134">
        <f t="shared" si="7"/>
        <v>30948.358184578574</v>
      </c>
      <c r="H36" s="134">
        <f t="shared" si="7"/>
        <v>31264.091675581029</v>
      </c>
      <c r="I36" s="134">
        <f t="shared" si="7"/>
        <v>31631.158248135049</v>
      </c>
      <c r="J36" s="134">
        <f t="shared" si="7"/>
        <v>32063.89504141438</v>
      </c>
      <c r="K36" s="134">
        <f t="shared" si="7"/>
        <v>32010.385433838517</v>
      </c>
      <c r="L36" s="134">
        <f t="shared" si="7"/>
        <v>32800.833646652172</v>
      </c>
      <c r="M36" s="134">
        <f t="shared" si="7"/>
        <v>33618.259582649058</v>
      </c>
      <c r="N36" s="134">
        <f t="shared" si="7"/>
        <v>34368.996166586192</v>
      </c>
      <c r="O36" s="134">
        <f t="shared" si="7"/>
        <v>34997.157745925775</v>
      </c>
      <c r="P36" s="134">
        <f t="shared" si="7"/>
        <v>35631.985438517098</v>
      </c>
      <c r="Q36" s="134">
        <f t="shared" si="7"/>
        <v>36110.742036353739</v>
      </c>
      <c r="R36" s="134">
        <f t="shared" si="7"/>
        <v>36586.985327882212</v>
      </c>
      <c r="S36" s="134">
        <f t="shared" si="7"/>
        <v>37065.336209749388</v>
      </c>
      <c r="T36" s="134">
        <f t="shared" si="7"/>
        <v>37539.981737149494</v>
      </c>
      <c r="U36" s="134">
        <f t="shared" si="7"/>
        <v>38010.400727760287</v>
      </c>
      <c r="W36" s="93">
        <f>SUM(B36:U36)</f>
        <v>630855.45609678712</v>
      </c>
    </row>
    <row r="37" spans="1:23" s="59" customFormat="1">
      <c r="A37" s="1"/>
      <c r="B37" s="134"/>
      <c r="C37" s="135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W37" s="93"/>
    </row>
    <row r="38" spans="1:23">
      <c r="A38" s="3" t="s">
        <v>92</v>
      </c>
      <c r="B38" s="129">
        <f>Depreciation!C21</f>
        <v>5537.7827362857115</v>
      </c>
      <c r="C38" s="129">
        <f>Depreciation!D21</f>
        <v>5537.7827362857115</v>
      </c>
      <c r="D38" s="129">
        <f>Depreciation!E21</f>
        <v>5537.7827362857115</v>
      </c>
      <c r="E38" s="129">
        <f>Depreciation!F21</f>
        <v>5537.7827362857115</v>
      </c>
      <c r="F38" s="129">
        <f>Depreciation!G21</f>
        <v>5537.7827362857115</v>
      </c>
      <c r="G38" s="129">
        <f>Depreciation!H21</f>
        <v>5537.7827362857115</v>
      </c>
      <c r="H38" s="129">
        <f>Depreciation!I21</f>
        <v>5537.7827362857115</v>
      </c>
      <c r="I38" s="129">
        <f>Depreciation!J21</f>
        <v>5537.7827362857115</v>
      </c>
      <c r="J38" s="129">
        <f>Depreciation!K21</f>
        <v>5537.7827362857115</v>
      </c>
      <c r="K38" s="129">
        <f>Depreciation!L21</f>
        <v>5537.7827362857115</v>
      </c>
      <c r="L38" s="129">
        <f>Depreciation!M21</f>
        <v>5537.7827362857115</v>
      </c>
      <c r="M38" s="129">
        <f>Depreciation!N21</f>
        <v>5537.7827362857115</v>
      </c>
      <c r="N38" s="129">
        <f>Depreciation!O21</f>
        <v>5537.7827362857115</v>
      </c>
      <c r="O38" s="129">
        <f>Depreciation!P21</f>
        <v>5537.7827362857115</v>
      </c>
      <c r="P38" s="129">
        <f>Depreciation!Q21</f>
        <v>5537.7827362857115</v>
      </c>
      <c r="Q38" s="129">
        <f>Depreciation!R21</f>
        <v>5537.7827362857115</v>
      </c>
      <c r="R38" s="129">
        <f>Depreciation!S21</f>
        <v>5537.7827362857115</v>
      </c>
      <c r="S38" s="129">
        <f>Depreciation!T21</f>
        <v>5537.7827362857115</v>
      </c>
      <c r="T38" s="129">
        <f>Depreciation!U21</f>
        <v>5537.7827362857115</v>
      </c>
      <c r="U38" s="129">
        <f>Depreciation!V21</f>
        <v>5537.7827362857115</v>
      </c>
      <c r="W38" s="93">
        <f>SUM(B38:U38)</f>
        <v>110755.65472571419</v>
      </c>
    </row>
    <row r="39" spans="1:23">
      <c r="A39" s="3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W39" s="93"/>
    </row>
    <row r="40" spans="1:23" s="59" customFormat="1">
      <c r="A40" s="1" t="s">
        <v>93</v>
      </c>
      <c r="B40" s="134">
        <f t="shared" ref="B40:U40" si="8">B36-B38</f>
        <v>13405.953493526047</v>
      </c>
      <c r="C40" s="134">
        <f t="shared" si="8"/>
        <v>13346.253446563043</v>
      </c>
      <c r="D40" s="134">
        <f t="shared" si="8"/>
        <v>13275.67597176564</v>
      </c>
      <c r="E40" s="134">
        <f t="shared" si="8"/>
        <v>23449.537653839696</v>
      </c>
      <c r="F40" s="134">
        <f t="shared" si="8"/>
        <v>25040.554646891156</v>
      </c>
      <c r="G40" s="134">
        <f t="shared" si="8"/>
        <v>25410.575448292861</v>
      </c>
      <c r="H40" s="134">
        <f t="shared" si="8"/>
        <v>25726.308939295319</v>
      </c>
      <c r="I40" s="134">
        <f t="shared" si="8"/>
        <v>26093.375511849335</v>
      </c>
      <c r="J40" s="134">
        <f t="shared" si="8"/>
        <v>26526.11230512867</v>
      </c>
      <c r="K40" s="134">
        <f t="shared" si="8"/>
        <v>26472.602697552808</v>
      </c>
      <c r="L40" s="134">
        <f t="shared" si="8"/>
        <v>27263.050910366459</v>
      </c>
      <c r="M40" s="134">
        <f t="shared" si="8"/>
        <v>28080.476846363345</v>
      </c>
      <c r="N40" s="134">
        <f t="shared" si="8"/>
        <v>28831.213430300479</v>
      </c>
      <c r="O40" s="134">
        <f t="shared" si="8"/>
        <v>29459.375009640062</v>
      </c>
      <c r="P40" s="134">
        <f t="shared" si="8"/>
        <v>30094.202702231385</v>
      </c>
      <c r="Q40" s="134">
        <f t="shared" si="8"/>
        <v>30572.959300068025</v>
      </c>
      <c r="R40" s="134">
        <f t="shared" si="8"/>
        <v>31049.202591596499</v>
      </c>
      <c r="S40" s="134">
        <f t="shared" si="8"/>
        <v>31527.553473463675</v>
      </c>
      <c r="T40" s="134">
        <f t="shared" si="8"/>
        <v>32002.19900086378</v>
      </c>
      <c r="U40" s="134">
        <f t="shared" si="8"/>
        <v>32472.617991474574</v>
      </c>
      <c r="W40" s="93">
        <f>SUM(B40:U40)</f>
        <v>520099.80137107294</v>
      </c>
    </row>
    <row r="41" spans="1:23" s="59" customFormat="1">
      <c r="A41" s="1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W41" s="93"/>
    </row>
    <row r="42" spans="1:23">
      <c r="A42" s="6" t="s">
        <v>94</v>
      </c>
      <c r="B42" s="129">
        <f>IS!B42*Allocation!$F$8</f>
        <v>9879.7895052198801</v>
      </c>
      <c r="C42" s="129">
        <f>IS!C42*Allocation!$F$8</f>
        <v>9547.2035895327335</v>
      </c>
      <c r="D42" s="129">
        <f>IS!D42*Allocation!$F$8</f>
        <v>9160.887012516976</v>
      </c>
      <c r="E42" s="129">
        <f>IS!E42*Allocation!$F$8</f>
        <v>8858.2285624797514</v>
      </c>
      <c r="F42" s="129">
        <f>IS!F42*Allocation!$F$8</f>
        <v>8740.4332035839961</v>
      </c>
      <c r="G42" s="129">
        <f>IS!G42*Allocation!$F$8</f>
        <v>8593.9227193740935</v>
      </c>
      <c r="H42" s="129">
        <f>IS!H42*Allocation!$F$8</f>
        <v>8418.1607384544641</v>
      </c>
      <c r="I42" s="129">
        <f>IS!I42*Allocation!$F$8</f>
        <v>8232.8434231534175</v>
      </c>
      <c r="J42" s="129">
        <f>IS!J42*Allocation!$F$8</f>
        <v>7965.4383526805514</v>
      </c>
      <c r="K42" s="129">
        <f>IS!K42*Allocation!$F$8</f>
        <v>7680.5206715796257</v>
      </c>
      <c r="L42" s="129">
        <f>IS!L42*Allocation!$F$8</f>
        <v>7350.4727057571754</v>
      </c>
      <c r="M42" s="129">
        <f>IS!M42*Allocation!$F$8</f>
        <v>6973.9496291051773</v>
      </c>
      <c r="N42" s="129">
        <f>IS!N42*Allocation!$F$8</f>
        <v>6494.2258752249327</v>
      </c>
      <c r="O42" s="129">
        <f>IS!O42*Allocation!$F$8</f>
        <v>5964.944548566571</v>
      </c>
      <c r="P42" s="129">
        <f>IS!P42*Allocation!$F$8</f>
        <v>5358.9601786944058</v>
      </c>
      <c r="Q42" s="129">
        <f>IS!Q42*Allocation!$F$8</f>
        <v>4682.249278991234</v>
      </c>
      <c r="R42" s="129">
        <f>IS!R42*Allocation!$F$8</f>
        <v>3887.5850223718844</v>
      </c>
      <c r="S42" s="129">
        <f>IS!S42*Allocation!$F$8</f>
        <v>3009.101249300747</v>
      </c>
      <c r="T42" s="129">
        <f>IS!T42*Allocation!$F$8</f>
        <v>2021.8670017437616</v>
      </c>
      <c r="U42" s="129">
        <f>IS!U42*Allocation!$F$8</f>
        <v>916.05702777874546</v>
      </c>
      <c r="W42" s="93">
        <f>SUM(B42:U42)</f>
        <v>133736.84029611011</v>
      </c>
    </row>
    <row r="43" spans="1:23" ht="6" customHeight="1">
      <c r="B43" s="69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W43" s="93"/>
    </row>
    <row r="44" spans="1:23" s="59" customFormat="1">
      <c r="A44" s="1" t="s">
        <v>95</v>
      </c>
      <c r="B44" s="134">
        <f t="shared" ref="B44:U44" si="9">B40-B42</f>
        <v>3526.1639883061671</v>
      </c>
      <c r="C44" s="134">
        <f t="shared" si="9"/>
        <v>3799.0498570303098</v>
      </c>
      <c r="D44" s="134">
        <f t="shared" si="9"/>
        <v>4114.7889592486645</v>
      </c>
      <c r="E44" s="134">
        <f t="shared" si="9"/>
        <v>14591.309091359944</v>
      </c>
      <c r="F44" s="134">
        <f t="shared" si="9"/>
        <v>16300.12144330716</v>
      </c>
      <c r="G44" s="134">
        <f t="shared" si="9"/>
        <v>16816.652728918765</v>
      </c>
      <c r="H44" s="134">
        <f t="shared" si="9"/>
        <v>17308.148200840857</v>
      </c>
      <c r="I44" s="134">
        <f t="shared" si="9"/>
        <v>17860.532088695916</v>
      </c>
      <c r="J44" s="134">
        <f t="shared" si="9"/>
        <v>18560.67395244812</v>
      </c>
      <c r="K44" s="134">
        <f t="shared" si="9"/>
        <v>18792.082025973181</v>
      </c>
      <c r="L44" s="134">
        <f t="shared" si="9"/>
        <v>19912.578204609283</v>
      </c>
      <c r="M44" s="134">
        <f t="shared" si="9"/>
        <v>21106.527217258168</v>
      </c>
      <c r="N44" s="134">
        <f t="shared" si="9"/>
        <v>22336.987555075546</v>
      </c>
      <c r="O44" s="134">
        <f t="shared" si="9"/>
        <v>23494.430461073491</v>
      </c>
      <c r="P44" s="134">
        <f t="shared" si="9"/>
        <v>24735.242523536981</v>
      </c>
      <c r="Q44" s="134">
        <f t="shared" si="9"/>
        <v>25890.710021076789</v>
      </c>
      <c r="R44" s="134">
        <f t="shared" si="9"/>
        <v>27161.617569224614</v>
      </c>
      <c r="S44" s="134">
        <f t="shared" si="9"/>
        <v>28518.452224162927</v>
      </c>
      <c r="T44" s="134">
        <f t="shared" si="9"/>
        <v>29980.331999120019</v>
      </c>
      <c r="U44" s="134">
        <f t="shared" si="9"/>
        <v>31556.560963695829</v>
      </c>
      <c r="W44" s="93">
        <f>SUM(B44:U44)</f>
        <v>386362.96107496275</v>
      </c>
    </row>
    <row r="45" spans="1:23" s="59" customFormat="1">
      <c r="A45" s="1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W45" s="93"/>
    </row>
    <row r="46" spans="1:23">
      <c r="A46" s="3" t="s">
        <v>96</v>
      </c>
      <c r="B46" s="129">
        <f>B44*-Summary!$D$37</f>
        <v>-176.30819941530837</v>
      </c>
      <c r="C46" s="129">
        <f>C44*-Summary!$D$37</f>
        <v>-189.9524928515155</v>
      </c>
      <c r="D46" s="129">
        <f>D44*-Summary!$D$37</f>
        <v>-205.73944796243325</v>
      </c>
      <c r="E46" s="129">
        <f>E44*-Summary!$D$37</f>
        <v>-729.56545456799722</v>
      </c>
      <c r="F46" s="129">
        <f>F44*-Summary!$D$37</f>
        <v>-815.00607216535809</v>
      </c>
      <c r="G46" s="129">
        <f>G44*-Summary!$D$37</f>
        <v>-840.83263644593831</v>
      </c>
      <c r="H46" s="129">
        <f>H44*-Summary!$D$37</f>
        <v>-865.4074100420429</v>
      </c>
      <c r="I46" s="129">
        <f>I44*-Summary!$D$37</f>
        <v>-893.0266044347959</v>
      </c>
      <c r="J46" s="129">
        <f>J44*-Summary!$D$37</f>
        <v>-928.03369762240607</v>
      </c>
      <c r="K46" s="129">
        <f>K44*-Summary!$D$37</f>
        <v>-939.60410129865909</v>
      </c>
      <c r="L46" s="129">
        <f>L44*-Summary!$D$37</f>
        <v>-995.62891023046416</v>
      </c>
      <c r="M46" s="129">
        <f>M44*-Summary!$D$37</f>
        <v>-1055.3263608629084</v>
      </c>
      <c r="N46" s="129">
        <f>N44*-Summary!$D$37</f>
        <v>-1116.8493777537774</v>
      </c>
      <c r="O46" s="129">
        <f>O44*-Summary!$D$37</f>
        <v>-1174.7215230536747</v>
      </c>
      <c r="P46" s="129">
        <f>P44*-Summary!$D$37</f>
        <v>-1236.7621261768491</v>
      </c>
      <c r="Q46" s="129">
        <f>Q44*-Summary!$D$37</f>
        <v>-1294.5355010538397</v>
      </c>
      <c r="R46" s="129">
        <f>R44*-Summary!$D$37</f>
        <v>-1358.0808784612309</v>
      </c>
      <c r="S46" s="129">
        <f>S44*-Summary!$D$37</f>
        <v>-1425.9226112081465</v>
      </c>
      <c r="T46" s="129">
        <f>T44*-Summary!$D$37</f>
        <v>-1499.0165999560011</v>
      </c>
      <c r="U46" s="129">
        <f>U44*-Summary!$D$37</f>
        <v>-1577.8280481847914</v>
      </c>
      <c r="W46" s="93">
        <f>SUM(B46:U46)</f>
        <v>-19318.148053748137</v>
      </c>
    </row>
    <row r="47" spans="1:23">
      <c r="A47" s="3" t="s">
        <v>97</v>
      </c>
      <c r="B47" s="123">
        <f>(B44+B46)*-Summary!$D$36</f>
        <v>-1172.4495261118004</v>
      </c>
      <c r="C47" s="123">
        <f>(C44+C46)*-Summary!$D$36</f>
        <v>-1263.1840774625778</v>
      </c>
      <c r="D47" s="123">
        <f>(D44+D46)*-Summary!$D$36</f>
        <v>-1368.1673289501809</v>
      </c>
      <c r="E47" s="123">
        <f>(E44+E46)*-Summary!$D$36</f>
        <v>-4851.6102728771812</v>
      </c>
      <c r="F47" s="123">
        <f>(F44+F46)*-Summary!$D$36</f>
        <v>-5419.7903798996304</v>
      </c>
      <c r="G47" s="123">
        <f>(G44+G46)*-Summary!$D$36</f>
        <v>-5591.5370323654888</v>
      </c>
      <c r="H47" s="123">
        <f>(H44+H46)*-Summary!$D$36</f>
        <v>-5754.9592767795839</v>
      </c>
      <c r="I47" s="123">
        <f>(I44+I46)*-Summary!$D$36</f>
        <v>-5938.6269194913921</v>
      </c>
      <c r="J47" s="123">
        <f>(J44+J46)*-Summary!$D$36</f>
        <v>-6171.4240891889995</v>
      </c>
      <c r="K47" s="123">
        <f>(K44+K46)*-Summary!$D$36</f>
        <v>-6248.3672736360813</v>
      </c>
      <c r="L47" s="123">
        <f>(L44+L46)*-Summary!$D$36</f>
        <v>-6620.9322530325853</v>
      </c>
      <c r="M47" s="123">
        <f>(M44+M46)*-Summary!$D$36</f>
        <v>-7017.92029973834</v>
      </c>
      <c r="N47" s="123">
        <f>(N44+N46)*-Summary!$D$36</f>
        <v>-7427.0483620626183</v>
      </c>
      <c r="O47" s="123">
        <f>(O44+O46)*-Summary!$D$36</f>
        <v>-7811.8981283069352</v>
      </c>
      <c r="P47" s="123">
        <f>(P44+P46)*-Summary!$D$36</f>
        <v>-8224.4681390760452</v>
      </c>
      <c r="Q47" s="123">
        <f>(Q44+Q46)*-Summary!$D$36</f>
        <v>-8608.6610820080314</v>
      </c>
      <c r="R47" s="123">
        <f>(R44+R46)*-Summary!$D$36</f>
        <v>-9031.2378417671844</v>
      </c>
      <c r="S47" s="123">
        <f>(S44+S46)*-Summary!$D$36</f>
        <v>-9482.3853645341733</v>
      </c>
      <c r="T47" s="123">
        <f>(T44+T46)*-Summary!$D$36</f>
        <v>-9968.4603897074048</v>
      </c>
      <c r="U47" s="123">
        <f>(U44+U46)*-Summary!$D$36</f>
        <v>-10492.556520428863</v>
      </c>
      <c r="W47" s="93">
        <f>SUM(B47:U47)</f>
        <v>-128465.68455742512</v>
      </c>
    </row>
    <row r="48" spans="1:23" ht="6" customHeight="1"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W48" s="93"/>
    </row>
    <row r="49" spans="1:55" s="66" customFormat="1" ht="15.75">
      <c r="A49" s="47" t="s">
        <v>117</v>
      </c>
      <c r="B49" s="136">
        <f t="shared" ref="B49:U49" si="10">SUM(B44:B47)</f>
        <v>2177.4062627790581</v>
      </c>
      <c r="C49" s="136">
        <f t="shared" si="10"/>
        <v>2345.9132867162161</v>
      </c>
      <c r="D49" s="136">
        <f t="shared" si="10"/>
        <v>2540.8821823360504</v>
      </c>
      <c r="E49" s="136">
        <f t="shared" si="10"/>
        <v>9010.133363914767</v>
      </c>
      <c r="F49" s="136">
        <f t="shared" si="10"/>
        <v>10065.324991242171</v>
      </c>
      <c r="G49" s="136">
        <f t="shared" si="10"/>
        <v>10384.283060107336</v>
      </c>
      <c r="H49" s="136">
        <f t="shared" si="10"/>
        <v>10687.781514019229</v>
      </c>
      <c r="I49" s="136">
        <f t="shared" si="10"/>
        <v>11028.87856476973</v>
      </c>
      <c r="J49" s="136">
        <f t="shared" si="10"/>
        <v>11461.216165636713</v>
      </c>
      <c r="K49" s="136">
        <f t="shared" si="10"/>
        <v>11604.110651038438</v>
      </c>
      <c r="L49" s="136">
        <f t="shared" si="10"/>
        <v>12296.017041346233</v>
      </c>
      <c r="M49" s="136">
        <f t="shared" si="10"/>
        <v>13033.280556656919</v>
      </c>
      <c r="N49" s="136">
        <f t="shared" si="10"/>
        <v>13793.089815259151</v>
      </c>
      <c r="O49" s="136">
        <f t="shared" si="10"/>
        <v>14507.810809712881</v>
      </c>
      <c r="P49" s="136">
        <f t="shared" si="10"/>
        <v>15274.012258284085</v>
      </c>
      <c r="Q49" s="136">
        <f t="shared" si="10"/>
        <v>15987.513438014917</v>
      </c>
      <c r="R49" s="136">
        <f t="shared" si="10"/>
        <v>16772.298848996201</v>
      </c>
      <c r="S49" s="136">
        <f t="shared" si="10"/>
        <v>17610.144248420609</v>
      </c>
      <c r="T49" s="136">
        <f t="shared" si="10"/>
        <v>18512.855009456613</v>
      </c>
      <c r="U49" s="136">
        <f t="shared" si="10"/>
        <v>19486.176395082177</v>
      </c>
      <c r="W49" s="93">
        <f>SUM(B49:U49)</f>
        <v>238579.1284637895</v>
      </c>
    </row>
    <row r="50" spans="1:55" s="64" customFormat="1" ht="9" outlineLevel="1">
      <c r="A50" s="4"/>
      <c r="B50" s="62"/>
      <c r="C50" s="63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</row>
    <row r="51" spans="1:55">
      <c r="A51" s="1"/>
      <c r="B51" s="58"/>
      <c r="C51" s="61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</row>
    <row r="52" spans="1:55" outlineLevel="1">
      <c r="A52" s="13"/>
      <c r="B52" s="58"/>
      <c r="C52" s="61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</row>
    <row r="53" spans="1:55" ht="18.75" outlineLevel="1">
      <c r="A53" s="57" t="s">
        <v>263</v>
      </c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</row>
    <row r="54" spans="1:55" outlineLevel="1">
      <c r="A54" s="1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</row>
    <row r="55" spans="1:55" ht="12.75" customHeight="1" outlineLevel="1">
      <c r="A55" s="1" t="s">
        <v>116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</row>
    <row r="56" spans="1:55" ht="12.75" customHeight="1" outlineLevel="1">
      <c r="A56" s="1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</row>
    <row r="57" spans="1:55" ht="13.5" outlineLevel="1" thickBot="1">
      <c r="A57" s="202" t="s">
        <v>83</v>
      </c>
      <c r="B57" s="8">
        <v>2001</v>
      </c>
      <c r="C57" s="8">
        <f t="shared" ref="C57:U57" si="11">B57+1</f>
        <v>2002</v>
      </c>
      <c r="D57" s="8">
        <f t="shared" si="11"/>
        <v>2003</v>
      </c>
      <c r="E57" s="8">
        <f t="shared" si="11"/>
        <v>2004</v>
      </c>
      <c r="F57" s="8">
        <f t="shared" si="11"/>
        <v>2005</v>
      </c>
      <c r="G57" s="8">
        <f t="shared" si="11"/>
        <v>2006</v>
      </c>
      <c r="H57" s="8">
        <f t="shared" si="11"/>
        <v>2007</v>
      </c>
      <c r="I57" s="8">
        <f t="shared" si="11"/>
        <v>2008</v>
      </c>
      <c r="J57" s="8">
        <f t="shared" si="11"/>
        <v>2009</v>
      </c>
      <c r="K57" s="8">
        <f t="shared" si="11"/>
        <v>2010</v>
      </c>
      <c r="L57" s="8">
        <f t="shared" si="11"/>
        <v>2011</v>
      </c>
      <c r="M57" s="8">
        <f t="shared" si="11"/>
        <v>2012</v>
      </c>
      <c r="N57" s="8">
        <f t="shared" si="11"/>
        <v>2013</v>
      </c>
      <c r="O57" s="8">
        <f t="shared" si="11"/>
        <v>2014</v>
      </c>
      <c r="P57" s="8">
        <f t="shared" si="11"/>
        <v>2015</v>
      </c>
      <c r="Q57" s="8">
        <f t="shared" si="11"/>
        <v>2016</v>
      </c>
      <c r="R57" s="8">
        <f t="shared" si="11"/>
        <v>2017</v>
      </c>
      <c r="S57" s="8">
        <f t="shared" si="11"/>
        <v>2018</v>
      </c>
      <c r="T57" s="8">
        <f t="shared" si="11"/>
        <v>2019</v>
      </c>
      <c r="U57" s="8">
        <f t="shared" si="11"/>
        <v>2020</v>
      </c>
      <c r="W57" s="456" t="s">
        <v>231</v>
      </c>
    </row>
    <row r="58" spans="1:55" outlineLevel="1">
      <c r="A58" s="12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W58" s="46"/>
    </row>
    <row r="59" spans="1:55" outlineLevel="1">
      <c r="A59" s="13" t="s">
        <v>91</v>
      </c>
      <c r="B59" s="69">
        <f t="shared" ref="B59:U59" si="12">B36</f>
        <v>18943.736229811759</v>
      </c>
      <c r="C59" s="69">
        <f t="shared" si="12"/>
        <v>18884.036182848755</v>
      </c>
      <c r="D59" s="69">
        <f t="shared" si="12"/>
        <v>18813.458708051352</v>
      </c>
      <c r="E59" s="69">
        <f t="shared" si="12"/>
        <v>28987.320390125406</v>
      </c>
      <c r="F59" s="69">
        <f t="shared" si="12"/>
        <v>30578.337383176869</v>
      </c>
      <c r="G59" s="69">
        <f t="shared" si="12"/>
        <v>30948.358184578574</v>
      </c>
      <c r="H59" s="69">
        <f t="shared" si="12"/>
        <v>31264.091675581029</v>
      </c>
      <c r="I59" s="69">
        <f t="shared" si="12"/>
        <v>31631.158248135049</v>
      </c>
      <c r="J59" s="69">
        <f t="shared" si="12"/>
        <v>32063.89504141438</v>
      </c>
      <c r="K59" s="69">
        <f t="shared" si="12"/>
        <v>32010.385433838517</v>
      </c>
      <c r="L59" s="69">
        <f t="shared" si="12"/>
        <v>32800.833646652172</v>
      </c>
      <c r="M59" s="69">
        <f t="shared" si="12"/>
        <v>33618.259582649058</v>
      </c>
      <c r="N59" s="69">
        <f t="shared" si="12"/>
        <v>34368.996166586192</v>
      </c>
      <c r="O59" s="69">
        <f t="shared" si="12"/>
        <v>34997.157745925775</v>
      </c>
      <c r="P59" s="69">
        <f t="shared" si="12"/>
        <v>35631.985438517098</v>
      </c>
      <c r="Q59" s="69">
        <f t="shared" si="12"/>
        <v>36110.742036353739</v>
      </c>
      <c r="R59" s="69">
        <f t="shared" si="12"/>
        <v>36586.985327882212</v>
      </c>
      <c r="S59" s="69">
        <f t="shared" si="12"/>
        <v>37065.336209749388</v>
      </c>
      <c r="T59" s="69">
        <f t="shared" si="12"/>
        <v>37539.981737149494</v>
      </c>
      <c r="U59" s="69">
        <f t="shared" si="12"/>
        <v>38010.400727760287</v>
      </c>
      <c r="W59" s="457">
        <f>SUM(B59:U59)</f>
        <v>630855.45609678712</v>
      </c>
    </row>
    <row r="60" spans="1:55">
      <c r="A60" s="13" t="s">
        <v>255</v>
      </c>
      <c r="B60" s="69">
        <f>B28</f>
        <v>579.4</v>
      </c>
      <c r="C60" s="69">
        <f t="shared" ref="C60:T60" si="13">C28</f>
        <v>573.6</v>
      </c>
      <c r="D60" s="69">
        <f t="shared" si="13"/>
        <v>567.9</v>
      </c>
      <c r="E60" s="69">
        <f t="shared" si="13"/>
        <v>562.20000000000005</v>
      </c>
      <c r="F60" s="69">
        <f t="shared" si="13"/>
        <v>556.6</v>
      </c>
      <c r="G60" s="69">
        <f t="shared" si="13"/>
        <v>551</v>
      </c>
      <c r="H60" s="69">
        <f t="shared" si="13"/>
        <v>534.5</v>
      </c>
      <c r="I60" s="69">
        <f t="shared" si="13"/>
        <v>518.5</v>
      </c>
      <c r="J60" s="69">
        <f t="shared" si="13"/>
        <v>492.6</v>
      </c>
      <c r="K60" s="69">
        <f t="shared" si="13"/>
        <v>877.7</v>
      </c>
      <c r="L60" s="69">
        <f t="shared" si="13"/>
        <v>694.8</v>
      </c>
      <c r="M60" s="69">
        <f t="shared" si="13"/>
        <v>493.7</v>
      </c>
      <c r="N60" s="69">
        <f t="shared" si="13"/>
        <v>365.7</v>
      </c>
      <c r="O60" s="69">
        <f t="shared" si="13"/>
        <v>365.7</v>
      </c>
      <c r="P60" s="69">
        <f t="shared" si="13"/>
        <v>365.7</v>
      </c>
      <c r="Q60" s="69">
        <f t="shared" si="13"/>
        <v>365.7</v>
      </c>
      <c r="R60" s="69">
        <f t="shared" si="13"/>
        <v>365.7</v>
      </c>
      <c r="S60" s="69">
        <f t="shared" si="13"/>
        <v>365.7</v>
      </c>
      <c r="T60" s="69">
        <f t="shared" si="13"/>
        <v>365.7</v>
      </c>
      <c r="U60" s="69">
        <f>T60</f>
        <v>365.7</v>
      </c>
      <c r="W60" s="457">
        <f>SUM(B60:U60)</f>
        <v>9928.100000000004</v>
      </c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</row>
    <row r="61" spans="1:55">
      <c r="A61" s="13" t="s">
        <v>256</v>
      </c>
      <c r="B61" s="537">
        <v>-591.20000000000005</v>
      </c>
      <c r="C61" s="69">
        <f>-B60</f>
        <v>-579.4</v>
      </c>
      <c r="D61" s="69">
        <f t="shared" ref="D61:U61" si="14">-C60</f>
        <v>-573.6</v>
      </c>
      <c r="E61" s="69">
        <f t="shared" si="14"/>
        <v>-567.9</v>
      </c>
      <c r="F61" s="69">
        <f t="shared" si="14"/>
        <v>-562.20000000000005</v>
      </c>
      <c r="G61" s="69">
        <f t="shared" si="14"/>
        <v>-556.6</v>
      </c>
      <c r="H61" s="69">
        <f t="shared" si="14"/>
        <v>-551</v>
      </c>
      <c r="I61" s="69">
        <f t="shared" si="14"/>
        <v>-534.5</v>
      </c>
      <c r="J61" s="69">
        <f t="shared" si="14"/>
        <v>-518.5</v>
      </c>
      <c r="K61" s="69">
        <f t="shared" si="14"/>
        <v>-492.6</v>
      </c>
      <c r="L61" s="69">
        <f t="shared" si="14"/>
        <v>-877.7</v>
      </c>
      <c r="M61" s="69">
        <f t="shared" si="14"/>
        <v>-694.8</v>
      </c>
      <c r="N61" s="69">
        <f t="shared" si="14"/>
        <v>-493.7</v>
      </c>
      <c r="O61" s="69">
        <f t="shared" si="14"/>
        <v>-365.7</v>
      </c>
      <c r="P61" s="69">
        <f t="shared" si="14"/>
        <v>-365.7</v>
      </c>
      <c r="Q61" s="69">
        <f t="shared" si="14"/>
        <v>-365.7</v>
      </c>
      <c r="R61" s="69">
        <f t="shared" si="14"/>
        <v>-365.7</v>
      </c>
      <c r="S61" s="69">
        <f t="shared" si="14"/>
        <v>-365.7</v>
      </c>
      <c r="T61" s="69">
        <f t="shared" si="14"/>
        <v>-365.7</v>
      </c>
      <c r="U61" s="69">
        <f t="shared" si="14"/>
        <v>-365.7</v>
      </c>
      <c r="W61" s="457">
        <f>SUM(B61:U61)</f>
        <v>-10153.600000000004</v>
      </c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</row>
    <row r="62" spans="1:55" outlineLevel="1">
      <c r="A62" s="13" t="s">
        <v>99</v>
      </c>
      <c r="B62" s="455">
        <f>-Debt!B75*Allocation!$F$8</f>
        <v>-13884.139916968168</v>
      </c>
      <c r="C62" s="455">
        <f>-Debt!C75*Allocation!$F$8</f>
        <v>-13847.475693691697</v>
      </c>
      <c r="D62" s="455">
        <f>-Debt!D75*Allocation!$F$8</f>
        <v>-13776.922424781489</v>
      </c>
      <c r="E62" s="455">
        <f>-Debt!E75*Allocation!$F$8</f>
        <v>-9651.3566099883174</v>
      </c>
      <c r="F62" s="455">
        <f>-Debt!F75*Allocation!$F$8</f>
        <v>-10144.754857074535</v>
      </c>
      <c r="G62" s="455">
        <f>-Debt!G75*Allocation!$F$8</f>
        <v>-10287.825651600562</v>
      </c>
      <c r="H62" s="455">
        <f>-Debt!H75*Allocation!$F$8</f>
        <v>-10421.736830700193</v>
      </c>
      <c r="I62" s="455">
        <f>-Debt!I75*Allocation!$F$8</f>
        <v>-10599.361935791216</v>
      </c>
      <c r="J62" s="455">
        <f>-Debt!J75*Allocation!$F$8</f>
        <v>-10738.001900852099</v>
      </c>
      <c r="K62" s="455">
        <f>-Debt!K75*Allocation!$F$8</f>
        <v>-10843.268659476507</v>
      </c>
      <c r="L62" s="455">
        <f>-Debt!L75*Allocation!$F$8</f>
        <v>-11056.797163665018</v>
      </c>
      <c r="M62" s="455">
        <f>-Debt!M75*Allocation!$F$8</f>
        <v>-11311.124957057762</v>
      </c>
      <c r="N62" s="455">
        <f>-Debt!N75*Allocation!$F$8</f>
        <v>-11479.680094800735</v>
      </c>
      <c r="O62" s="455">
        <f>-Debt!O75*Allocation!$F$8</f>
        <v>-11685.953954905463</v>
      </c>
      <c r="P62" s="455">
        <f>-Debt!P75*Allocation!$F$8</f>
        <v>-11868.510264052482</v>
      </c>
      <c r="Q62" s="455">
        <f>-Debt!Q75*Allocation!$F$8</f>
        <v>-12089.0712856218</v>
      </c>
      <c r="R62" s="455">
        <f>-Debt!R75*Allocation!$F$8</f>
        <v>-12207.825709657149</v>
      </c>
      <c r="S62" s="455">
        <f>-Debt!S75*Allocation!$F$8</f>
        <v>-12363.322636427663</v>
      </c>
      <c r="T62" s="455">
        <f>-Debt!T75*Allocation!$F$8</f>
        <v>-12521.699110144511</v>
      </c>
      <c r="U62" s="455">
        <f>-Debt!U75*Allocation!$F$8</f>
        <v>-12704.861258466797</v>
      </c>
      <c r="W62" s="457">
        <f>SUM(B62:U62)</f>
        <v>-233483.69091572415</v>
      </c>
    </row>
    <row r="63" spans="1:55" outlineLevel="1">
      <c r="A63" s="13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W63" s="458"/>
    </row>
    <row r="64" spans="1:55" s="59" customFormat="1" outlineLevel="1">
      <c r="A64" s="12" t="s">
        <v>100</v>
      </c>
      <c r="B64" s="138">
        <f t="shared" ref="B64:U64" si="15">SUM(B59:B62)</f>
        <v>5047.7963128435913</v>
      </c>
      <c r="C64" s="138">
        <f t="shared" si="15"/>
        <v>5030.7604891570554</v>
      </c>
      <c r="D64" s="138">
        <f t="shared" si="15"/>
        <v>5030.8362832698658</v>
      </c>
      <c r="E64" s="138">
        <f t="shared" si="15"/>
        <v>19330.263780137087</v>
      </c>
      <c r="F64" s="138">
        <f t="shared" si="15"/>
        <v>20427.982526102332</v>
      </c>
      <c r="G64" s="138">
        <f t="shared" si="15"/>
        <v>20654.932532978011</v>
      </c>
      <c r="H64" s="138">
        <f t="shared" si="15"/>
        <v>20825.854844880836</v>
      </c>
      <c r="I64" s="138">
        <f t="shared" si="15"/>
        <v>21015.796312343831</v>
      </c>
      <c r="J64" s="138">
        <f t="shared" si="15"/>
        <v>21299.993140562277</v>
      </c>
      <c r="K64" s="138">
        <f t="shared" si="15"/>
        <v>21552.216774362012</v>
      </c>
      <c r="L64" s="138">
        <f t="shared" si="15"/>
        <v>21561.136482987156</v>
      </c>
      <c r="M64" s="138">
        <f t="shared" si="15"/>
        <v>22106.034625591288</v>
      </c>
      <c r="N64" s="138">
        <f t="shared" si="15"/>
        <v>22761.316071785455</v>
      </c>
      <c r="O64" s="138">
        <f t="shared" si="15"/>
        <v>23311.203791020314</v>
      </c>
      <c r="P64" s="138">
        <f t="shared" si="15"/>
        <v>23763.475174464616</v>
      </c>
      <c r="Q64" s="138">
        <f t="shared" si="15"/>
        <v>24021.670750731937</v>
      </c>
      <c r="R64" s="138">
        <f t="shared" si="15"/>
        <v>24379.159618225065</v>
      </c>
      <c r="S64" s="138">
        <f t="shared" si="15"/>
        <v>24702.013573321725</v>
      </c>
      <c r="T64" s="138">
        <f t="shared" si="15"/>
        <v>25018.282627004985</v>
      </c>
      <c r="U64" s="138">
        <f t="shared" si="15"/>
        <v>25305.53946929349</v>
      </c>
      <c r="W64" s="457">
        <f>SUM(B64:U64)</f>
        <v>397146.26518106303</v>
      </c>
    </row>
    <row r="65" spans="1:23" outlineLevel="1">
      <c r="A65" s="12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W65" s="458"/>
    </row>
    <row r="66" spans="1:23" outlineLevel="1">
      <c r="A66" s="13" t="s">
        <v>136</v>
      </c>
      <c r="B66" s="123">
        <f>-B109</f>
        <v>0</v>
      </c>
      <c r="C66" s="123">
        <f t="shared" ref="C66:U66" si="16">-C109</f>
        <v>0</v>
      </c>
      <c r="D66" s="123">
        <f t="shared" si="16"/>
        <v>0</v>
      </c>
      <c r="E66" s="123">
        <f t="shared" si="16"/>
        <v>0</v>
      </c>
      <c r="F66" s="123">
        <f t="shared" si="16"/>
        <v>-23.289792646613932</v>
      </c>
      <c r="G66" s="123">
        <f t="shared" si="16"/>
        <v>-542.71533247589093</v>
      </c>
      <c r="H66" s="123">
        <f t="shared" si="16"/>
        <v>-597.74791112156697</v>
      </c>
      <c r="I66" s="123">
        <f t="shared" si="16"/>
        <v>-624.44414172493907</v>
      </c>
      <c r="J66" s="123">
        <f t="shared" si="16"/>
        <v>-660.37419870193003</v>
      </c>
      <c r="K66" s="123">
        <f t="shared" si="16"/>
        <v>-671.02163858880203</v>
      </c>
      <c r="L66" s="123">
        <f t="shared" si="16"/>
        <v>-727.96941130998812</v>
      </c>
      <c r="M66" s="123">
        <f t="shared" si="16"/>
        <v>-786.74389815305165</v>
      </c>
      <c r="N66" s="123">
        <f t="shared" si="16"/>
        <v>-849.18987883330158</v>
      </c>
      <c r="O66" s="123">
        <f t="shared" si="16"/>
        <v>-906.13906034381762</v>
      </c>
      <c r="P66" s="123">
        <f t="shared" si="16"/>
        <v>-969.10262725637335</v>
      </c>
      <c r="Q66" s="123">
        <f t="shared" si="16"/>
        <v>-1299.1503200007446</v>
      </c>
      <c r="R66" s="123">
        <f t="shared" si="16"/>
        <v>-1634.9700152755163</v>
      </c>
      <c r="S66" s="123">
        <f t="shared" si="16"/>
        <v>-1702.8117480224319</v>
      </c>
      <c r="T66" s="123">
        <f t="shared" si="16"/>
        <v>-1775.9057367702867</v>
      </c>
      <c r="U66" s="123">
        <f t="shared" si="16"/>
        <v>-1854.7171849990771</v>
      </c>
      <c r="W66" s="457">
        <f>SUM(B66:U66)</f>
        <v>-15626.292896224331</v>
      </c>
    </row>
    <row r="67" spans="1:23" outlineLevel="1">
      <c r="A67" s="13" t="s">
        <v>137</v>
      </c>
      <c r="B67" s="130">
        <f>-Allocation!$F$8*Tax!B19</f>
        <v>232.73240987224182</v>
      </c>
      <c r="C67" s="130">
        <f>-Allocation!$F$8*Tax!C19</f>
        <v>3148.073785934715</v>
      </c>
      <c r="D67" s="130">
        <f>-Allocation!$F$8*Tax!D19</f>
        <v>2411.433845650698</v>
      </c>
      <c r="E67" s="130">
        <f>-Allocation!$F$8*Tax!E19</f>
        <v>-1845.8745821987645</v>
      </c>
      <c r="F67" s="130">
        <f>-Allocation!$F$8*Tax!F19</f>
        <v>-2895.9160570171498</v>
      </c>
      <c r="G67" s="130">
        <f>-Allocation!$F$8*Tax!G19</f>
        <v>-3468.6328402265999</v>
      </c>
      <c r="H67" s="130">
        <f>-Allocation!$F$8*Tax!H19</f>
        <v>-3849.3241099747943</v>
      </c>
      <c r="I67" s="130">
        <f>-Allocation!$F$8*Tax!I19</f>
        <v>-4000.8106264832663</v>
      </c>
      <c r="J67" s="130">
        <f>-Allocation!$F$8*Tax!J19</f>
        <v>-4259.3291340768956</v>
      </c>
      <c r="K67" s="130">
        <f>-Allocation!$F$8*Tax!K19</f>
        <v>-4451.2985323679486</v>
      </c>
      <c r="L67" s="130">
        <f>-Allocation!$F$8*Tax!L19</f>
        <v>-4774.0411656477872</v>
      </c>
      <c r="M67" s="130">
        <f>-Allocation!$F$8*Tax!M19</f>
        <v>-5111.5036263652728</v>
      </c>
      <c r="N67" s="130">
        <f>-Allocation!$F$8*Tax!N19</f>
        <v>-5471.6302599735654</v>
      </c>
      <c r="O67" s="130">
        <f>-Allocation!$F$8*Tax!O19</f>
        <v>-5842.0215359879148</v>
      </c>
      <c r="P67" s="130">
        <f>-Allocation!$F$8*Tax!P19</f>
        <v>-6226.7122418263516</v>
      </c>
      <c r="Q67" s="130">
        <f>-Allocation!$F$8*Tax!Q19</f>
        <v>-8487.941587362393</v>
      </c>
      <c r="R67" s="130">
        <f>-Allocation!$F$8*Tax!R19</f>
        <v>-10752.638181449818</v>
      </c>
      <c r="S67" s="130">
        <f>-Allocation!$F$8*Tax!S19</f>
        <v>-11193.837730027286</v>
      </c>
      <c r="T67" s="130">
        <f>-Allocation!$F$8*Tax!T19</f>
        <v>-11673.463637048602</v>
      </c>
      <c r="U67" s="130">
        <f>-Allocation!$F$8*Tax!U19</f>
        <v>-12186.410136496586</v>
      </c>
      <c r="W67" s="457">
        <f>SUM(B67:U67)</f>
        <v>-100699.14594307335</v>
      </c>
    </row>
    <row r="68" spans="1:23" outlineLevel="1">
      <c r="A68" s="13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W68" s="458"/>
    </row>
    <row r="69" spans="1:23" s="66" customFormat="1" ht="15.75" outlineLevel="1">
      <c r="A69" s="48" t="s">
        <v>101</v>
      </c>
      <c r="B69" s="139">
        <f t="shared" ref="B69:U69" si="17">B64+B67+B66</f>
        <v>5280.5287227158333</v>
      </c>
      <c r="C69" s="139">
        <f t="shared" si="17"/>
        <v>8178.8342750917709</v>
      </c>
      <c r="D69" s="139">
        <f t="shared" si="17"/>
        <v>7442.2701289205634</v>
      </c>
      <c r="E69" s="139">
        <f t="shared" si="17"/>
        <v>17484.389197938322</v>
      </c>
      <c r="F69" s="139">
        <f t="shared" si="17"/>
        <v>17508.776676438571</v>
      </c>
      <c r="G69" s="139">
        <f t="shared" si="17"/>
        <v>16643.584360275519</v>
      </c>
      <c r="H69" s="139">
        <f t="shared" si="17"/>
        <v>16378.782823784475</v>
      </c>
      <c r="I69" s="139">
        <f t="shared" si="17"/>
        <v>16390.541544135624</v>
      </c>
      <c r="J69" s="139">
        <f t="shared" si="17"/>
        <v>16380.289807783452</v>
      </c>
      <c r="K69" s="139">
        <f t="shared" si="17"/>
        <v>16429.896603405261</v>
      </c>
      <c r="L69" s="139">
        <f t="shared" si="17"/>
        <v>16059.12590602938</v>
      </c>
      <c r="M69" s="139">
        <f t="shared" si="17"/>
        <v>16207.787101072963</v>
      </c>
      <c r="N69" s="139">
        <f t="shared" si="17"/>
        <v>16440.495932978589</v>
      </c>
      <c r="O69" s="139">
        <f t="shared" si="17"/>
        <v>16563.04319468858</v>
      </c>
      <c r="P69" s="139">
        <f t="shared" si="17"/>
        <v>16567.660305381894</v>
      </c>
      <c r="Q69" s="139">
        <f t="shared" si="17"/>
        <v>14234.578843368799</v>
      </c>
      <c r="R69" s="139">
        <f t="shared" si="17"/>
        <v>11991.551421499731</v>
      </c>
      <c r="S69" s="139">
        <f t="shared" si="17"/>
        <v>11805.364095272007</v>
      </c>
      <c r="T69" s="139">
        <f t="shared" si="17"/>
        <v>11568.913253186096</v>
      </c>
      <c r="U69" s="139">
        <f t="shared" si="17"/>
        <v>11264.412147797826</v>
      </c>
      <c r="W69" s="457">
        <f>SUM(B69:U69)</f>
        <v>280820.82634176518</v>
      </c>
    </row>
    <row r="70" spans="1:23" outlineLevel="1">
      <c r="A70" s="15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</row>
    <row r="71" spans="1:23" outlineLevel="1">
      <c r="A71" s="14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</row>
    <row r="72" spans="1:23" outlineLevel="1">
      <c r="A72" s="14">
        <v>0</v>
      </c>
      <c r="B72" s="69">
        <f>B36</f>
        <v>18943.736229811759</v>
      </c>
      <c r="C72" s="69">
        <f t="shared" ref="C72:U72" si="18">C36</f>
        <v>18884.036182848755</v>
      </c>
      <c r="D72" s="69">
        <f t="shared" si="18"/>
        <v>18813.458708051352</v>
      </c>
      <c r="E72" s="69">
        <f t="shared" si="18"/>
        <v>28987.320390125406</v>
      </c>
      <c r="F72" s="69">
        <f t="shared" si="18"/>
        <v>30578.337383176869</v>
      </c>
      <c r="G72" s="69">
        <f t="shared" si="18"/>
        <v>30948.358184578574</v>
      </c>
      <c r="H72" s="69">
        <f t="shared" si="18"/>
        <v>31264.091675581029</v>
      </c>
      <c r="I72" s="69">
        <f t="shared" si="18"/>
        <v>31631.158248135049</v>
      </c>
      <c r="J72" s="69">
        <f t="shared" si="18"/>
        <v>32063.89504141438</v>
      </c>
      <c r="K72" s="69">
        <f t="shared" si="18"/>
        <v>32010.385433838517</v>
      </c>
      <c r="L72" s="69">
        <f t="shared" si="18"/>
        <v>32800.833646652172</v>
      </c>
      <c r="M72" s="69">
        <f t="shared" si="18"/>
        <v>33618.259582649058</v>
      </c>
      <c r="N72" s="69">
        <f t="shared" si="18"/>
        <v>34368.996166586192</v>
      </c>
      <c r="O72" s="69">
        <f t="shared" si="18"/>
        <v>34997.157745925775</v>
      </c>
      <c r="P72" s="69">
        <f t="shared" si="18"/>
        <v>35631.985438517098</v>
      </c>
      <c r="Q72" s="69">
        <f t="shared" si="18"/>
        <v>36110.742036353739</v>
      </c>
      <c r="R72" s="69">
        <f t="shared" si="18"/>
        <v>36586.985327882212</v>
      </c>
      <c r="S72" s="69">
        <f t="shared" si="18"/>
        <v>37065.336209749388</v>
      </c>
      <c r="T72" s="69">
        <f t="shared" si="18"/>
        <v>37539.981737149494</v>
      </c>
      <c r="U72" s="69">
        <f t="shared" si="18"/>
        <v>38010.400727760287</v>
      </c>
    </row>
    <row r="73" spans="1:23" outlineLevel="1">
      <c r="A73" s="14" t="s">
        <v>239</v>
      </c>
      <c r="B73" s="463">
        <f>Assumptions!B39</f>
        <v>0.11443483820421446</v>
      </c>
      <c r="C73" s="464">
        <f>[7]!_xludf.xnpv(B73,A72:U72,CF!$B$8:$V$8)</f>
        <v>218165.69023406587</v>
      </c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</row>
    <row r="74" spans="1:23" outlineLevel="1">
      <c r="A74" s="70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</row>
    <row r="75" spans="1:23" outlineLevel="1">
      <c r="A75" s="70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</row>
    <row r="76" spans="1:23" outlineLevel="1">
      <c r="A76" s="7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</row>
    <row r="77" spans="1:23" ht="18.75" outlineLevel="1">
      <c r="A77" s="57" t="s">
        <v>284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</row>
    <row r="78" spans="1:23" outlineLevel="1">
      <c r="A78" s="59"/>
      <c r="B78" s="20"/>
      <c r="C78" s="20"/>
      <c r="D78" s="20"/>
      <c r="E78" s="20"/>
      <c r="F78" s="20"/>
      <c r="G78" s="140"/>
      <c r="H78" s="20"/>
      <c r="I78" s="20"/>
      <c r="J78" s="20"/>
      <c r="K78" s="20"/>
      <c r="L78" s="20"/>
      <c r="M78" s="140"/>
      <c r="N78" s="20"/>
      <c r="O78" s="20"/>
      <c r="P78" s="20"/>
      <c r="Q78" s="20"/>
      <c r="R78" s="20"/>
      <c r="S78" s="140"/>
      <c r="T78" s="20"/>
      <c r="U78" s="20"/>
    </row>
    <row r="79" spans="1:23" outlineLevel="1">
      <c r="A79" s="236"/>
      <c r="B79" s="257">
        <v>3</v>
      </c>
      <c r="C79" s="257">
        <v>4</v>
      </c>
      <c r="D79" s="257">
        <v>5</v>
      </c>
      <c r="E79" s="258">
        <v>6</v>
      </c>
      <c r="F79" s="257">
        <v>7</v>
      </c>
      <c r="G79" s="257">
        <v>8</v>
      </c>
      <c r="H79" s="257">
        <v>9</v>
      </c>
      <c r="I79" s="257">
        <v>10</v>
      </c>
      <c r="J79" s="257">
        <v>11</v>
      </c>
      <c r="K79" s="258">
        <v>12</v>
      </c>
      <c r="L79" s="257">
        <v>13</v>
      </c>
      <c r="M79" s="257">
        <v>14</v>
      </c>
      <c r="N79" s="257">
        <v>15</v>
      </c>
      <c r="O79" s="257">
        <v>16</v>
      </c>
      <c r="P79" s="257">
        <v>17</v>
      </c>
      <c r="Q79" s="258">
        <v>18</v>
      </c>
      <c r="R79" s="257">
        <v>19</v>
      </c>
      <c r="S79" s="257">
        <v>20</v>
      </c>
      <c r="T79" s="257">
        <v>21</v>
      </c>
      <c r="U79" s="257">
        <v>22</v>
      </c>
    </row>
    <row r="80" spans="1:23" ht="13.5" outlineLevel="1" thickBot="1">
      <c r="A80" s="202" t="s">
        <v>83</v>
      </c>
      <c r="B80" s="8">
        <v>2001</v>
      </c>
      <c r="C80" s="8">
        <v>2002</v>
      </c>
      <c r="D80" s="8">
        <v>2003</v>
      </c>
      <c r="E80" s="8">
        <v>2004</v>
      </c>
      <c r="F80" s="8">
        <v>2005</v>
      </c>
      <c r="G80" s="8">
        <v>2006</v>
      </c>
      <c r="H80" s="8">
        <v>2007</v>
      </c>
      <c r="I80" s="8">
        <v>2008</v>
      </c>
      <c r="J80" s="8">
        <v>2009</v>
      </c>
      <c r="K80" s="8">
        <v>2010</v>
      </c>
      <c r="L80" s="8">
        <v>2011</v>
      </c>
      <c r="M80" s="8">
        <v>2012</v>
      </c>
      <c r="N80" s="8">
        <v>2013</v>
      </c>
      <c r="O80" s="8">
        <v>2014</v>
      </c>
      <c r="P80" s="8">
        <v>2015</v>
      </c>
      <c r="Q80" s="8">
        <v>2016</v>
      </c>
      <c r="R80" s="8">
        <v>2017</v>
      </c>
      <c r="S80" s="8">
        <v>2018</v>
      </c>
      <c r="T80" s="8">
        <v>2019</v>
      </c>
      <c r="U80" s="8">
        <v>2020</v>
      </c>
    </row>
    <row r="81" spans="1:44" outlineLevel="1">
      <c r="A81" s="236"/>
      <c r="B81" s="264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44" outlineLevel="1">
      <c r="A82" s="236"/>
      <c r="B82" s="264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44" outlineLevel="1">
      <c r="A83" s="237" t="s">
        <v>279</v>
      </c>
      <c r="B83" s="264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44" outlineLevel="1">
      <c r="A84" s="236"/>
      <c r="B84" s="264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44" outlineLevel="1">
      <c r="A85" s="7" t="s">
        <v>276</v>
      </c>
      <c r="B85" s="508">
        <f>Depreciation!$B$20*Assumptions!$B$8</f>
        <v>87995.229622468614</v>
      </c>
      <c r="C85" s="508">
        <f>Depreciation!$B$20*Assumptions!$B$8</f>
        <v>87995.229622468614</v>
      </c>
      <c r="D85" s="508">
        <f>Depreciation!$B$20*Assumptions!$B$8</f>
        <v>87995.229622468614</v>
      </c>
      <c r="E85" s="508">
        <f>Depreciation!$B$20*Assumptions!$B$8</f>
        <v>87995.229622468614</v>
      </c>
      <c r="F85" s="508">
        <f>Depreciation!$B$20*Assumptions!$B$8</f>
        <v>87995.229622468614</v>
      </c>
      <c r="G85" s="508">
        <f>Depreciation!$B$20*Assumptions!$B$8</f>
        <v>87995.229622468614</v>
      </c>
      <c r="H85" s="508">
        <f>Depreciation!$B$20*Assumptions!$B$8</f>
        <v>87995.229622468614</v>
      </c>
      <c r="I85" s="508">
        <f>Depreciation!$B$20*Assumptions!$B$8</f>
        <v>87995.229622468614</v>
      </c>
      <c r="J85" s="508">
        <f>Depreciation!$B$20*Assumptions!$B$8</f>
        <v>87995.229622468614</v>
      </c>
      <c r="K85" s="508">
        <f>Depreciation!$B$20*Assumptions!$B$8</f>
        <v>87995.229622468614</v>
      </c>
      <c r="L85" s="508">
        <f>Depreciation!$B$20*Assumptions!$B$8</f>
        <v>87995.229622468614</v>
      </c>
      <c r="M85" s="508">
        <f>Depreciation!$B$20*Assumptions!$B$8</f>
        <v>87995.229622468614</v>
      </c>
      <c r="N85" s="508">
        <f>Depreciation!$B$20*Assumptions!$B$8</f>
        <v>87995.229622468614</v>
      </c>
      <c r="O85" s="508">
        <f>Depreciation!$B$20*Assumptions!$B$8</f>
        <v>87995.229622468614</v>
      </c>
      <c r="P85" s="508">
        <f>Depreciation!$B$20*Assumptions!$B$8</f>
        <v>87995.229622468614</v>
      </c>
      <c r="Q85" s="508">
        <f>Depreciation!$B$20*Assumptions!$B$8</f>
        <v>87995.229622468614</v>
      </c>
      <c r="R85" s="508">
        <f>Depreciation!$B$20*Assumptions!$B$8</f>
        <v>87995.229622468614</v>
      </c>
      <c r="S85" s="508">
        <f>Depreciation!$B$20*Assumptions!$B$8</f>
        <v>87995.229622468614</v>
      </c>
      <c r="T85" s="508">
        <f>Depreciation!$B$20*Assumptions!$B$8</f>
        <v>87995.229622468614</v>
      </c>
      <c r="U85" s="508">
        <f>Depreciation!$B$20*Assumptions!$B$8</f>
        <v>87995.229622468614</v>
      </c>
    </row>
    <row r="86" spans="1:44" outlineLevel="1">
      <c r="A86" s="512" t="s">
        <v>285</v>
      </c>
      <c r="B86" s="509">
        <f>B49-B69</f>
        <v>-3103.1224599367752</v>
      </c>
      <c r="C86" s="509">
        <f t="shared" ref="C86:U86" si="19">C49-C69</f>
        <v>-5832.9209883755548</v>
      </c>
      <c r="D86" s="509">
        <f t="shared" si="19"/>
        <v>-4901.387946584513</v>
      </c>
      <c r="E86" s="509">
        <f t="shared" si="19"/>
        <v>-8474.2558340235555</v>
      </c>
      <c r="F86" s="509">
        <f t="shared" si="19"/>
        <v>-7443.4516851963999</v>
      </c>
      <c r="G86" s="509">
        <f t="shared" si="19"/>
        <v>-6259.3013001681829</v>
      </c>
      <c r="H86" s="509">
        <f t="shared" si="19"/>
        <v>-5691.0013097652463</v>
      </c>
      <c r="I86" s="509">
        <f t="shared" si="19"/>
        <v>-5361.662979365894</v>
      </c>
      <c r="J86" s="509">
        <f t="shared" si="19"/>
        <v>-4919.0736421467391</v>
      </c>
      <c r="K86" s="509">
        <f t="shared" si="19"/>
        <v>-4825.785952366823</v>
      </c>
      <c r="L86" s="509">
        <f t="shared" si="19"/>
        <v>-3763.1088646831467</v>
      </c>
      <c r="M86" s="509">
        <f t="shared" si="19"/>
        <v>-3174.5065444160446</v>
      </c>
      <c r="N86" s="509">
        <f t="shared" si="19"/>
        <v>-2647.406117719438</v>
      </c>
      <c r="O86" s="509">
        <f t="shared" si="19"/>
        <v>-2055.2323849756995</v>
      </c>
      <c r="P86" s="509">
        <f t="shared" si="19"/>
        <v>-1293.6480470978095</v>
      </c>
      <c r="Q86" s="509">
        <f t="shared" si="19"/>
        <v>1752.9345946461181</v>
      </c>
      <c r="R86" s="509">
        <f t="shared" si="19"/>
        <v>4780.7474274964698</v>
      </c>
      <c r="S86" s="509">
        <f t="shared" si="19"/>
        <v>5804.780153148602</v>
      </c>
      <c r="T86" s="509">
        <f t="shared" si="19"/>
        <v>6943.9417562705166</v>
      </c>
      <c r="U86" s="509">
        <f t="shared" si="19"/>
        <v>8221.7642472843509</v>
      </c>
      <c r="Y86" s="509"/>
      <c r="Z86" s="509"/>
      <c r="AA86" s="509"/>
      <c r="AB86" s="509"/>
      <c r="AC86" s="509"/>
      <c r="AD86" s="509"/>
      <c r="AE86" s="509"/>
      <c r="AF86" s="509"/>
      <c r="AG86" s="509"/>
      <c r="AH86" s="509"/>
      <c r="AI86" s="509"/>
      <c r="AJ86" s="509"/>
      <c r="AK86" s="509"/>
      <c r="AL86" s="509"/>
      <c r="AM86" s="509"/>
      <c r="AN86" s="509"/>
      <c r="AO86" s="509"/>
      <c r="AP86" s="509"/>
      <c r="AQ86" s="509"/>
      <c r="AR86" s="509"/>
    </row>
    <row r="87" spans="1:44" outlineLevel="1">
      <c r="A87" s="512" t="s">
        <v>286</v>
      </c>
      <c r="B87" s="510">
        <f>Debt!B70*Allocation!$F$8</f>
        <v>72629.433917264745</v>
      </c>
      <c r="C87" s="510">
        <f>Debt!C70*Allocation!$F$8</f>
        <v>72629.433917264745</v>
      </c>
      <c r="D87" s="510">
        <f>Debt!D70*Allocation!$F$8</f>
        <v>72629.433917264745</v>
      </c>
      <c r="E87" s="510">
        <f>Debt!E70*Allocation!$F$8</f>
        <v>72629.433917264745</v>
      </c>
      <c r="F87" s="510">
        <f>Debt!F70*Allocation!$F$8</f>
        <v>72629.433917264745</v>
      </c>
      <c r="G87" s="510">
        <f>Debt!G70*Allocation!$F$8</f>
        <v>72629.433917264745</v>
      </c>
      <c r="H87" s="510">
        <f>Debt!H70*Allocation!$F$8</f>
        <v>72629.433917264745</v>
      </c>
      <c r="I87" s="510">
        <f>Debt!I70*Allocation!$F$8</f>
        <v>72629.433917264745</v>
      </c>
      <c r="J87" s="510">
        <f>Debt!J70*Allocation!$F$8</f>
        <v>72629.433917264745</v>
      </c>
      <c r="K87" s="510">
        <f>Debt!K70*Allocation!$F$8</f>
        <v>72629.433917264745</v>
      </c>
      <c r="L87" s="510">
        <f>Debt!L70*Allocation!$F$8</f>
        <v>68923.1094593569</v>
      </c>
      <c r="M87" s="510">
        <f>Debt!M70*Allocation!$F$8</f>
        <v>64585.934131404319</v>
      </c>
      <c r="N87" s="510">
        <f>Debt!N70*Allocation!$F$8</f>
        <v>59600.479911828515</v>
      </c>
      <c r="O87" s="510">
        <f>Debt!O70*Allocation!$F$8</f>
        <v>53879.470505489626</v>
      </c>
      <c r="P87" s="510">
        <f>Debt!P70*Allocation!$F$8</f>
        <v>47369.920420131552</v>
      </c>
      <c r="Q87" s="510">
        <f>Debt!Q70*Allocation!$F$8</f>
        <v>39963.098413500978</v>
      </c>
      <c r="R87" s="510">
        <f>Debt!R70*Allocation!$F$8</f>
        <v>31642.857726215716</v>
      </c>
      <c r="S87" s="510">
        <f>Debt!S70*Allocation!$F$8</f>
        <v>22288.6363390888</v>
      </c>
      <c r="T87" s="510">
        <f>Debt!T70*Allocation!$F$8</f>
        <v>11788.804230688052</v>
      </c>
      <c r="U87" s="510">
        <f>Debt!U70*Allocation!$F$8</f>
        <v>0</v>
      </c>
    </row>
    <row r="88" spans="1:44" outlineLevel="1">
      <c r="A88" s="236" t="s">
        <v>287</v>
      </c>
      <c r="B88" s="511">
        <f>SUM(B85:B87)</f>
        <v>157521.54107979659</v>
      </c>
      <c r="C88" s="511">
        <f t="shared" ref="C88:U88" si="20">SUM(C85:C87)</f>
        <v>154791.74255135781</v>
      </c>
      <c r="D88" s="511">
        <f t="shared" si="20"/>
        <v>155723.27559314884</v>
      </c>
      <c r="E88" s="511">
        <f t="shared" si="20"/>
        <v>152150.4077057098</v>
      </c>
      <c r="F88" s="511">
        <f t="shared" si="20"/>
        <v>153181.21185453696</v>
      </c>
      <c r="G88" s="511">
        <f t="shared" si="20"/>
        <v>154365.36223956518</v>
      </c>
      <c r="H88" s="511">
        <f t="shared" si="20"/>
        <v>154933.66222996812</v>
      </c>
      <c r="I88" s="511">
        <f t="shared" si="20"/>
        <v>155263.00056036748</v>
      </c>
      <c r="J88" s="511">
        <f t="shared" si="20"/>
        <v>155705.58989758661</v>
      </c>
      <c r="K88" s="511">
        <f t="shared" si="20"/>
        <v>155798.87758736653</v>
      </c>
      <c r="L88" s="511">
        <f t="shared" si="20"/>
        <v>153155.23021714238</v>
      </c>
      <c r="M88" s="511">
        <f t="shared" si="20"/>
        <v>149406.6572094569</v>
      </c>
      <c r="N88" s="511">
        <f t="shared" si="20"/>
        <v>144948.30341657769</v>
      </c>
      <c r="O88" s="511">
        <f t="shared" si="20"/>
        <v>139819.46774298255</v>
      </c>
      <c r="P88" s="511">
        <f t="shared" si="20"/>
        <v>134071.50199550236</v>
      </c>
      <c r="Q88" s="511">
        <f t="shared" si="20"/>
        <v>129711.26263061572</v>
      </c>
      <c r="R88" s="511">
        <f t="shared" si="20"/>
        <v>124418.83477618081</v>
      </c>
      <c r="S88" s="511">
        <f t="shared" si="20"/>
        <v>116088.64611470602</v>
      </c>
      <c r="T88" s="511">
        <f t="shared" si="20"/>
        <v>106727.97560942719</v>
      </c>
      <c r="U88" s="511">
        <f t="shared" si="20"/>
        <v>96216.993869752972</v>
      </c>
    </row>
    <row r="89" spans="1:44" outlineLevel="1">
      <c r="A89" s="512" t="s">
        <v>288</v>
      </c>
      <c r="B89" s="514">
        <f>Summary!$D$40</f>
        <v>2.5000000000000001E-3</v>
      </c>
      <c r="C89" s="514">
        <f>Summary!$D$41</f>
        <v>2.5000000000000001E-3</v>
      </c>
      <c r="D89" s="514">
        <f>Summary!$D$41</f>
        <v>2.5000000000000001E-3</v>
      </c>
      <c r="E89" s="514">
        <f>Summary!$D$41</f>
        <v>2.5000000000000001E-3</v>
      </c>
      <c r="F89" s="514">
        <f>Summary!$D$41</f>
        <v>2.5000000000000001E-3</v>
      </c>
      <c r="G89" s="514">
        <f>Summary!$D$41</f>
        <v>2.5000000000000001E-3</v>
      </c>
      <c r="H89" s="514">
        <f>Summary!$D$41</f>
        <v>2.5000000000000001E-3</v>
      </c>
      <c r="I89" s="514">
        <f>Summary!$D$41</f>
        <v>2.5000000000000001E-3</v>
      </c>
      <c r="J89" s="514">
        <f>Summary!$D$41</f>
        <v>2.5000000000000001E-3</v>
      </c>
      <c r="K89" s="514">
        <f>Summary!$D$41</f>
        <v>2.5000000000000001E-3</v>
      </c>
      <c r="L89" s="514">
        <f>Summary!$D$41</f>
        <v>2.5000000000000001E-3</v>
      </c>
      <c r="M89" s="514">
        <f>Summary!$D$41</f>
        <v>2.5000000000000001E-3</v>
      </c>
      <c r="N89" s="514">
        <f>Summary!$D$41</f>
        <v>2.5000000000000001E-3</v>
      </c>
      <c r="O89" s="514">
        <f>Summary!$D$41</f>
        <v>2.5000000000000001E-3</v>
      </c>
      <c r="P89" s="514">
        <f>Summary!$D$41</f>
        <v>2.5000000000000001E-3</v>
      </c>
      <c r="Q89" s="514">
        <f>Summary!$D$41</f>
        <v>2.5000000000000001E-3</v>
      </c>
      <c r="R89" s="514">
        <f>Summary!$D$41</f>
        <v>2.5000000000000001E-3</v>
      </c>
      <c r="S89" s="514">
        <f>Summary!$D$41</f>
        <v>2.5000000000000001E-3</v>
      </c>
      <c r="T89" s="514">
        <f>Summary!$D$41</f>
        <v>2.5000000000000001E-3</v>
      </c>
      <c r="U89" s="514">
        <f>Summary!$D$41</f>
        <v>2.5000000000000001E-3</v>
      </c>
    </row>
    <row r="90" spans="1:44" outlineLevel="1">
      <c r="A90" s="236" t="s">
        <v>281</v>
      </c>
      <c r="B90" s="536">
        <v>391.61587173925977</v>
      </c>
      <c r="C90" s="536">
        <v>384.83113887117429</v>
      </c>
      <c r="D90" s="536">
        <v>387.15746652777671</v>
      </c>
      <c r="E90" s="536">
        <v>378.28024031866147</v>
      </c>
      <c r="F90" s="536">
        <v>380.76860014132012</v>
      </c>
      <c r="G90" s="536">
        <v>383.72790258680368</v>
      </c>
      <c r="H90" s="536">
        <v>385.14702151488865</v>
      </c>
      <c r="I90" s="536">
        <v>385.97990783826151</v>
      </c>
      <c r="J90" s="536">
        <v>387.07735053065329</v>
      </c>
      <c r="K90" s="536">
        <v>387.3161561543929</v>
      </c>
      <c r="L90" s="536">
        <v>380.71756410319023</v>
      </c>
      <c r="M90" s="536">
        <v>371.33833763253045</v>
      </c>
      <c r="N90" s="536">
        <v>360.19693826685341</v>
      </c>
      <c r="O90" s="536">
        <v>347.38021071086229</v>
      </c>
      <c r="P90" s="536">
        <v>333.01628865538396</v>
      </c>
      <c r="Q90" s="536">
        <v>322.09521916197554</v>
      </c>
      <c r="R90" s="536">
        <v>308.85496496588303</v>
      </c>
      <c r="S90" s="536">
        <v>288.02785731691927</v>
      </c>
      <c r="T90" s="536">
        <v>264.61334816383527</v>
      </c>
      <c r="U90" s="536">
        <v>238.3449084409863</v>
      </c>
      <c r="Y90" s="536">
        <f t="shared" ref="Y90:AR90" si="21">Y88*Y89</f>
        <v>0</v>
      </c>
      <c r="Z90" s="536">
        <f t="shared" si="21"/>
        <v>0</v>
      </c>
      <c r="AA90" s="536">
        <f t="shared" si="21"/>
        <v>0</v>
      </c>
      <c r="AB90" s="536">
        <f t="shared" si="21"/>
        <v>0</v>
      </c>
      <c r="AC90" s="536">
        <f t="shared" si="21"/>
        <v>0</v>
      </c>
      <c r="AD90" s="536">
        <f t="shared" si="21"/>
        <v>0</v>
      </c>
      <c r="AE90" s="536">
        <f t="shared" si="21"/>
        <v>0</v>
      </c>
      <c r="AF90" s="536">
        <f t="shared" si="21"/>
        <v>0</v>
      </c>
      <c r="AG90" s="536">
        <f t="shared" si="21"/>
        <v>0</v>
      </c>
      <c r="AH90" s="536">
        <f t="shared" si="21"/>
        <v>0</v>
      </c>
      <c r="AI90" s="536">
        <f t="shared" si="21"/>
        <v>0</v>
      </c>
      <c r="AJ90" s="536">
        <f t="shared" si="21"/>
        <v>0</v>
      </c>
      <c r="AK90" s="536">
        <f t="shared" si="21"/>
        <v>0</v>
      </c>
      <c r="AL90" s="536">
        <f t="shared" si="21"/>
        <v>0</v>
      </c>
      <c r="AM90" s="536">
        <f t="shared" si="21"/>
        <v>0</v>
      </c>
      <c r="AN90" s="536">
        <f t="shared" si="21"/>
        <v>0</v>
      </c>
      <c r="AO90" s="536">
        <f t="shared" si="21"/>
        <v>0</v>
      </c>
      <c r="AP90" s="536">
        <f t="shared" si="21"/>
        <v>0</v>
      </c>
      <c r="AQ90" s="536">
        <f t="shared" si="21"/>
        <v>0</v>
      </c>
      <c r="AR90" s="536">
        <f t="shared" si="21"/>
        <v>0</v>
      </c>
    </row>
    <row r="91" spans="1:44" outlineLevel="1">
      <c r="A91" s="512"/>
      <c r="B91" s="513"/>
      <c r="C91" s="513"/>
      <c r="D91" s="513"/>
      <c r="E91" s="513"/>
      <c r="F91" s="513"/>
      <c r="G91" s="513"/>
      <c r="H91" s="513"/>
      <c r="I91" s="513"/>
      <c r="J91" s="513"/>
      <c r="K91" s="513"/>
      <c r="L91" s="513"/>
      <c r="M91" s="513"/>
      <c r="N91" s="513"/>
      <c r="O91" s="513"/>
      <c r="P91" s="513"/>
      <c r="Q91" s="513"/>
      <c r="R91" s="513"/>
      <c r="S91" s="513"/>
      <c r="T91" s="513"/>
      <c r="U91" s="513"/>
    </row>
    <row r="92" spans="1:44" outlineLevel="1">
      <c r="A92" s="236"/>
      <c r="B92" s="264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spans="1:44" outlineLevel="1">
      <c r="A93" s="237" t="s">
        <v>112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spans="1:44">
      <c r="A94" s="237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spans="1:44" outlineLevel="1">
      <c r="A95" s="23" t="s">
        <v>182</v>
      </c>
      <c r="B95" s="22">
        <f>B44</f>
        <v>3526.1639883061671</v>
      </c>
      <c r="C95" s="22">
        <f t="shared" ref="C95:U95" si="22">C44</f>
        <v>3799.0498570303098</v>
      </c>
      <c r="D95" s="22">
        <f t="shared" si="22"/>
        <v>4114.7889592486645</v>
      </c>
      <c r="E95" s="22">
        <f t="shared" si="22"/>
        <v>14591.309091359944</v>
      </c>
      <c r="F95" s="22">
        <f t="shared" si="22"/>
        <v>16300.12144330716</v>
      </c>
      <c r="G95" s="22">
        <f t="shared" si="22"/>
        <v>16816.652728918765</v>
      </c>
      <c r="H95" s="22">
        <f t="shared" si="22"/>
        <v>17308.148200840857</v>
      </c>
      <c r="I95" s="22">
        <f t="shared" si="22"/>
        <v>17860.532088695916</v>
      </c>
      <c r="J95" s="22">
        <f t="shared" si="22"/>
        <v>18560.67395244812</v>
      </c>
      <c r="K95" s="22">
        <f t="shared" si="22"/>
        <v>18792.082025973181</v>
      </c>
      <c r="L95" s="22">
        <f t="shared" si="22"/>
        <v>19912.578204609283</v>
      </c>
      <c r="M95" s="22">
        <f t="shared" si="22"/>
        <v>21106.527217258168</v>
      </c>
      <c r="N95" s="22">
        <f t="shared" si="22"/>
        <v>22336.987555075546</v>
      </c>
      <c r="O95" s="22">
        <f t="shared" si="22"/>
        <v>23494.430461073491</v>
      </c>
      <c r="P95" s="22">
        <f t="shared" si="22"/>
        <v>24735.242523536981</v>
      </c>
      <c r="Q95" s="22">
        <f t="shared" si="22"/>
        <v>25890.710021076789</v>
      </c>
      <c r="R95" s="22">
        <f t="shared" si="22"/>
        <v>27161.617569224614</v>
      </c>
      <c r="S95" s="22">
        <f t="shared" si="22"/>
        <v>28518.452224162927</v>
      </c>
      <c r="T95" s="22">
        <f t="shared" si="22"/>
        <v>29980.331999120019</v>
      </c>
      <c r="U95" s="22">
        <f t="shared" si="22"/>
        <v>31556.560963695829</v>
      </c>
      <c r="W95" s="483">
        <f>SUM(B95:U95)</f>
        <v>386362.96107496275</v>
      </c>
    </row>
    <row r="96" spans="1:44" outlineLevel="1">
      <c r="A96" s="23" t="s">
        <v>183</v>
      </c>
      <c r="B96" s="22">
        <f>B38</f>
        <v>5537.7827362857115</v>
      </c>
      <c r="C96" s="22">
        <f t="shared" ref="C96:U96" si="23">C38</f>
        <v>5537.7827362857115</v>
      </c>
      <c r="D96" s="22">
        <f t="shared" si="23"/>
        <v>5537.7827362857115</v>
      </c>
      <c r="E96" s="22">
        <f t="shared" si="23"/>
        <v>5537.7827362857115</v>
      </c>
      <c r="F96" s="22">
        <f t="shared" si="23"/>
        <v>5537.7827362857115</v>
      </c>
      <c r="G96" s="22">
        <f t="shared" si="23"/>
        <v>5537.7827362857115</v>
      </c>
      <c r="H96" s="22">
        <f t="shared" si="23"/>
        <v>5537.7827362857115</v>
      </c>
      <c r="I96" s="22">
        <f t="shared" si="23"/>
        <v>5537.7827362857115</v>
      </c>
      <c r="J96" s="22">
        <f t="shared" si="23"/>
        <v>5537.7827362857115</v>
      </c>
      <c r="K96" s="22">
        <f t="shared" si="23"/>
        <v>5537.7827362857115</v>
      </c>
      <c r="L96" s="22">
        <f t="shared" si="23"/>
        <v>5537.7827362857115</v>
      </c>
      <c r="M96" s="22">
        <f t="shared" si="23"/>
        <v>5537.7827362857115</v>
      </c>
      <c r="N96" s="22">
        <f t="shared" si="23"/>
        <v>5537.7827362857115</v>
      </c>
      <c r="O96" s="22">
        <f t="shared" si="23"/>
        <v>5537.7827362857115</v>
      </c>
      <c r="P96" s="22">
        <f t="shared" si="23"/>
        <v>5537.7827362857115</v>
      </c>
      <c r="Q96" s="22">
        <f t="shared" si="23"/>
        <v>5537.7827362857115</v>
      </c>
      <c r="R96" s="22">
        <f t="shared" si="23"/>
        <v>5537.7827362857115</v>
      </c>
      <c r="S96" s="22">
        <f t="shared" si="23"/>
        <v>5537.7827362857115</v>
      </c>
      <c r="T96" s="22">
        <f t="shared" si="23"/>
        <v>5537.7827362857115</v>
      </c>
      <c r="U96" s="22">
        <f t="shared" si="23"/>
        <v>5537.7827362857115</v>
      </c>
      <c r="W96" s="483">
        <f>SUM(B96:U96)</f>
        <v>110755.65472571419</v>
      </c>
    </row>
    <row r="97" spans="1:23" ht="15" outlineLevel="1">
      <c r="A97" s="23" t="s">
        <v>308</v>
      </c>
      <c r="B97" s="240">
        <f>-Depreciation!C75-Depreciation!C112*Allocation!$F$8</f>
        <v>-9229.6378938095186</v>
      </c>
      <c r="C97" s="240">
        <f>-Depreciation!D75-Depreciation!D112*Allocation!$F$8</f>
        <v>-17536.311998238085</v>
      </c>
      <c r="D97" s="240">
        <f>-Depreciation!E75-Depreciation!E112*Allocation!$F$8</f>
        <v>-15782.680798414276</v>
      </c>
      <c r="E97" s="240">
        <f>-Depreciation!F75-Depreciation!F112*Allocation!$F$8</f>
        <v>-14213.642356466657</v>
      </c>
      <c r="F97" s="240">
        <f>-Depreciation!G75-Depreciation!G112*Allocation!$F$8</f>
        <v>-12792.278120819992</v>
      </c>
      <c r="G97" s="240">
        <f>-Depreciation!H75-Depreciation!H112*Allocation!$F$8</f>
        <v>-11500.128815686659</v>
      </c>
      <c r="H97" s="240">
        <f>-Depreciation!I75-Depreciation!I112*Allocation!$F$8</f>
        <v>-10890.97271469523</v>
      </c>
      <c r="I97" s="240">
        <f>-Depreciation!J75-Depreciation!J112*Allocation!$F$8</f>
        <v>-10909.43199048285</v>
      </c>
      <c r="J97" s="240">
        <f>-Depreciation!K75-Depreciation!K112*Allocation!$F$8</f>
        <v>-10890.97271469523</v>
      </c>
      <c r="K97" s="240">
        <f>-Depreciation!L75-Depreciation!L112*Allocation!$F$8</f>
        <v>-10909.43199048285</v>
      </c>
      <c r="L97" s="240">
        <f>-Depreciation!M75-Depreciation!M112*Allocation!$F$8</f>
        <v>-10890.97271469523</v>
      </c>
      <c r="M97" s="240">
        <f>-Depreciation!N75-Depreciation!N112*Allocation!$F$8</f>
        <v>-10909.43199048285</v>
      </c>
      <c r="N97" s="240">
        <f>-Depreciation!O75-Depreciation!O112*Allocation!$F$8</f>
        <v>-10890.97271469523</v>
      </c>
      <c r="O97" s="240">
        <f>-Depreciation!P75-Depreciation!P112*Allocation!$F$8</f>
        <v>-10909.43199048285</v>
      </c>
      <c r="P97" s="240">
        <f>-Depreciation!Q75-Depreciation!Q112*Allocation!$F$8</f>
        <v>-10890.97271469523</v>
      </c>
      <c r="Q97" s="240">
        <f>-Depreciation!R75-Depreciation!R112*Allocation!$F$8</f>
        <v>-5445.486357347615</v>
      </c>
      <c r="R97" s="240">
        <f>-Depreciation!S75-Depreciation!S112*Allocation!$F$8</f>
        <v>0</v>
      </c>
      <c r="S97" s="240">
        <f>-Depreciation!T75-Depreciation!T112*Allocation!$F$8</f>
        <v>0</v>
      </c>
      <c r="T97" s="240">
        <f>-Depreciation!U75-Depreciation!U112*Allocation!$F$8</f>
        <v>0</v>
      </c>
      <c r="U97" s="240">
        <f>-Depreciation!V75-Depreciation!V112*Allocation!$F$8</f>
        <v>0</v>
      </c>
      <c r="W97" s="484">
        <f>SUM(B97:U97)</f>
        <v>-184592.75787619036</v>
      </c>
    </row>
    <row r="98" spans="1:23" outlineLevel="1">
      <c r="A98" s="239" t="s">
        <v>181</v>
      </c>
      <c r="B98" s="24">
        <f t="shared" ref="B98:U98" si="24">SUM(B95:B97)</f>
        <v>-165.69116921763998</v>
      </c>
      <c r="C98" s="24">
        <f t="shared" si="24"/>
        <v>-8199.4794049220636</v>
      </c>
      <c r="D98" s="24">
        <f t="shared" si="24"/>
        <v>-6130.1091028799001</v>
      </c>
      <c r="E98" s="24">
        <f t="shared" si="24"/>
        <v>5915.4494711790012</v>
      </c>
      <c r="F98" s="24">
        <f t="shared" si="24"/>
        <v>9045.6260587728793</v>
      </c>
      <c r="G98" s="24">
        <f t="shared" si="24"/>
        <v>10854.306649517819</v>
      </c>
      <c r="H98" s="24">
        <f t="shared" si="24"/>
        <v>11954.95822243134</v>
      </c>
      <c r="I98" s="24">
        <f t="shared" si="24"/>
        <v>12488.88283449878</v>
      </c>
      <c r="J98" s="24">
        <f t="shared" si="24"/>
        <v>13207.4839740386</v>
      </c>
      <c r="K98" s="24">
        <f t="shared" si="24"/>
        <v>13420.432771776041</v>
      </c>
      <c r="L98" s="24">
        <f t="shared" si="24"/>
        <v>14559.388226199762</v>
      </c>
      <c r="M98" s="24">
        <f t="shared" si="24"/>
        <v>15734.877963061032</v>
      </c>
      <c r="N98" s="24">
        <f t="shared" si="24"/>
        <v>16983.797576666031</v>
      </c>
      <c r="O98" s="24">
        <f t="shared" si="24"/>
        <v>18122.781206876352</v>
      </c>
      <c r="P98" s="24">
        <f t="shared" si="24"/>
        <v>19382.052545127466</v>
      </c>
      <c r="Q98" s="24">
        <f t="shared" si="24"/>
        <v>25983.006400014889</v>
      </c>
      <c r="R98" s="24">
        <f t="shared" si="24"/>
        <v>32699.400305510324</v>
      </c>
      <c r="S98" s="24">
        <f t="shared" si="24"/>
        <v>34056.234960448637</v>
      </c>
      <c r="T98" s="24">
        <f t="shared" si="24"/>
        <v>35518.114735405732</v>
      </c>
      <c r="U98" s="24">
        <f t="shared" si="24"/>
        <v>37094.343699981539</v>
      </c>
      <c r="W98" s="483">
        <f>SUM(B98:U98)</f>
        <v>312525.85792448657</v>
      </c>
    </row>
    <row r="99" spans="1:23" outlineLevel="1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</row>
    <row r="100" spans="1:23" outlineLevel="1">
      <c r="A100" s="23" t="s">
        <v>53</v>
      </c>
      <c r="B100" s="481">
        <f>Summary!$D$37</f>
        <v>0.05</v>
      </c>
      <c r="C100" s="481">
        <f>Summary!$D$37</f>
        <v>0.05</v>
      </c>
      <c r="D100" s="481">
        <f>Summary!$D$37</f>
        <v>0.05</v>
      </c>
      <c r="E100" s="481">
        <f>Summary!$D$37</f>
        <v>0.05</v>
      </c>
      <c r="F100" s="481">
        <f>Summary!$D$37</f>
        <v>0.05</v>
      </c>
      <c r="G100" s="481">
        <f>Summary!$D$37</f>
        <v>0.05</v>
      </c>
      <c r="H100" s="481">
        <f>Summary!$D$37</f>
        <v>0.05</v>
      </c>
      <c r="I100" s="481">
        <f>Summary!$D$37</f>
        <v>0.05</v>
      </c>
      <c r="J100" s="481">
        <f>Summary!$D$37</f>
        <v>0.05</v>
      </c>
      <c r="K100" s="481">
        <f>Summary!$D$37</f>
        <v>0.05</v>
      </c>
      <c r="L100" s="481">
        <f>Summary!$D$37</f>
        <v>0.05</v>
      </c>
      <c r="M100" s="481">
        <f>Summary!$D$37</f>
        <v>0.05</v>
      </c>
      <c r="N100" s="481">
        <f>Summary!$D$37</f>
        <v>0.05</v>
      </c>
      <c r="O100" s="481">
        <f>Summary!$D$37</f>
        <v>0.05</v>
      </c>
      <c r="P100" s="481">
        <f>Summary!$D$37</f>
        <v>0.05</v>
      </c>
      <c r="Q100" s="481">
        <f>Summary!$D$37</f>
        <v>0.05</v>
      </c>
      <c r="R100" s="481">
        <f>Summary!$D$37</f>
        <v>0.05</v>
      </c>
      <c r="S100" s="481">
        <f>Summary!$D$37</f>
        <v>0.05</v>
      </c>
      <c r="T100" s="481">
        <f>Summary!$D$37</f>
        <v>0.05</v>
      </c>
      <c r="U100" s="481">
        <f>Summary!$D$37</f>
        <v>0.05</v>
      </c>
    </row>
    <row r="101" spans="1:23" outlineLevel="1">
      <c r="A101" s="23" t="s">
        <v>184</v>
      </c>
      <c r="B101" s="22">
        <f>B98*B100</f>
        <v>-8.2845584608819998</v>
      </c>
      <c r="C101" s="22">
        <f t="shared" ref="C101:U101" si="25">C98*C100</f>
        <v>-409.97397024610319</v>
      </c>
      <c r="D101" s="22">
        <f t="shared" si="25"/>
        <v>-306.50545514399499</v>
      </c>
      <c r="E101" s="22">
        <f t="shared" si="25"/>
        <v>295.77247355895008</v>
      </c>
      <c r="F101" s="22">
        <f t="shared" si="25"/>
        <v>452.28130293864399</v>
      </c>
      <c r="G101" s="22">
        <f t="shared" si="25"/>
        <v>542.71533247589093</v>
      </c>
      <c r="H101" s="22">
        <f t="shared" si="25"/>
        <v>597.74791112156697</v>
      </c>
      <c r="I101" s="22">
        <f t="shared" si="25"/>
        <v>624.44414172493907</v>
      </c>
      <c r="J101" s="22">
        <f t="shared" si="25"/>
        <v>660.37419870193003</v>
      </c>
      <c r="K101" s="22">
        <f t="shared" si="25"/>
        <v>671.02163858880203</v>
      </c>
      <c r="L101" s="22">
        <f t="shared" si="25"/>
        <v>727.96941130998812</v>
      </c>
      <c r="M101" s="22">
        <f t="shared" si="25"/>
        <v>786.74389815305165</v>
      </c>
      <c r="N101" s="22">
        <f t="shared" si="25"/>
        <v>849.18987883330158</v>
      </c>
      <c r="O101" s="22">
        <f t="shared" si="25"/>
        <v>906.13906034381762</v>
      </c>
      <c r="P101" s="22">
        <f t="shared" si="25"/>
        <v>969.10262725637335</v>
      </c>
      <c r="Q101" s="22">
        <f t="shared" si="25"/>
        <v>1299.1503200007446</v>
      </c>
      <c r="R101" s="22">
        <f t="shared" si="25"/>
        <v>1634.9700152755163</v>
      </c>
      <c r="S101" s="22">
        <f t="shared" si="25"/>
        <v>1702.8117480224319</v>
      </c>
      <c r="T101" s="22">
        <f t="shared" si="25"/>
        <v>1775.9057367702867</v>
      </c>
      <c r="U101" s="22">
        <f t="shared" si="25"/>
        <v>1854.7171849990771</v>
      </c>
    </row>
    <row r="102" spans="1:23" outlineLevel="1">
      <c r="A102" s="23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</row>
    <row r="103" spans="1:23" outlineLevel="1">
      <c r="A103" s="23" t="s">
        <v>185</v>
      </c>
      <c r="B103" s="22">
        <v>0</v>
      </c>
      <c r="C103" s="22">
        <f t="shared" ref="C103:U103" si="26">B107</f>
        <v>8.2845584608819998</v>
      </c>
      <c r="D103" s="22">
        <f t="shared" si="26"/>
        <v>418.2585287069852</v>
      </c>
      <c r="E103" s="22">
        <f t="shared" si="26"/>
        <v>724.76398385098014</v>
      </c>
      <c r="F103" s="22">
        <f t="shared" si="26"/>
        <v>428.99151029203006</v>
      </c>
      <c r="G103" s="22">
        <f t="shared" si="26"/>
        <v>0</v>
      </c>
      <c r="H103" s="22">
        <f t="shared" si="26"/>
        <v>0</v>
      </c>
      <c r="I103" s="22">
        <f t="shared" si="26"/>
        <v>0</v>
      </c>
      <c r="J103" s="22">
        <f t="shared" si="26"/>
        <v>0</v>
      </c>
      <c r="K103" s="22">
        <f t="shared" si="26"/>
        <v>0</v>
      </c>
      <c r="L103" s="22">
        <f t="shared" si="26"/>
        <v>0</v>
      </c>
      <c r="M103" s="22">
        <f t="shared" si="26"/>
        <v>0</v>
      </c>
      <c r="N103" s="22">
        <f>M107</f>
        <v>0</v>
      </c>
      <c r="O103" s="22">
        <f t="shared" si="26"/>
        <v>0</v>
      </c>
      <c r="P103" s="22">
        <f t="shared" si="26"/>
        <v>0</v>
      </c>
      <c r="Q103" s="22">
        <f t="shared" si="26"/>
        <v>0</v>
      </c>
      <c r="R103" s="22">
        <v>0</v>
      </c>
      <c r="S103" s="22">
        <f t="shared" si="26"/>
        <v>0</v>
      </c>
      <c r="T103" s="22">
        <f t="shared" si="26"/>
        <v>0</v>
      </c>
      <c r="U103" s="22">
        <f t="shared" si="26"/>
        <v>0</v>
      </c>
    </row>
    <row r="104" spans="1:23" outlineLevel="1">
      <c r="A104" s="23" t="s">
        <v>186</v>
      </c>
      <c r="B104" s="255">
        <f t="shared" ref="B104:U104" si="27">IF(B77&gt;2020,0,IF(B101&lt;0,-B101,0))</f>
        <v>8.2845584608819998</v>
      </c>
      <c r="C104" s="255">
        <f t="shared" si="27"/>
        <v>409.97397024610319</v>
      </c>
      <c r="D104" s="255">
        <f t="shared" si="27"/>
        <v>306.50545514399499</v>
      </c>
      <c r="E104" s="255">
        <f t="shared" si="27"/>
        <v>0</v>
      </c>
      <c r="F104" s="255">
        <f t="shared" si="27"/>
        <v>0</v>
      </c>
      <c r="G104" s="255">
        <f t="shared" si="27"/>
        <v>0</v>
      </c>
      <c r="H104" s="255">
        <f t="shared" si="27"/>
        <v>0</v>
      </c>
      <c r="I104" s="255">
        <f t="shared" si="27"/>
        <v>0</v>
      </c>
      <c r="J104" s="255">
        <f t="shared" si="27"/>
        <v>0</v>
      </c>
      <c r="K104" s="255">
        <f t="shared" si="27"/>
        <v>0</v>
      </c>
      <c r="L104" s="255">
        <f t="shared" si="27"/>
        <v>0</v>
      </c>
      <c r="M104" s="255">
        <f t="shared" si="27"/>
        <v>0</v>
      </c>
      <c r="N104" s="255">
        <f t="shared" si="27"/>
        <v>0</v>
      </c>
      <c r="O104" s="255">
        <f t="shared" si="27"/>
        <v>0</v>
      </c>
      <c r="P104" s="255">
        <f t="shared" si="27"/>
        <v>0</v>
      </c>
      <c r="Q104" s="255">
        <f t="shared" si="27"/>
        <v>0</v>
      </c>
      <c r="R104" s="255">
        <f t="shared" si="27"/>
        <v>0</v>
      </c>
      <c r="S104" s="255">
        <f t="shared" si="27"/>
        <v>0</v>
      </c>
      <c r="T104" s="255">
        <f t="shared" si="27"/>
        <v>0</v>
      </c>
      <c r="U104" s="255">
        <f t="shared" si="27"/>
        <v>0</v>
      </c>
    </row>
    <row r="105" spans="1:23" outlineLevel="1">
      <c r="A105" s="23" t="s">
        <v>187</v>
      </c>
      <c r="B105" s="241">
        <v>0</v>
      </c>
      <c r="C105" s="241">
        <v>0</v>
      </c>
      <c r="D105" s="241">
        <v>0</v>
      </c>
      <c r="E105" s="241">
        <v>0</v>
      </c>
      <c r="F105" s="241">
        <v>0</v>
      </c>
      <c r="G105" s="241">
        <v>0</v>
      </c>
      <c r="H105" s="241">
        <v>0</v>
      </c>
      <c r="I105" s="241">
        <v>0</v>
      </c>
      <c r="J105" s="241">
        <v>0</v>
      </c>
      <c r="K105" s="241">
        <v>0</v>
      </c>
      <c r="L105" s="241">
        <v>0</v>
      </c>
      <c r="M105" s="241">
        <v>0</v>
      </c>
      <c r="N105" s="241">
        <v>0</v>
      </c>
      <c r="O105" s="241">
        <v>0</v>
      </c>
      <c r="P105" s="241">
        <v>0</v>
      </c>
      <c r="Q105" s="241">
        <v>0</v>
      </c>
      <c r="R105" s="241">
        <v>0</v>
      </c>
      <c r="S105" s="241">
        <v>0</v>
      </c>
      <c r="T105" s="22">
        <f>IF(L104&gt;(SUM(M106:S106)+SUM(L105:S105))*-1,L104-(SUM(L106:S106)+SUM(L105:S105))*-1,0)</f>
        <v>0</v>
      </c>
      <c r="U105" s="22">
        <f>IF(M104&gt;(SUM(N106:T106)+SUM(M105:T105))*-1,M104-(SUM(M106:T106)+SUM(M105:T105))*-1,0)</f>
        <v>0</v>
      </c>
    </row>
    <row r="106" spans="1:23" outlineLevel="1">
      <c r="A106" s="19" t="s">
        <v>188</v>
      </c>
      <c r="B106" s="242">
        <f t="shared" ref="B106:T106" si="28">IF(B101&lt;0,0,IF(B103&gt;B101,-B101,-B103))</f>
        <v>0</v>
      </c>
      <c r="C106" s="242">
        <f t="shared" si="28"/>
        <v>0</v>
      </c>
      <c r="D106" s="242">
        <f t="shared" si="28"/>
        <v>0</v>
      </c>
      <c r="E106" s="242">
        <f t="shared" si="28"/>
        <v>-295.77247355895008</v>
      </c>
      <c r="F106" s="242">
        <f t="shared" si="28"/>
        <v>-428.99151029203006</v>
      </c>
      <c r="G106" s="242">
        <f t="shared" si="28"/>
        <v>0</v>
      </c>
      <c r="H106" s="242">
        <f t="shared" si="28"/>
        <v>0</v>
      </c>
      <c r="I106" s="242">
        <f t="shared" si="28"/>
        <v>0</v>
      </c>
      <c r="J106" s="242">
        <f t="shared" si="28"/>
        <v>0</v>
      </c>
      <c r="K106" s="242">
        <f t="shared" si="28"/>
        <v>0</v>
      </c>
      <c r="L106" s="242">
        <f t="shared" si="28"/>
        <v>0</v>
      </c>
      <c r="M106" s="242">
        <f t="shared" si="28"/>
        <v>0</v>
      </c>
      <c r="N106" s="242">
        <f t="shared" si="28"/>
        <v>0</v>
      </c>
      <c r="O106" s="242">
        <f t="shared" si="28"/>
        <v>0</v>
      </c>
      <c r="P106" s="242">
        <f t="shared" si="28"/>
        <v>0</v>
      </c>
      <c r="Q106" s="242">
        <f t="shared" si="28"/>
        <v>0</v>
      </c>
      <c r="R106" s="242">
        <f t="shared" si="28"/>
        <v>0</v>
      </c>
      <c r="S106" s="242">
        <f t="shared" si="28"/>
        <v>0</v>
      </c>
      <c r="T106" s="242">
        <f t="shared" si="28"/>
        <v>0</v>
      </c>
      <c r="U106" s="242">
        <f>IF(U101&lt;0,0,IF(U103&gt;U101,-U101,-U103))</f>
        <v>0</v>
      </c>
    </row>
    <row r="107" spans="1:23" outlineLevel="1">
      <c r="A107" s="19" t="s">
        <v>189</v>
      </c>
      <c r="B107" s="242">
        <f t="shared" ref="B107:U107" si="29">SUM(B103:B106)</f>
        <v>8.2845584608819998</v>
      </c>
      <c r="C107" s="242">
        <f t="shared" si="29"/>
        <v>418.2585287069852</v>
      </c>
      <c r="D107" s="242">
        <f t="shared" si="29"/>
        <v>724.76398385098014</v>
      </c>
      <c r="E107" s="242">
        <f t="shared" si="29"/>
        <v>428.99151029203006</v>
      </c>
      <c r="F107" s="242">
        <f t="shared" si="29"/>
        <v>0</v>
      </c>
      <c r="G107" s="242">
        <f t="shared" si="29"/>
        <v>0</v>
      </c>
      <c r="H107" s="242">
        <f t="shared" si="29"/>
        <v>0</v>
      </c>
      <c r="I107" s="242">
        <f t="shared" si="29"/>
        <v>0</v>
      </c>
      <c r="J107" s="242">
        <f t="shared" si="29"/>
        <v>0</v>
      </c>
      <c r="K107" s="242">
        <f t="shared" si="29"/>
        <v>0</v>
      </c>
      <c r="L107" s="242">
        <f t="shared" si="29"/>
        <v>0</v>
      </c>
      <c r="M107" s="242">
        <f t="shared" si="29"/>
        <v>0</v>
      </c>
      <c r="N107" s="242">
        <f t="shared" si="29"/>
        <v>0</v>
      </c>
      <c r="O107" s="242">
        <f t="shared" si="29"/>
        <v>0</v>
      </c>
      <c r="P107" s="242">
        <f t="shared" si="29"/>
        <v>0</v>
      </c>
      <c r="Q107" s="242">
        <f t="shared" si="29"/>
        <v>0</v>
      </c>
      <c r="R107" s="242">
        <f t="shared" si="29"/>
        <v>0</v>
      </c>
      <c r="S107" s="242">
        <f t="shared" si="29"/>
        <v>0</v>
      </c>
      <c r="T107" s="242">
        <f t="shared" si="29"/>
        <v>0</v>
      </c>
      <c r="U107" s="242">
        <f t="shared" si="29"/>
        <v>0</v>
      </c>
    </row>
    <row r="108" spans="1:23" outlineLevel="1">
      <c r="A108" s="19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</row>
    <row r="109" spans="1:23" ht="13.5" outlineLevel="1" thickBot="1">
      <c r="A109" s="34" t="s">
        <v>180</v>
      </c>
      <c r="B109" s="367">
        <f t="shared" ref="B109:U109" si="30">IF(B101&lt;0,0,B101+B106)</f>
        <v>0</v>
      </c>
      <c r="C109" s="367">
        <f t="shared" si="30"/>
        <v>0</v>
      </c>
      <c r="D109" s="367">
        <f t="shared" si="30"/>
        <v>0</v>
      </c>
      <c r="E109" s="367">
        <f t="shared" si="30"/>
        <v>0</v>
      </c>
      <c r="F109" s="367">
        <f t="shared" si="30"/>
        <v>23.289792646613932</v>
      </c>
      <c r="G109" s="367">
        <f t="shared" si="30"/>
        <v>542.71533247589093</v>
      </c>
      <c r="H109" s="367">
        <f t="shared" si="30"/>
        <v>597.74791112156697</v>
      </c>
      <c r="I109" s="367">
        <f t="shared" si="30"/>
        <v>624.44414172493907</v>
      </c>
      <c r="J109" s="367">
        <f t="shared" si="30"/>
        <v>660.37419870193003</v>
      </c>
      <c r="K109" s="367">
        <f t="shared" si="30"/>
        <v>671.02163858880203</v>
      </c>
      <c r="L109" s="367">
        <f t="shared" si="30"/>
        <v>727.96941130998812</v>
      </c>
      <c r="M109" s="367">
        <f t="shared" si="30"/>
        <v>786.74389815305165</v>
      </c>
      <c r="N109" s="367">
        <f t="shared" si="30"/>
        <v>849.18987883330158</v>
      </c>
      <c r="O109" s="367">
        <f t="shared" si="30"/>
        <v>906.13906034381762</v>
      </c>
      <c r="P109" s="367">
        <f t="shared" si="30"/>
        <v>969.10262725637335</v>
      </c>
      <c r="Q109" s="367">
        <f t="shared" si="30"/>
        <v>1299.1503200007446</v>
      </c>
      <c r="R109" s="367">
        <f t="shared" si="30"/>
        <v>1634.9700152755163</v>
      </c>
      <c r="S109" s="367">
        <f t="shared" si="30"/>
        <v>1702.8117480224319</v>
      </c>
      <c r="T109" s="367">
        <f t="shared" si="30"/>
        <v>1775.9057367702867</v>
      </c>
      <c r="U109" s="367">
        <f t="shared" si="30"/>
        <v>1854.7171849990771</v>
      </c>
      <c r="W109" s="483">
        <f>SUM(B109:U109)</f>
        <v>15626.292896224331</v>
      </c>
    </row>
    <row r="110" spans="1:23" outlineLevel="1">
      <c r="A110" s="7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61"/>
      <c r="M110" s="61"/>
      <c r="N110" s="61"/>
      <c r="O110" s="61"/>
      <c r="P110" s="61"/>
      <c r="Q110" s="61"/>
      <c r="R110" s="61"/>
      <c r="S110" s="61"/>
      <c r="T110" s="61"/>
      <c r="U110" s="61"/>
    </row>
    <row r="111" spans="1:23" ht="15.75" outlineLevel="1">
      <c r="A111" s="74"/>
      <c r="B111" s="7"/>
      <c r="C111" s="75"/>
      <c r="D111" s="7"/>
      <c r="E111" s="7"/>
      <c r="F111" s="7"/>
      <c r="G111" s="7"/>
      <c r="H111" s="7"/>
      <c r="I111" s="7"/>
      <c r="J111" s="7"/>
      <c r="K111" s="7"/>
      <c r="L111" s="61"/>
      <c r="M111" s="61"/>
      <c r="N111" s="61"/>
      <c r="O111" s="61"/>
      <c r="P111" s="61"/>
      <c r="Q111" s="61"/>
      <c r="R111" s="61"/>
      <c r="S111" s="61"/>
      <c r="T111" s="61"/>
      <c r="U111" s="61"/>
    </row>
    <row r="112" spans="1:23" outlineLevel="1">
      <c r="A112" s="59"/>
      <c r="B112" s="75"/>
      <c r="C112" s="78"/>
      <c r="D112" s="79"/>
      <c r="E112" s="79"/>
      <c r="F112" s="79"/>
      <c r="G112" s="79"/>
      <c r="H112" s="79"/>
      <c r="I112" s="79"/>
      <c r="J112" s="79"/>
      <c r="K112" s="79"/>
      <c r="L112" s="61"/>
      <c r="M112" s="61"/>
      <c r="N112" s="61"/>
      <c r="O112" s="61"/>
      <c r="P112" s="61"/>
      <c r="Q112" s="61"/>
      <c r="R112" s="61"/>
      <c r="S112" s="61"/>
      <c r="T112" s="61"/>
      <c r="U112" s="61"/>
    </row>
    <row r="113" spans="1:21" outlineLevel="1">
      <c r="A113" s="59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61"/>
      <c r="M113" s="61"/>
      <c r="N113" s="61"/>
      <c r="O113" s="61"/>
      <c r="P113" s="61"/>
      <c r="Q113" s="61"/>
      <c r="R113" s="61"/>
      <c r="S113" s="61"/>
      <c r="T113" s="61"/>
      <c r="U113" s="61"/>
    </row>
    <row r="114" spans="1:21" outlineLevel="1">
      <c r="A114" s="7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61"/>
      <c r="M114" s="61"/>
      <c r="N114" s="61"/>
      <c r="O114" s="61"/>
      <c r="P114" s="61"/>
      <c r="Q114" s="61"/>
      <c r="R114" s="61"/>
      <c r="S114" s="61"/>
      <c r="T114" s="61"/>
      <c r="U114" s="61"/>
    </row>
    <row r="115" spans="1:21" outlineLevel="1">
      <c r="A115" s="7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61"/>
      <c r="M115" s="61"/>
      <c r="N115" s="61"/>
      <c r="O115" s="61"/>
      <c r="P115" s="61"/>
      <c r="Q115" s="61"/>
      <c r="R115" s="61"/>
      <c r="S115" s="61"/>
      <c r="T115" s="61"/>
      <c r="U115" s="61"/>
    </row>
    <row r="116" spans="1:21" outlineLevel="1">
      <c r="A116" s="7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61"/>
      <c r="M116" s="61"/>
      <c r="N116" s="61"/>
      <c r="O116" s="61"/>
      <c r="P116" s="61"/>
      <c r="Q116" s="61"/>
      <c r="R116" s="61"/>
      <c r="S116" s="61"/>
      <c r="T116" s="61"/>
      <c r="U116" s="61"/>
    </row>
    <row r="117" spans="1:21" outlineLevel="1">
      <c r="A117" s="7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61"/>
      <c r="M117" s="61"/>
      <c r="N117" s="61"/>
      <c r="O117" s="61"/>
      <c r="P117" s="61"/>
      <c r="Q117" s="61"/>
      <c r="R117" s="61"/>
      <c r="S117" s="61"/>
      <c r="T117" s="61"/>
      <c r="U117" s="61"/>
    </row>
    <row r="118" spans="1:21" outlineLevel="1">
      <c r="A118" s="59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61"/>
      <c r="M118" s="61"/>
      <c r="N118" s="61"/>
      <c r="O118" s="61"/>
      <c r="P118" s="61"/>
      <c r="Q118" s="61"/>
      <c r="R118" s="61"/>
      <c r="S118" s="61"/>
      <c r="T118" s="61"/>
      <c r="U118" s="61"/>
    </row>
    <row r="119" spans="1:21" outlineLevel="1">
      <c r="A119" s="59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61"/>
      <c r="M119" s="61"/>
      <c r="N119" s="61"/>
      <c r="O119" s="61"/>
      <c r="P119" s="61"/>
      <c r="Q119" s="61"/>
      <c r="R119" s="61"/>
      <c r="S119" s="61"/>
      <c r="T119" s="61"/>
      <c r="U119" s="61"/>
    </row>
    <row r="120" spans="1:21" outlineLevel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61"/>
      <c r="M120" s="61"/>
      <c r="N120" s="61"/>
      <c r="O120" s="61"/>
      <c r="P120" s="61"/>
      <c r="Q120" s="61"/>
      <c r="R120" s="61"/>
      <c r="S120" s="61"/>
      <c r="T120" s="61"/>
      <c r="U120" s="61"/>
    </row>
    <row r="121" spans="1:21" outlineLevel="1">
      <c r="A121" s="7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61"/>
      <c r="M121" s="61"/>
      <c r="N121" s="61"/>
      <c r="O121" s="61"/>
      <c r="P121" s="61"/>
      <c r="Q121" s="61"/>
      <c r="R121" s="61"/>
      <c r="S121" s="61"/>
      <c r="T121" s="61"/>
      <c r="U121" s="61"/>
    </row>
    <row r="122" spans="1:21" ht="14.25" outlineLevel="1">
      <c r="A122" s="77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61"/>
      <c r="M122" s="61"/>
      <c r="N122" s="61"/>
      <c r="O122" s="61"/>
      <c r="P122" s="61"/>
      <c r="Q122" s="61"/>
      <c r="R122" s="61"/>
      <c r="S122" s="61"/>
      <c r="T122" s="61"/>
      <c r="U122" s="61"/>
    </row>
    <row r="123" spans="1:21" outlineLevel="1">
      <c r="A123" s="80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</row>
    <row r="124" spans="1:21" outlineLevel="1">
      <c r="A124" s="8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</row>
    <row r="125" spans="1:21" outlineLevel="1">
      <c r="A125" s="8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</row>
    <row r="126" spans="1:21" outlineLevel="1">
      <c r="A126" s="8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</row>
    <row r="127" spans="1:21" outlineLevel="1">
      <c r="A127" s="8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</row>
    <row r="128" spans="1:21" outlineLevel="1">
      <c r="A128" s="8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</row>
    <row r="129" spans="1:21" outlineLevel="1">
      <c r="A129" s="8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</row>
    <row r="130" spans="1:21" outlineLevel="1">
      <c r="A130" s="8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</row>
    <row r="131" spans="1:21" outlineLevel="1">
      <c r="A131" s="82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</row>
    <row r="132" spans="1:21" outlineLevel="1">
      <c r="A132" s="83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</row>
    <row r="133" spans="1:21" outlineLevel="1">
      <c r="A133" s="8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</row>
    <row r="134" spans="1:21" outlineLevel="1">
      <c r="A134" s="8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</row>
    <row r="135" spans="1:21" outlineLevel="1">
      <c r="A135" s="84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</row>
    <row r="136" spans="1:21" outlineLevel="1">
      <c r="A136" s="84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</row>
    <row r="137" spans="1:21" outlineLevel="1">
      <c r="A137" s="8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</row>
    <row r="138" spans="1:21" outlineLevel="1">
      <c r="A138" s="84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</row>
    <row r="139" spans="1:21" outlineLevel="1">
      <c r="A139" s="8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</row>
    <row r="140" spans="1:21" outlineLevel="1">
      <c r="A140" s="8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</row>
    <row r="141" spans="1:21" outlineLevel="1">
      <c r="A141" s="8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</row>
    <row r="142" spans="1:21" outlineLevel="1">
      <c r="A142" s="84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</row>
    <row r="143" spans="1:21" outlineLevel="1">
      <c r="A143" s="80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</row>
    <row r="144" spans="1:21" outlineLevel="1">
      <c r="A144" s="82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</row>
    <row r="145" spans="1:21" outlineLevel="1">
      <c r="A145" s="82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</row>
    <row r="146" spans="1:21" ht="15" customHeight="1" outlineLevel="1">
      <c r="A146" s="82"/>
      <c r="B146" s="71"/>
      <c r="C146" s="7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</row>
    <row r="147" spans="1:21" outlineLevel="1">
      <c r="A147" s="82"/>
      <c r="B147" s="71"/>
      <c r="C147" s="7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</row>
    <row r="148" spans="1:21" ht="14.25" customHeight="1" outlineLevel="1">
      <c r="A148" s="82"/>
      <c r="B148" s="71"/>
      <c r="C148" s="7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</row>
    <row r="149" spans="1:21" outlineLevel="1">
      <c r="A149" s="82"/>
      <c r="B149" s="71"/>
      <c r="C149" s="7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</row>
    <row r="150" spans="1:21" outlineLevel="1">
      <c r="A150" s="82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1:21" outlineLevel="1">
      <c r="A151" s="85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1:21" outlineLevel="1">
      <c r="A152" s="85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1:21" outlineLevel="1">
      <c r="A153" s="85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1:21" outlineLevel="1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1:21" outlineLevel="1">
      <c r="A155" s="7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1:21" outlineLevel="1">
      <c r="A156" s="7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</row>
    <row r="157" spans="1:21" outlineLevel="1">
      <c r="A157" s="7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</row>
    <row r="158" spans="1:21" ht="18.75" outlineLevel="1">
      <c r="A158" s="86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</row>
    <row r="159" spans="1:21" outlineLevel="1">
      <c r="A159" s="59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</row>
    <row r="160" spans="1:21" outlineLevel="1">
      <c r="A160" s="59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</row>
    <row r="161" spans="1:21" outlineLevel="1">
      <c r="A161" s="7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</row>
    <row r="162" spans="1:21" outlineLevel="1">
      <c r="A162" s="7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</row>
    <row r="163" spans="1:21" outlineLevel="1">
      <c r="A163" s="2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</row>
    <row r="164" spans="1:21" outlineLevel="1">
      <c r="A164" s="82"/>
      <c r="B164" s="71"/>
      <c r="C164" s="7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</row>
    <row r="165" spans="1:21" outlineLevel="1">
      <c r="A165" s="81"/>
      <c r="B165" s="71"/>
      <c r="C165" s="7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</row>
    <row r="166" spans="1:21" outlineLevel="1">
      <c r="A166" s="81"/>
      <c r="B166" s="71"/>
      <c r="C166" s="7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</row>
    <row r="167" spans="1:21" outlineLevel="1">
      <c r="A167" s="80"/>
      <c r="B167" s="71"/>
      <c r="C167" s="7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</row>
    <row r="168" spans="1:21" outlineLevel="1">
      <c r="A168" s="71"/>
      <c r="B168" s="71"/>
      <c r="C168" s="7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</row>
    <row r="169" spans="1:21" outlineLevel="1">
      <c r="A169" s="82"/>
      <c r="B169" s="71"/>
      <c r="C169" s="7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</row>
    <row r="170" spans="1:21" outlineLevel="1">
      <c r="A170" s="81"/>
      <c r="B170" s="71"/>
      <c r="C170" s="7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</row>
    <row r="171" spans="1:21" outlineLevel="1">
      <c r="A171" s="81"/>
      <c r="B171" s="71"/>
      <c r="C171" s="7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</row>
    <row r="172" spans="1:21" outlineLevel="1">
      <c r="A172" s="81"/>
      <c r="B172" s="71"/>
      <c r="C172" s="7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</row>
    <row r="173" spans="1:21" outlineLevel="1">
      <c r="A173" s="81"/>
      <c r="B173" s="71"/>
      <c r="C173" s="7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</row>
    <row r="174" spans="1:21" outlineLevel="1">
      <c r="A174" s="71"/>
      <c r="B174" s="71"/>
      <c r="C174" s="7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</row>
    <row r="175" spans="1:21" outlineLevel="1">
      <c r="A175" s="82"/>
      <c r="B175" s="71"/>
      <c r="C175" s="7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</row>
    <row r="176" spans="1:21" outlineLevel="1">
      <c r="A176" s="71"/>
      <c r="B176" s="71"/>
      <c r="C176" s="7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</row>
    <row r="177" spans="1:21" outlineLevel="1">
      <c r="A177" s="82"/>
      <c r="B177" s="71"/>
      <c r="C177" s="7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</row>
    <row r="178" spans="1:21" outlineLevel="1">
      <c r="A178" s="81"/>
      <c r="B178" s="71"/>
      <c r="C178" s="7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</row>
    <row r="179" spans="1:21" outlineLevel="1">
      <c r="A179" s="82"/>
      <c r="B179" s="71"/>
      <c r="C179" s="7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</row>
    <row r="180" spans="1:21" outlineLevel="1">
      <c r="A180" s="84"/>
      <c r="B180" s="71"/>
      <c r="C180" s="7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</row>
    <row r="181" spans="1:21" outlineLevel="1">
      <c r="A181" s="81"/>
      <c r="B181" s="71"/>
      <c r="C181" s="7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</row>
    <row r="182" spans="1:21" outlineLevel="1">
      <c r="A182" s="80"/>
      <c r="B182" s="71"/>
      <c r="C182" s="7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</row>
    <row r="183" spans="1:21" outlineLevel="1">
      <c r="A183" s="81"/>
      <c r="B183" s="71"/>
      <c r="C183" s="7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</row>
    <row r="184" spans="1:21" outlineLevel="1">
      <c r="A184" s="80"/>
      <c r="B184" s="71"/>
      <c r="C184" s="7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</row>
    <row r="185" spans="1:21" outlineLevel="1">
      <c r="A185" s="81"/>
      <c r="B185" s="71"/>
      <c r="C185" s="7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</row>
    <row r="186" spans="1:21" outlineLevel="1">
      <c r="A186" s="81"/>
      <c r="B186" s="71"/>
      <c r="C186" s="7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</row>
    <row r="187" spans="1:21" outlineLevel="1">
      <c r="A187" s="81"/>
      <c r="B187" s="71"/>
      <c r="C187" s="7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</row>
    <row r="188" spans="1:21" outlineLevel="1">
      <c r="A188" s="81"/>
      <c r="B188" s="71"/>
      <c r="C188" s="7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</row>
    <row r="189" spans="1:21" outlineLevel="1">
      <c r="A189" s="81"/>
      <c r="B189" s="71"/>
      <c r="C189" s="7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</row>
    <row r="190" spans="1:21" outlineLevel="1">
      <c r="A190" s="81"/>
      <c r="B190" s="71"/>
      <c r="C190" s="7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</row>
    <row r="191" spans="1:21" outlineLevel="1">
      <c r="A191" s="82"/>
      <c r="B191" s="71"/>
      <c r="C191" s="7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</row>
    <row r="192" spans="1:21" outlineLevel="1">
      <c r="A192" s="83"/>
      <c r="B192" s="71"/>
      <c r="C192" s="7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</row>
    <row r="193" spans="1:21" outlineLevel="1">
      <c r="A193" s="81"/>
      <c r="B193" s="71"/>
      <c r="C193" s="7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</row>
    <row r="194" spans="1:21" outlineLevel="1">
      <c r="A194" s="84"/>
      <c r="B194" s="71"/>
      <c r="C194" s="7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</row>
    <row r="195" spans="1:21" outlineLevel="1">
      <c r="A195" s="84"/>
      <c r="B195" s="71"/>
      <c r="C195" s="7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</row>
    <row r="196" spans="1:21" outlineLevel="1">
      <c r="A196" s="81"/>
      <c r="B196" s="71"/>
      <c r="C196" s="7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</row>
    <row r="197" spans="1:21" outlineLevel="1">
      <c r="A197" s="81"/>
      <c r="B197" s="71"/>
      <c r="C197" s="7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</row>
    <row r="198" spans="1:21" outlineLevel="1">
      <c r="A198" s="80"/>
      <c r="B198" s="71"/>
      <c r="C198" s="7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</row>
    <row r="199" spans="1:21" outlineLevel="1">
      <c r="A199" s="82"/>
      <c r="B199" s="71"/>
      <c r="C199" s="7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</row>
    <row r="200" spans="1:21" outlineLevel="1">
      <c r="A200" s="82"/>
      <c r="B200" s="71"/>
      <c r="C200" s="7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</row>
    <row r="201" spans="1:21" outlineLevel="1">
      <c r="A201" s="82"/>
      <c r="B201" s="71"/>
      <c r="C201" s="7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</row>
    <row r="202" spans="1:21" outlineLevel="1">
      <c r="A202" s="82"/>
      <c r="B202" s="71"/>
      <c r="C202" s="7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</row>
    <row r="203" spans="1:21" outlineLevel="1">
      <c r="A203" s="82"/>
      <c r="B203" s="71"/>
      <c r="C203" s="7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</row>
    <row r="204" spans="1:21" outlineLevel="1">
      <c r="A204" s="82"/>
      <c r="B204" s="71"/>
      <c r="C204" s="7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</row>
    <row r="205" spans="1:21" outlineLevel="1">
      <c r="A205" s="82"/>
      <c r="B205" s="71"/>
      <c r="C205" s="7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</row>
    <row r="206" spans="1:21" outlineLevel="1">
      <c r="A206" s="7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</row>
    <row r="207" spans="1:21" outlineLevel="1">
      <c r="A207" s="7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</row>
    <row r="208" spans="1:21" outlineLevel="1">
      <c r="A208" s="7"/>
      <c r="B208" s="7"/>
      <c r="C208" s="7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</row>
    <row r="209" spans="1:21" ht="18.75" outlineLevel="1">
      <c r="A209" s="8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5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5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2"/>
      <c r="B213" s="9"/>
      <c r="C213" s="9"/>
      <c r="D213" s="9"/>
      <c r="E213" s="9"/>
      <c r="F213" s="9"/>
      <c r="G213" s="9"/>
      <c r="H213" s="9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59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8"/>
      <c r="B215" s="89"/>
      <c r="C215" s="89"/>
      <c r="D215" s="89"/>
      <c r="E215" s="89"/>
      <c r="F215" s="89"/>
      <c r="G215" s="89"/>
      <c r="H215" s="89"/>
      <c r="I215" s="7"/>
      <c r="J215" s="89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8"/>
      <c r="B216" s="89"/>
      <c r="C216" s="89"/>
      <c r="D216" s="89"/>
      <c r="E216" s="89"/>
      <c r="F216" s="89"/>
      <c r="G216" s="89"/>
      <c r="H216" s="89"/>
      <c r="I216" s="7"/>
      <c r="J216" s="89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8"/>
      <c r="B217" s="89"/>
      <c r="C217" s="89"/>
      <c r="D217" s="89"/>
      <c r="E217" s="89"/>
      <c r="F217" s="89"/>
      <c r="G217" s="89"/>
      <c r="H217" s="89"/>
      <c r="I217" s="7"/>
      <c r="J217" s="89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88"/>
      <c r="B218" s="89"/>
      <c r="C218" s="89"/>
      <c r="D218" s="89"/>
      <c r="E218" s="89"/>
      <c r="F218" s="89"/>
      <c r="G218" s="89"/>
      <c r="H218" s="89"/>
      <c r="I218" s="7"/>
      <c r="J218" s="89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88"/>
      <c r="B219" s="89"/>
      <c r="C219" s="89"/>
      <c r="D219" s="89"/>
      <c r="E219" s="89"/>
      <c r="F219" s="89"/>
      <c r="G219" s="89"/>
      <c r="H219" s="89"/>
      <c r="I219" s="7"/>
      <c r="J219" s="89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7"/>
      <c r="B220" s="89"/>
      <c r="C220" s="89"/>
      <c r="D220" s="89"/>
      <c r="E220" s="89"/>
      <c r="F220" s="89"/>
      <c r="G220" s="89"/>
      <c r="H220" s="89"/>
      <c r="I220" s="7"/>
      <c r="J220" s="89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59"/>
      <c r="B221" s="89"/>
      <c r="C221" s="89"/>
      <c r="D221" s="89"/>
      <c r="E221" s="89"/>
      <c r="F221" s="89"/>
      <c r="G221" s="89"/>
      <c r="H221" s="89"/>
      <c r="I221" s="7"/>
      <c r="J221" s="89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8"/>
      <c r="B222" s="89"/>
      <c r="C222" s="89"/>
      <c r="D222" s="89"/>
      <c r="E222" s="89"/>
      <c r="F222" s="89"/>
      <c r="G222" s="89"/>
      <c r="H222" s="89"/>
      <c r="I222" s="7"/>
      <c r="J222" s="89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88"/>
      <c r="B223" s="89"/>
      <c r="C223" s="89"/>
      <c r="D223" s="89"/>
      <c r="E223" s="89"/>
      <c r="F223" s="89"/>
      <c r="G223" s="89"/>
      <c r="H223" s="89"/>
      <c r="I223" s="7"/>
      <c r="J223" s="89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88"/>
      <c r="B224" s="89"/>
      <c r="C224" s="89"/>
      <c r="D224" s="89"/>
      <c r="E224" s="89"/>
      <c r="F224" s="89"/>
      <c r="G224" s="89"/>
      <c r="H224" s="89"/>
      <c r="I224" s="7"/>
      <c r="J224" s="89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8"/>
      <c r="B225" s="89"/>
      <c r="C225" s="89"/>
      <c r="D225" s="89"/>
      <c r="E225" s="89"/>
      <c r="F225" s="89"/>
      <c r="G225" s="89"/>
      <c r="H225" s="89"/>
      <c r="I225" s="7"/>
      <c r="J225" s="89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88"/>
      <c r="B226" s="89"/>
      <c r="C226" s="89"/>
      <c r="D226" s="89"/>
      <c r="E226" s="89"/>
      <c r="F226" s="89"/>
      <c r="G226" s="89"/>
      <c r="H226" s="89"/>
      <c r="I226" s="7"/>
      <c r="J226" s="89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88"/>
      <c r="B227" s="89"/>
      <c r="C227" s="89"/>
      <c r="D227" s="89"/>
      <c r="E227" s="89"/>
      <c r="F227" s="89"/>
      <c r="G227" s="89"/>
      <c r="H227" s="89"/>
      <c r="I227" s="7"/>
      <c r="J227" s="89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88"/>
      <c r="B228" s="89"/>
      <c r="C228" s="89"/>
      <c r="D228" s="89"/>
      <c r="E228" s="89"/>
      <c r="F228" s="89"/>
      <c r="G228" s="89"/>
      <c r="H228" s="89"/>
      <c r="I228" s="7"/>
      <c r="J228" s="89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88"/>
      <c r="B229" s="89"/>
      <c r="C229" s="89"/>
      <c r="D229" s="89"/>
      <c r="E229" s="89"/>
      <c r="F229" s="89"/>
      <c r="G229" s="89"/>
      <c r="H229" s="89"/>
      <c r="I229" s="7"/>
      <c r="J229" s="89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88"/>
      <c r="B230" s="89"/>
      <c r="C230" s="89"/>
      <c r="D230" s="89"/>
      <c r="E230" s="89"/>
      <c r="F230" s="89"/>
      <c r="G230" s="89"/>
      <c r="H230" s="89"/>
      <c r="I230" s="7"/>
      <c r="J230" s="89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88"/>
      <c r="B231" s="89"/>
      <c r="C231" s="89"/>
      <c r="D231" s="89"/>
      <c r="E231" s="89"/>
      <c r="F231" s="89"/>
      <c r="G231" s="89"/>
      <c r="H231" s="89"/>
      <c r="I231" s="7"/>
      <c r="J231" s="89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88"/>
      <c r="B232" s="89"/>
      <c r="C232" s="89"/>
      <c r="D232" s="89"/>
      <c r="E232" s="89"/>
      <c r="F232" s="89"/>
      <c r="G232" s="89"/>
      <c r="H232" s="89"/>
      <c r="I232" s="7"/>
      <c r="J232" s="89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59"/>
      <c r="B233" s="89"/>
      <c r="C233" s="89"/>
      <c r="D233" s="89"/>
      <c r="E233" s="89"/>
      <c r="F233" s="89"/>
      <c r="G233" s="89"/>
      <c r="H233" s="89"/>
      <c r="I233" s="7"/>
      <c r="J233" s="89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88"/>
      <c r="B234" s="89"/>
      <c r="C234" s="89"/>
      <c r="D234" s="89"/>
      <c r="E234" s="89"/>
      <c r="F234" s="89"/>
      <c r="G234" s="89"/>
      <c r="H234" s="89"/>
      <c r="I234" s="7"/>
      <c r="J234" s="89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88"/>
      <c r="B235" s="89"/>
      <c r="C235" s="89"/>
      <c r="D235" s="89"/>
      <c r="E235" s="89"/>
      <c r="F235" s="89"/>
      <c r="G235" s="89"/>
      <c r="H235" s="89"/>
      <c r="I235" s="7"/>
      <c r="J235" s="89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59"/>
      <c r="B236" s="89"/>
      <c r="C236" s="89"/>
      <c r="D236" s="89"/>
      <c r="E236" s="89"/>
      <c r="F236" s="89"/>
      <c r="G236" s="89"/>
      <c r="H236" s="89"/>
      <c r="I236" s="7"/>
      <c r="J236" s="89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59"/>
      <c r="B237" s="89"/>
      <c r="C237" s="89"/>
      <c r="D237" s="89"/>
      <c r="E237" s="89"/>
      <c r="F237" s="89"/>
      <c r="G237" s="89"/>
      <c r="H237" s="89"/>
      <c r="I237" s="7"/>
      <c r="J237" s="89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7"/>
      <c r="B238" s="89"/>
      <c r="C238" s="89"/>
      <c r="D238" s="89"/>
      <c r="E238" s="89"/>
      <c r="F238" s="89"/>
      <c r="G238" s="89"/>
      <c r="H238" s="89"/>
      <c r="I238" s="7"/>
      <c r="J238" s="89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7"/>
      <c r="B239" s="89"/>
      <c r="C239" s="89"/>
      <c r="D239" s="89"/>
      <c r="E239" s="89"/>
      <c r="F239" s="89"/>
      <c r="G239" s="89"/>
      <c r="H239" s="89"/>
      <c r="I239" s="7"/>
      <c r="J239" s="89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59"/>
      <c r="B240" s="89"/>
      <c r="C240" s="89"/>
      <c r="D240" s="89"/>
      <c r="E240" s="89"/>
      <c r="F240" s="89"/>
      <c r="G240" s="89"/>
      <c r="H240" s="89"/>
      <c r="I240" s="7"/>
      <c r="J240" s="89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88"/>
      <c r="B241" s="89"/>
      <c r="C241" s="89"/>
      <c r="D241" s="89"/>
      <c r="E241" s="89"/>
      <c r="F241" s="89"/>
      <c r="G241" s="89"/>
      <c r="H241" s="89"/>
      <c r="I241" s="7"/>
      <c r="J241" s="89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59"/>
      <c r="B242" s="89"/>
      <c r="C242" s="89"/>
      <c r="D242" s="89"/>
      <c r="E242" s="89"/>
      <c r="F242" s="89"/>
      <c r="G242" s="89"/>
      <c r="H242" s="89"/>
      <c r="I242" s="7"/>
      <c r="J242" s="89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7"/>
      <c r="B243" s="89"/>
      <c r="C243" s="89"/>
      <c r="D243" s="89"/>
      <c r="E243" s="89"/>
      <c r="F243" s="89"/>
      <c r="G243" s="89"/>
      <c r="H243" s="89"/>
      <c r="I243" s="7"/>
      <c r="J243" s="89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59"/>
      <c r="B244" s="89"/>
      <c r="C244" s="89"/>
      <c r="D244" s="89"/>
      <c r="E244" s="89"/>
      <c r="F244" s="89"/>
      <c r="G244" s="89"/>
      <c r="H244" s="89"/>
      <c r="I244" s="7"/>
      <c r="J244" s="89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88"/>
      <c r="B245" s="89"/>
      <c r="C245" s="89"/>
      <c r="D245" s="89"/>
      <c r="E245" s="89"/>
      <c r="F245" s="89"/>
      <c r="G245" s="89"/>
      <c r="H245" s="89"/>
      <c r="I245" s="7"/>
      <c r="J245" s="89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88"/>
      <c r="B246" s="89"/>
      <c r="C246" s="89"/>
      <c r="D246" s="89"/>
      <c r="E246" s="89"/>
      <c r="F246" s="89"/>
      <c r="G246" s="89"/>
      <c r="H246" s="89"/>
      <c r="I246" s="7"/>
      <c r="J246" s="89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88"/>
      <c r="B247" s="89"/>
      <c r="C247" s="89"/>
      <c r="D247" s="89"/>
      <c r="E247" s="89"/>
      <c r="F247" s="89"/>
      <c r="G247" s="89"/>
      <c r="H247" s="89"/>
      <c r="I247" s="7"/>
      <c r="J247" s="89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88"/>
      <c r="B248" s="89"/>
      <c r="C248" s="89"/>
      <c r="D248" s="89"/>
      <c r="E248" s="89"/>
      <c r="F248" s="89"/>
      <c r="G248" s="89"/>
      <c r="H248" s="89"/>
      <c r="I248" s="7"/>
      <c r="J248" s="89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88"/>
      <c r="B249" s="89"/>
      <c r="C249" s="89"/>
      <c r="D249" s="89"/>
      <c r="E249" s="89"/>
      <c r="F249" s="89"/>
      <c r="G249" s="89"/>
      <c r="H249" s="89"/>
      <c r="I249" s="7"/>
      <c r="J249" s="89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88"/>
      <c r="B250" s="89"/>
      <c r="C250" s="89"/>
      <c r="D250" s="89"/>
      <c r="E250" s="89"/>
      <c r="F250" s="89"/>
      <c r="G250" s="89"/>
      <c r="H250" s="89"/>
      <c r="I250" s="7"/>
      <c r="J250" s="89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9"/>
      <c r="B251" s="89"/>
      <c r="C251" s="89"/>
      <c r="D251" s="89"/>
      <c r="E251" s="89"/>
      <c r="F251" s="89"/>
      <c r="G251" s="89"/>
      <c r="H251" s="89"/>
      <c r="I251" s="7"/>
      <c r="J251" s="89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59"/>
      <c r="B252" s="89"/>
      <c r="C252" s="89"/>
      <c r="D252" s="89"/>
      <c r="E252" s="89"/>
      <c r="F252" s="89"/>
      <c r="G252" s="89"/>
      <c r="H252" s="89"/>
      <c r="I252" s="7"/>
      <c r="J252" s="89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7"/>
      <c r="B253" s="89"/>
      <c r="C253" s="89"/>
      <c r="D253" s="89"/>
      <c r="E253" s="89"/>
      <c r="F253" s="89"/>
      <c r="G253" s="89"/>
      <c r="H253" s="89"/>
      <c r="I253" s="7"/>
      <c r="J253" s="89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59"/>
      <c r="B254" s="89"/>
      <c r="C254" s="89"/>
      <c r="D254" s="89"/>
      <c r="E254" s="89"/>
      <c r="F254" s="89"/>
      <c r="G254" s="89"/>
      <c r="H254" s="89"/>
      <c r="I254" s="7"/>
      <c r="J254" s="89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59"/>
      <c r="B255" s="89"/>
      <c r="C255" s="89"/>
      <c r="D255" s="89"/>
      <c r="E255" s="89"/>
      <c r="F255" s="89"/>
      <c r="G255" s="89"/>
      <c r="H255" s="89"/>
      <c r="I255" s="7"/>
      <c r="J255" s="89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59"/>
      <c r="B257" s="7"/>
      <c r="C257" s="61"/>
      <c r="D257" s="61"/>
      <c r="E257" s="61"/>
      <c r="F257" s="61"/>
      <c r="G257" s="61"/>
      <c r="H257" s="61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59"/>
      <c r="B258" s="7"/>
      <c r="C258" s="61"/>
      <c r="D258" s="61"/>
      <c r="E258" s="61"/>
      <c r="F258" s="61"/>
      <c r="G258" s="61"/>
      <c r="H258" s="61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59"/>
      <c r="B259" s="7"/>
      <c r="C259" s="61"/>
      <c r="D259" s="61"/>
      <c r="E259" s="61"/>
      <c r="F259" s="61"/>
      <c r="G259" s="61"/>
      <c r="H259" s="61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9"/>
      <c r="B260" s="7"/>
      <c r="C260" s="61"/>
      <c r="D260" s="61"/>
      <c r="E260" s="61"/>
      <c r="F260" s="61"/>
      <c r="G260" s="61"/>
      <c r="H260" s="61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ht="18.75" outlineLevel="1">
      <c r="A262" s="86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5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s="92" customFormat="1" outlineLevel="1">
      <c r="A266" s="91"/>
    </row>
    <row r="267" spans="1:21" outlineLevel="1">
      <c r="A267" s="59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59"/>
      <c r="B268" s="7"/>
      <c r="C268" s="93"/>
      <c r="D268" s="93"/>
      <c r="E268" s="93"/>
      <c r="F268" s="93"/>
      <c r="G268" s="93"/>
      <c r="H268" s="93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59"/>
      <c r="B269" s="7"/>
      <c r="C269" s="93"/>
      <c r="D269" s="93"/>
      <c r="E269" s="93"/>
      <c r="F269" s="93"/>
      <c r="G269" s="93"/>
      <c r="H269" s="93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7"/>
      <c r="B270" s="7"/>
      <c r="C270" s="95"/>
      <c r="D270" s="95"/>
      <c r="E270" s="95"/>
      <c r="F270" s="95"/>
      <c r="G270" s="95"/>
      <c r="H270" s="95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59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1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6"/>
      <c r="B273" s="7"/>
      <c r="C273" s="61"/>
      <c r="D273" s="61"/>
      <c r="E273" s="61"/>
      <c r="F273" s="61"/>
      <c r="G273" s="61"/>
      <c r="H273" s="61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6"/>
      <c r="B274" s="7"/>
      <c r="C274" s="61"/>
      <c r="D274" s="61"/>
      <c r="E274" s="61"/>
      <c r="F274" s="61"/>
      <c r="G274" s="61"/>
      <c r="H274" s="61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96"/>
      <c r="B275" s="7"/>
      <c r="C275" s="61"/>
      <c r="D275" s="61"/>
      <c r="E275" s="61"/>
      <c r="F275" s="61"/>
      <c r="G275" s="61"/>
      <c r="H275" s="61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96"/>
      <c r="B276" s="7"/>
      <c r="C276" s="61"/>
      <c r="D276" s="61"/>
      <c r="E276" s="61"/>
      <c r="F276" s="61"/>
      <c r="G276" s="61"/>
      <c r="H276" s="61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96"/>
      <c r="B277" s="7"/>
      <c r="C277" s="93"/>
      <c r="D277" s="93"/>
      <c r="E277" s="93"/>
      <c r="F277" s="93"/>
      <c r="G277" s="93"/>
      <c r="H277" s="93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59"/>
      <c r="B278" s="7"/>
      <c r="C278" s="97"/>
      <c r="D278" s="97"/>
      <c r="E278" s="97"/>
      <c r="F278" s="97"/>
      <c r="G278" s="97"/>
      <c r="H278" s="9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96"/>
      <c r="B279" s="7"/>
      <c r="C279" s="98"/>
      <c r="D279" s="98"/>
      <c r="E279" s="98"/>
      <c r="F279" s="98"/>
      <c r="G279" s="98"/>
      <c r="H279" s="98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96"/>
      <c r="B280" s="7"/>
      <c r="C280" s="98"/>
      <c r="D280" s="98"/>
      <c r="E280" s="98"/>
      <c r="F280" s="98"/>
      <c r="G280" s="98"/>
      <c r="H280" s="98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96"/>
      <c r="B281" s="7"/>
      <c r="C281" s="98"/>
      <c r="D281" s="98"/>
      <c r="E281" s="98"/>
      <c r="F281" s="98"/>
      <c r="G281" s="98"/>
      <c r="H281" s="98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96"/>
      <c r="B282" s="7"/>
      <c r="C282" s="98"/>
      <c r="D282" s="98"/>
      <c r="E282" s="98"/>
      <c r="F282" s="98"/>
      <c r="G282" s="98"/>
      <c r="H282" s="98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96"/>
      <c r="B283" s="7"/>
      <c r="C283" s="97"/>
      <c r="D283" s="97"/>
      <c r="E283" s="97"/>
      <c r="F283" s="97"/>
      <c r="G283" s="97"/>
      <c r="H283" s="9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59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7"/>
      <c r="B285" s="7"/>
      <c r="C285" s="61"/>
      <c r="D285" s="61"/>
      <c r="E285" s="61"/>
      <c r="F285" s="61"/>
      <c r="G285" s="61"/>
      <c r="H285" s="61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7"/>
      <c r="B286" s="7"/>
      <c r="C286" s="61"/>
      <c r="D286" s="61"/>
      <c r="E286" s="61"/>
      <c r="F286" s="61"/>
      <c r="G286" s="61"/>
      <c r="H286" s="61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7"/>
      <c r="B287" s="7"/>
      <c r="C287" s="61"/>
      <c r="D287" s="61"/>
      <c r="E287" s="61"/>
      <c r="F287" s="61"/>
      <c r="G287" s="61"/>
      <c r="H287" s="61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7"/>
      <c r="B288" s="99"/>
      <c r="C288" s="61"/>
      <c r="D288" s="61"/>
      <c r="E288" s="61"/>
      <c r="F288" s="61"/>
      <c r="G288" s="61"/>
      <c r="H288" s="61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59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93"/>
      <c r="D291" s="93"/>
      <c r="E291" s="93"/>
      <c r="F291" s="93"/>
      <c r="G291" s="93"/>
      <c r="H291" s="93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96"/>
      <c r="B292" s="7"/>
      <c r="C292" s="93"/>
      <c r="D292" s="93"/>
      <c r="E292" s="93"/>
      <c r="F292" s="93"/>
      <c r="G292" s="93"/>
      <c r="H292" s="93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96"/>
      <c r="B293" s="7"/>
      <c r="C293" s="93"/>
      <c r="D293" s="93"/>
      <c r="E293" s="93"/>
      <c r="F293" s="93"/>
      <c r="G293" s="93"/>
      <c r="H293" s="93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96"/>
      <c r="B294" s="99"/>
      <c r="C294" s="93"/>
      <c r="D294" s="93"/>
      <c r="E294" s="93"/>
      <c r="F294" s="93"/>
      <c r="G294" s="93"/>
      <c r="H294" s="93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7"/>
      <c r="B295" s="7"/>
      <c r="C295" s="93"/>
      <c r="D295" s="93"/>
      <c r="E295" s="93"/>
      <c r="F295" s="93"/>
      <c r="G295" s="93"/>
      <c r="H295" s="93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7"/>
      <c r="B296" s="7"/>
      <c r="C296" s="93"/>
      <c r="D296" s="93"/>
      <c r="E296" s="93"/>
      <c r="F296" s="93"/>
      <c r="G296" s="93"/>
      <c r="H296" s="93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7"/>
      <c r="B297" s="7"/>
      <c r="C297" s="93"/>
      <c r="D297" s="93"/>
      <c r="E297" s="93"/>
      <c r="F297" s="93"/>
      <c r="G297" s="93"/>
      <c r="H297" s="93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7"/>
      <c r="B298" s="7"/>
      <c r="C298" s="93"/>
      <c r="D298" s="93"/>
      <c r="E298" s="93"/>
      <c r="F298" s="93"/>
      <c r="G298" s="93"/>
      <c r="H298" s="93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7"/>
      <c r="B299" s="7"/>
      <c r="C299" s="93"/>
      <c r="D299" s="93"/>
      <c r="E299" s="93"/>
      <c r="F299" s="93"/>
      <c r="G299" s="93"/>
      <c r="H299" s="93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7"/>
      <c r="B300" s="7"/>
      <c r="C300" s="93"/>
      <c r="D300" s="93"/>
      <c r="E300" s="93"/>
      <c r="F300" s="93"/>
      <c r="G300" s="93"/>
      <c r="H300" s="93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outlineLevel="1">
      <c r="A302" s="59"/>
      <c r="B302" s="100"/>
      <c r="C302" s="100"/>
      <c r="D302" s="100"/>
      <c r="E302" s="100"/>
      <c r="F302" s="100"/>
      <c r="G302" s="100"/>
      <c r="H302" s="100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59"/>
      <c r="B303" s="99"/>
      <c r="C303" s="100"/>
      <c r="D303" s="100"/>
      <c r="E303" s="100"/>
      <c r="F303" s="100"/>
      <c r="G303" s="100"/>
      <c r="H303" s="100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outlineLevel="1">
      <c r="A304" s="59"/>
      <c r="B304" s="100"/>
      <c r="C304" s="100"/>
      <c r="D304" s="100"/>
      <c r="E304" s="100"/>
      <c r="F304" s="100"/>
      <c r="G304" s="100"/>
      <c r="H304" s="100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outlineLevel="1">
      <c r="A305" s="59"/>
      <c r="B305" s="7"/>
      <c r="C305" s="100"/>
      <c r="D305" s="100"/>
      <c r="E305" s="100"/>
      <c r="F305" s="100"/>
      <c r="G305" s="100"/>
      <c r="H305" s="100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outlineLevel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outlineLevel="1">
      <c r="A307" s="59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outlineLevel="1">
      <c r="A308" s="59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outlineLevel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outlineLevel="1">
      <c r="A310" s="7"/>
      <c r="B310" s="7"/>
      <c r="C310" s="89"/>
      <c r="D310" s="89"/>
      <c r="E310" s="89"/>
      <c r="F310" s="89"/>
      <c r="G310" s="89"/>
      <c r="H310" s="89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 outlineLevel="1">
      <c r="A311" s="7"/>
      <c r="B311" s="7"/>
      <c r="C311" s="100"/>
      <c r="D311" s="100"/>
      <c r="E311" s="100"/>
      <c r="F311" s="100"/>
      <c r="G311" s="100"/>
      <c r="H311" s="100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outlineLevel="1">
      <c r="A312" s="7"/>
      <c r="B312" s="7"/>
      <c r="C312" s="101"/>
      <c r="D312" s="101"/>
      <c r="E312" s="101"/>
      <c r="F312" s="101"/>
      <c r="G312" s="101"/>
      <c r="H312" s="101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 outlineLevel="1">
      <c r="A313" s="7"/>
      <c r="B313" s="7"/>
      <c r="C313" s="89"/>
      <c r="D313" s="89"/>
      <c r="E313" s="89"/>
      <c r="F313" s="89"/>
      <c r="G313" s="89"/>
      <c r="H313" s="89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 outlineLevel="1">
      <c r="A314" s="7"/>
      <c r="B314" s="7"/>
      <c r="C314" s="101"/>
      <c r="D314" s="101"/>
      <c r="E314" s="101"/>
      <c r="F314" s="101"/>
      <c r="G314" s="101"/>
      <c r="H314" s="101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 outlineLevel="1">
      <c r="A315" s="7"/>
      <c r="B315" s="7"/>
      <c r="C315" s="102"/>
      <c r="D315" s="102"/>
      <c r="E315" s="102"/>
      <c r="F315" s="102"/>
      <c r="G315" s="102"/>
      <c r="H315" s="102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 outlineLevel="1">
      <c r="A316" s="7"/>
      <c r="B316" s="7"/>
      <c r="C316" s="102"/>
      <c r="D316" s="102"/>
      <c r="E316" s="102"/>
      <c r="F316" s="102"/>
      <c r="G316" s="102"/>
      <c r="H316" s="102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 ht="18.75" hidden="1" outlineLevel="2">
      <c r="A317" s="86"/>
      <c r="B317" s="7"/>
      <c r="C317" s="102"/>
      <c r="D317" s="102"/>
      <c r="E317" s="102"/>
      <c r="F317" s="102"/>
      <c r="G317" s="102"/>
      <c r="H317" s="102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 hidden="1" outlineLevel="2">
      <c r="A318" s="59"/>
      <c r="B318" s="7"/>
      <c r="C318" s="102"/>
      <c r="D318" s="102"/>
      <c r="E318" s="102"/>
      <c r="F318" s="102"/>
      <c r="G318" s="102"/>
      <c r="H318" s="102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 hidden="1" outlineLevel="2">
      <c r="A319" s="7"/>
      <c r="B319" s="7"/>
      <c r="C319" s="102"/>
      <c r="D319" s="102"/>
      <c r="E319" s="102"/>
      <c r="F319" s="102"/>
      <c r="G319" s="102"/>
      <c r="H319" s="102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 hidden="1" outlineLevel="2">
      <c r="A320" s="59"/>
      <c r="B320" s="11"/>
      <c r="C320" s="11"/>
      <c r="D320" s="10"/>
      <c r="E320" s="10"/>
      <c r="F320" s="11"/>
      <c r="G320" s="11"/>
      <c r="H320" s="10"/>
      <c r="I320" s="11"/>
      <c r="J320" s="11"/>
      <c r="K320" s="11"/>
      <c r="L320" s="10"/>
      <c r="M320" s="11"/>
      <c r="N320" s="11"/>
      <c r="O320" s="7"/>
      <c r="P320" s="7"/>
      <c r="Q320" s="7"/>
      <c r="R320" s="7"/>
      <c r="S320" s="7"/>
      <c r="T320" s="11"/>
      <c r="U320" s="7"/>
    </row>
    <row r="321" spans="1:27" hidden="1" outlineLevel="2">
      <c r="A321" s="59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7" hidden="1" outlineLevel="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7" hidden="1" outlineLevel="2">
      <c r="A323" s="7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7"/>
      <c r="P323" s="7"/>
      <c r="Q323" s="7"/>
      <c r="R323" s="7"/>
      <c r="S323" s="7"/>
      <c r="T323" s="89"/>
      <c r="U323" s="7"/>
    </row>
    <row r="324" spans="1:27" hidden="1" outlineLevel="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7" hidden="1" outlineLevel="2">
      <c r="A325" s="7"/>
      <c r="B325" s="100"/>
      <c r="C325" s="100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7"/>
      <c r="P325" s="7"/>
      <c r="Q325" s="7"/>
      <c r="R325" s="7"/>
      <c r="S325" s="7"/>
      <c r="T325" s="89"/>
      <c r="U325" s="7"/>
    </row>
    <row r="326" spans="1:27" hidden="1" outlineLevel="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7" hidden="1" outlineLevel="2">
      <c r="A327" s="7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7"/>
      <c r="P327" s="7"/>
      <c r="Q327" s="7"/>
      <c r="R327" s="7"/>
      <c r="S327" s="7"/>
      <c r="T327" s="89"/>
      <c r="U327" s="89"/>
      <c r="V327" s="89"/>
      <c r="W327" s="89"/>
      <c r="X327" s="89"/>
      <c r="Y327" s="89"/>
      <c r="Z327" s="89"/>
      <c r="AA327" s="89"/>
    </row>
    <row r="328" spans="1:27" hidden="1" outlineLevel="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7" hidden="1" outlineLevel="2">
      <c r="A329" s="7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7"/>
      <c r="P329" s="7"/>
      <c r="Q329" s="7"/>
      <c r="R329" s="7"/>
      <c r="S329" s="7"/>
      <c r="T329" s="89"/>
      <c r="U329" s="7"/>
    </row>
    <row r="330" spans="1:27" hidden="1" outlineLevel="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7" hidden="1" outlineLevel="2">
      <c r="A331" s="7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7"/>
      <c r="P331" s="7"/>
      <c r="Q331" s="7"/>
      <c r="R331" s="7"/>
      <c r="S331" s="7"/>
      <c r="T331" s="89"/>
      <c r="U331" s="89"/>
    </row>
    <row r="332" spans="1:27" hidden="1" outlineLevel="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7" hidden="1" outlineLevel="2">
      <c r="A333" s="7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7"/>
      <c r="P333" s="7"/>
      <c r="Q333" s="7"/>
      <c r="R333" s="7"/>
      <c r="S333" s="7"/>
      <c r="T333" s="89"/>
      <c r="U333" s="89"/>
    </row>
    <row r="334" spans="1:27" hidden="1" outlineLevel="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7" outlineLevel="1" collapsed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7" outlineLevel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2" outlineLevel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2" ht="18.75" outlineLevel="1">
      <c r="A338" s="8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2" outlineLevel="1">
      <c r="A339" s="59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2" outlineLevel="1">
      <c r="A340" s="59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2" outlineLevel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2" outlineLevel="1">
      <c r="A342" s="2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</row>
    <row r="343" spans="1:22" outlineLevel="1">
      <c r="A343" s="59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2" outlineLevel="1">
      <c r="A344" s="88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</row>
    <row r="345" spans="1:22" outlineLevel="1">
      <c r="A345" s="88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</row>
    <row r="346" spans="1:22" outlineLevel="1">
      <c r="A346" s="88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</row>
    <row r="347" spans="1:22" outlineLevel="1">
      <c r="A347" s="88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</row>
    <row r="348" spans="1:22" outlineLevel="1">
      <c r="A348" s="88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</row>
    <row r="349" spans="1:22" outlineLevel="1">
      <c r="A349" s="7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</row>
    <row r="350" spans="1:22" outlineLevel="1">
      <c r="A350" s="5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</row>
    <row r="351" spans="1:22" outlineLevel="1">
      <c r="A351" s="88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</row>
    <row r="352" spans="1:22" outlineLevel="1">
      <c r="A352" s="88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</row>
    <row r="353" spans="1:22" outlineLevel="1">
      <c r="A353" s="88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</row>
    <row r="354" spans="1:22" outlineLevel="1">
      <c r="A354" s="88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</row>
    <row r="355" spans="1:22" outlineLevel="1">
      <c r="A355" s="88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</row>
    <row r="356" spans="1:22" outlineLevel="1">
      <c r="A356" s="88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</row>
    <row r="357" spans="1:22" outlineLevel="1">
      <c r="A357" s="88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</row>
    <row r="358" spans="1:22" outlineLevel="1">
      <c r="A358" s="88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</row>
    <row r="359" spans="1:22" outlineLevel="1">
      <c r="A359" s="88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</row>
    <row r="360" spans="1:22" outlineLevel="1">
      <c r="A360" s="88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</row>
    <row r="361" spans="1:22" outlineLevel="1">
      <c r="A361" s="88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</row>
    <row r="362" spans="1:22" outlineLevel="1">
      <c r="A362" s="5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</row>
    <row r="363" spans="1:22" outlineLevel="1">
      <c r="A363" s="88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</row>
    <row r="364" spans="1:22" outlineLevel="1">
      <c r="A364" s="5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</row>
    <row r="365" spans="1:22" outlineLevel="1">
      <c r="A365" s="88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</row>
    <row r="366" spans="1:22" outlineLevel="1">
      <c r="A366" s="5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</row>
    <row r="367" spans="1:22" outlineLevel="1">
      <c r="A367" s="7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</row>
    <row r="368" spans="1:22" outlineLevel="1">
      <c r="A368" s="5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</row>
    <row r="369" spans="1:22" outlineLevel="1">
      <c r="A369" s="88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</row>
    <row r="370" spans="1:22" outlineLevel="1">
      <c r="A370" s="88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</row>
    <row r="371" spans="1:22" outlineLevel="1">
      <c r="A371" s="88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</row>
    <row r="372" spans="1:22" outlineLevel="1">
      <c r="A372" s="88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</row>
    <row r="373" spans="1:22" outlineLevel="1">
      <c r="A373" s="5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</row>
    <row r="374" spans="1:22" outlineLevel="1">
      <c r="A374" s="5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</row>
    <row r="375" spans="1:22" outlineLevel="1">
      <c r="A375" s="88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</row>
    <row r="376" spans="1:22" outlineLevel="1">
      <c r="A376" s="88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</row>
    <row r="377" spans="1:22" outlineLevel="1">
      <c r="A377" s="88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</row>
    <row r="378" spans="1:22" outlineLevel="1">
      <c r="A378" s="88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</row>
    <row r="379" spans="1:22" outlineLevel="1">
      <c r="A379" s="88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</row>
    <row r="380" spans="1:22" outlineLevel="1">
      <c r="A380" s="2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</row>
    <row r="381" spans="1:22" outlineLevel="1">
      <c r="A381" s="5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</row>
    <row r="382" spans="1:22" outlineLevel="1">
      <c r="A382" s="7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</row>
    <row r="383" spans="1:22" outlineLevel="1">
      <c r="A383" s="5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</row>
    <row r="384" spans="1:22" outlineLevel="1">
      <c r="A384" s="5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</row>
    <row r="385" spans="1:22" outlineLevel="1">
      <c r="A385" s="5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</row>
    <row r="386" spans="1:22" outlineLevel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2" outlineLevel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2" ht="18.75" outlineLevel="1">
      <c r="A388" s="8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2" outlineLevel="1">
      <c r="A389" s="59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2" outlineLevel="1">
      <c r="A390" s="59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2" outlineLevel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2" outlineLevel="1">
      <c r="A392" s="2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7"/>
      <c r="P392" s="7"/>
      <c r="Q392" s="7"/>
      <c r="R392" s="7"/>
      <c r="S392" s="7"/>
      <c r="T392" s="7"/>
      <c r="U392" s="7"/>
    </row>
    <row r="393" spans="1:22" outlineLevel="1">
      <c r="A393" s="59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2" outlineLevel="1">
      <c r="A394" s="88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7"/>
      <c r="P394" s="7"/>
      <c r="Q394" s="7"/>
      <c r="R394" s="7"/>
      <c r="S394" s="7"/>
      <c r="T394" s="7"/>
      <c r="U394" s="7"/>
    </row>
    <row r="395" spans="1:22" outlineLevel="1">
      <c r="A395" s="88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7"/>
      <c r="P395" s="7"/>
      <c r="Q395" s="7"/>
      <c r="R395" s="7"/>
      <c r="S395" s="7"/>
      <c r="T395" s="7"/>
      <c r="U395" s="7"/>
    </row>
    <row r="396" spans="1:22" outlineLevel="1">
      <c r="A396" s="88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7"/>
      <c r="P396" s="7"/>
      <c r="Q396" s="7"/>
      <c r="R396" s="7"/>
      <c r="S396" s="7"/>
      <c r="T396" s="7"/>
      <c r="U396" s="7"/>
    </row>
    <row r="397" spans="1:22" outlineLevel="1">
      <c r="A397" s="88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7"/>
      <c r="P397" s="7"/>
      <c r="Q397" s="7"/>
      <c r="R397" s="7"/>
      <c r="S397" s="7"/>
      <c r="T397" s="7"/>
      <c r="U397" s="7"/>
    </row>
    <row r="398" spans="1:22" outlineLevel="1">
      <c r="A398" s="88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7"/>
      <c r="P398" s="7"/>
      <c r="Q398" s="7"/>
      <c r="R398" s="7"/>
      <c r="S398" s="7"/>
      <c r="T398" s="7"/>
      <c r="U398" s="7"/>
    </row>
    <row r="399" spans="1:22" outlineLevel="1">
      <c r="A399" s="88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7"/>
      <c r="P399" s="7"/>
      <c r="Q399" s="7"/>
      <c r="R399" s="7"/>
      <c r="S399" s="7"/>
      <c r="T399" s="7"/>
      <c r="U399" s="7"/>
    </row>
    <row r="400" spans="1:22" outlineLevel="1">
      <c r="A400" s="59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7"/>
      <c r="P400" s="7"/>
      <c r="Q400" s="7"/>
      <c r="R400" s="7"/>
      <c r="S400" s="7"/>
      <c r="T400" s="7"/>
      <c r="U400" s="7"/>
    </row>
    <row r="401" spans="1:21" outlineLevel="1">
      <c r="A401" s="88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7"/>
      <c r="P401" s="7"/>
      <c r="Q401" s="7"/>
      <c r="R401" s="7"/>
      <c r="S401" s="7"/>
      <c r="T401" s="7"/>
      <c r="U401" s="7"/>
    </row>
    <row r="402" spans="1:21" outlineLevel="1">
      <c r="A402" s="88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7"/>
      <c r="P402" s="7"/>
      <c r="Q402" s="7"/>
      <c r="R402" s="7"/>
      <c r="S402" s="7"/>
      <c r="T402" s="7"/>
      <c r="U402" s="7"/>
    </row>
    <row r="403" spans="1:21" outlineLevel="1">
      <c r="A403" s="88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7"/>
      <c r="P403" s="7"/>
      <c r="Q403" s="7"/>
      <c r="R403" s="7"/>
      <c r="S403" s="7"/>
      <c r="T403" s="7"/>
      <c r="U403" s="7"/>
    </row>
    <row r="404" spans="1:21" outlineLevel="1">
      <c r="A404" s="88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7"/>
      <c r="P404" s="7"/>
      <c r="Q404" s="7"/>
      <c r="R404" s="7"/>
      <c r="S404" s="7"/>
      <c r="T404" s="7"/>
      <c r="U404" s="7"/>
    </row>
    <row r="405" spans="1:21" outlineLevel="1">
      <c r="A405" s="88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7"/>
      <c r="P405" s="7"/>
      <c r="Q405" s="7"/>
      <c r="R405" s="7"/>
      <c r="S405" s="7"/>
      <c r="T405" s="7"/>
      <c r="U405" s="7"/>
    </row>
    <row r="406" spans="1:21" outlineLevel="1">
      <c r="A406" s="88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7"/>
      <c r="P406" s="7"/>
      <c r="Q406" s="7"/>
      <c r="R406" s="7"/>
      <c r="S406" s="7"/>
      <c r="T406" s="7"/>
      <c r="U406" s="7"/>
    </row>
    <row r="407" spans="1:21" outlineLevel="1">
      <c r="A407" s="88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7"/>
      <c r="P407" s="7"/>
      <c r="Q407" s="7"/>
      <c r="R407" s="7"/>
      <c r="S407" s="7"/>
      <c r="T407" s="7"/>
      <c r="U407" s="7"/>
    </row>
    <row r="408" spans="1:21" outlineLevel="1">
      <c r="A408" s="88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7"/>
      <c r="P408" s="7"/>
      <c r="Q408" s="7"/>
      <c r="R408" s="7"/>
      <c r="S408" s="7"/>
      <c r="T408" s="7"/>
      <c r="U408" s="7"/>
    </row>
    <row r="409" spans="1:21" outlineLevel="1">
      <c r="A409" s="88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7"/>
      <c r="P409" s="7"/>
      <c r="Q409" s="7"/>
      <c r="R409" s="7"/>
      <c r="S409" s="7"/>
      <c r="T409" s="7"/>
      <c r="U409" s="7"/>
    </row>
    <row r="410" spans="1:21" outlineLevel="1">
      <c r="A410" s="88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7"/>
      <c r="P410" s="7"/>
      <c r="Q410" s="7"/>
      <c r="R410" s="7"/>
      <c r="S410" s="7"/>
      <c r="T410" s="7"/>
      <c r="U410" s="7"/>
    </row>
    <row r="411" spans="1:21" outlineLevel="1">
      <c r="A411" s="88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7"/>
      <c r="P411" s="7"/>
      <c r="Q411" s="7"/>
      <c r="R411" s="7"/>
      <c r="S411" s="7"/>
      <c r="T411" s="7"/>
      <c r="U411" s="7"/>
    </row>
    <row r="412" spans="1:21" outlineLevel="1">
      <c r="A412" s="88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7"/>
      <c r="P412" s="7"/>
      <c r="Q412" s="7"/>
      <c r="R412" s="7"/>
      <c r="S412" s="7"/>
      <c r="T412" s="7"/>
      <c r="U412" s="7"/>
    </row>
    <row r="413" spans="1:21" outlineLevel="1">
      <c r="A413" s="59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7"/>
      <c r="P413" s="7"/>
      <c r="Q413" s="7"/>
      <c r="R413" s="7"/>
      <c r="S413" s="7"/>
      <c r="T413" s="7"/>
      <c r="U413" s="7"/>
    </row>
    <row r="414" spans="1:21" outlineLevel="1">
      <c r="A414" s="7"/>
      <c r="B414" s="103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7"/>
      <c r="P414" s="7"/>
      <c r="Q414" s="7"/>
      <c r="R414" s="7"/>
      <c r="S414" s="7"/>
      <c r="T414" s="7"/>
      <c r="U414" s="7"/>
    </row>
    <row r="415" spans="1:21" outlineLevel="1">
      <c r="A415" s="88"/>
      <c r="B415" s="103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7"/>
      <c r="P415" s="7"/>
      <c r="Q415" s="7"/>
      <c r="R415" s="7"/>
      <c r="S415" s="7"/>
      <c r="T415" s="7"/>
      <c r="U415" s="7"/>
    </row>
    <row r="416" spans="1:21" outlineLevel="1">
      <c r="A416" s="59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7"/>
      <c r="P416" s="7"/>
      <c r="Q416" s="7"/>
      <c r="R416" s="7"/>
      <c r="S416" s="7"/>
      <c r="T416" s="7"/>
      <c r="U416" s="7"/>
    </row>
    <row r="417" spans="1:21" outlineLevel="1">
      <c r="A417" s="88"/>
      <c r="B417" s="103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7"/>
      <c r="P417" s="7"/>
      <c r="Q417" s="7"/>
      <c r="R417" s="7"/>
      <c r="S417" s="7"/>
      <c r="T417" s="7"/>
      <c r="U417" s="7"/>
    </row>
    <row r="418" spans="1:21" outlineLevel="1">
      <c r="A418" s="59"/>
      <c r="B418" s="103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7"/>
      <c r="P418" s="7"/>
      <c r="Q418" s="7"/>
      <c r="R418" s="7"/>
      <c r="S418" s="7"/>
      <c r="T418" s="7"/>
      <c r="U418" s="7"/>
    </row>
    <row r="419" spans="1:21" outlineLevel="1">
      <c r="A419" s="59"/>
      <c r="B419" s="103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7"/>
      <c r="P419" s="7"/>
      <c r="Q419" s="7"/>
      <c r="R419" s="7"/>
      <c r="S419" s="7"/>
      <c r="T419" s="7"/>
      <c r="U419" s="7"/>
    </row>
    <row r="420" spans="1:21" outlineLevel="1">
      <c r="A420" s="59"/>
      <c r="B420" s="103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7"/>
      <c r="P420" s="7"/>
      <c r="Q420" s="7"/>
      <c r="R420" s="7"/>
      <c r="S420" s="7"/>
      <c r="T420" s="7"/>
      <c r="U420" s="7"/>
    </row>
    <row r="421" spans="1:21" outlineLevel="1">
      <c r="A421" s="59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7"/>
      <c r="P421" s="7"/>
      <c r="Q421" s="7"/>
      <c r="R421" s="7"/>
      <c r="S421" s="7"/>
      <c r="T421" s="7"/>
      <c r="U421" s="7"/>
    </row>
    <row r="422" spans="1:21" outlineLevel="1">
      <c r="A422" s="59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7"/>
      <c r="P422" s="7"/>
      <c r="Q422" s="7"/>
      <c r="R422" s="7"/>
      <c r="S422" s="7"/>
      <c r="T422" s="7"/>
      <c r="U422" s="7"/>
    </row>
    <row r="423" spans="1:21" outlineLevel="1">
      <c r="A423" s="59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7"/>
      <c r="P423" s="7"/>
      <c r="Q423" s="7"/>
      <c r="R423" s="7"/>
      <c r="S423" s="7"/>
      <c r="T423" s="7"/>
      <c r="U423" s="7"/>
    </row>
    <row r="424" spans="1:21" outlineLevel="1">
      <c r="A424" s="59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7"/>
      <c r="P424" s="7"/>
      <c r="Q424" s="7"/>
      <c r="R424" s="7"/>
      <c r="S424" s="7"/>
      <c r="T424" s="7"/>
      <c r="U424" s="7"/>
    </row>
    <row r="425" spans="1:21" outlineLevel="1">
      <c r="A425" s="59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7"/>
      <c r="P425" s="7"/>
      <c r="Q425" s="7"/>
      <c r="R425" s="7"/>
      <c r="S425" s="7"/>
      <c r="T425" s="7"/>
      <c r="U425" s="7"/>
    </row>
    <row r="426" spans="1:21" outlineLevel="1">
      <c r="A426" s="7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</row>
    <row r="427" spans="1:21" outlineLevel="1">
      <c r="A427" s="7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</row>
    <row r="428" spans="1:21" outlineLevel="1">
      <c r="A428" s="7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</row>
    <row r="429" spans="1:21" outlineLevel="1">
      <c r="A429" s="7"/>
      <c r="B429" s="103"/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</row>
    <row r="430" spans="1:21" outlineLevel="1">
      <c r="A430" s="7"/>
      <c r="B430" s="103"/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</row>
    <row r="431" spans="1:21" outlineLevel="1">
      <c r="A431" s="7"/>
      <c r="B431" s="103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</row>
    <row r="432" spans="1:21" outlineLevel="1">
      <c r="A432" s="59"/>
      <c r="B432" s="103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</row>
    <row r="433" spans="1:21" outlineLevel="1">
      <c r="A433" s="7"/>
      <c r="B433" s="103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</row>
    <row r="434" spans="1:21" outlineLevel="1">
      <c r="A434" s="7"/>
      <c r="B434" s="103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</row>
    <row r="435" spans="1:21" outlineLevel="1">
      <c r="A435" s="59"/>
      <c r="B435" s="103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</row>
    <row r="436" spans="1:21" outlineLevel="1">
      <c r="A436" s="59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</row>
    <row r="437" spans="1:21" outlineLevel="1">
      <c r="A437" s="7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</row>
    <row r="438" spans="1:21" outlineLevel="1">
      <c r="A438" s="7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</row>
    <row r="439" spans="1:21" outlineLevel="1">
      <c r="A439" s="7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</row>
    <row r="440" spans="1:21" outlineLevel="1">
      <c r="A440" s="7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</row>
    <row r="441" spans="1:21" outlineLevel="1">
      <c r="A441" s="7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</row>
    <row r="442" spans="1:21" outlineLevel="1">
      <c r="A442" s="7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</row>
    <row r="443" spans="1:21" outlineLevel="1">
      <c r="A443" s="7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</row>
    <row r="444" spans="1:21" outlineLevel="1">
      <c r="A444" s="7"/>
      <c r="B444" s="103"/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7"/>
      <c r="P444" s="7"/>
      <c r="Q444" s="7"/>
      <c r="R444" s="7"/>
      <c r="S444" s="7"/>
      <c r="T444" s="7"/>
      <c r="U444" s="7"/>
    </row>
    <row r="445" spans="1:21" outlineLevel="1">
      <c r="A445" s="59"/>
      <c r="B445" s="103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7"/>
      <c r="P445" s="7"/>
      <c r="Q445" s="7"/>
      <c r="R445" s="7"/>
      <c r="S445" s="7"/>
      <c r="T445" s="7"/>
      <c r="U445" s="7"/>
    </row>
    <row r="446" spans="1:21" outlineLevel="1">
      <c r="A446" s="59"/>
      <c r="B446" s="103"/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7"/>
      <c r="P446" s="7"/>
      <c r="Q446" s="7"/>
      <c r="R446" s="7"/>
      <c r="S446" s="7"/>
      <c r="T446" s="7"/>
      <c r="U446" s="7"/>
    </row>
    <row r="447" spans="1:21" outlineLevel="1">
      <c r="A447" s="59"/>
      <c r="B447" s="103"/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7"/>
      <c r="P447" s="7"/>
      <c r="Q447" s="7"/>
      <c r="R447" s="7"/>
      <c r="S447" s="7"/>
      <c r="T447" s="7"/>
      <c r="U447" s="7"/>
    </row>
    <row r="448" spans="1:21" outlineLevel="1">
      <c r="A448" s="59"/>
      <c r="B448" s="103"/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7"/>
      <c r="P448" s="7"/>
      <c r="Q448" s="7"/>
      <c r="R448" s="7"/>
      <c r="S448" s="7"/>
      <c r="T448" s="7"/>
      <c r="U448" s="7"/>
    </row>
    <row r="449" spans="1:21" outlineLevel="1">
      <c r="A449" s="59"/>
      <c r="B449" s="104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7"/>
      <c r="P449" s="7"/>
      <c r="Q449" s="7"/>
      <c r="R449" s="7"/>
      <c r="S449" s="7"/>
      <c r="T449" s="7"/>
      <c r="U449" s="7"/>
    </row>
    <row r="450" spans="1:21" outlineLevel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ht="18.75" outlineLevel="1">
      <c r="A451" s="86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outlineLevel="1">
      <c r="A452" s="59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outlineLevel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outlineLevel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 outlineLevel="1">
      <c r="A455" s="2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</row>
    <row r="456" spans="1:21" outlineLevel="1">
      <c r="A456" s="7"/>
      <c r="B456" s="7"/>
      <c r="C456" s="75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 outlineLevel="1">
      <c r="A457" s="59"/>
      <c r="B457" s="7"/>
      <c r="C457" s="75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7"/>
      <c r="P457" s="7"/>
      <c r="Q457" s="7"/>
      <c r="R457" s="7"/>
      <c r="S457" s="7"/>
      <c r="T457" s="7"/>
      <c r="U457" s="7"/>
    </row>
    <row r="458" spans="1:21" outlineLevel="1">
      <c r="A458" s="7"/>
      <c r="B458" s="7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"/>
      <c r="P458" s="7"/>
      <c r="Q458" s="7"/>
      <c r="R458" s="7"/>
      <c r="S458" s="7"/>
      <c r="T458" s="7"/>
      <c r="U458" s="7"/>
    </row>
    <row r="459" spans="1:21" outlineLevel="1">
      <c r="A459" s="7"/>
      <c r="B459" s="7"/>
      <c r="C459" s="75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7"/>
      <c r="P459" s="7"/>
      <c r="Q459" s="7"/>
      <c r="R459" s="7"/>
      <c r="S459" s="7"/>
      <c r="T459" s="7"/>
      <c r="U459" s="7"/>
    </row>
    <row r="460" spans="1:21" outlineLevel="1">
      <c r="A460" s="7"/>
      <c r="B460" s="7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"/>
      <c r="P460" s="7"/>
      <c r="Q460" s="7"/>
      <c r="R460" s="7"/>
      <c r="S460" s="7"/>
      <c r="T460" s="7"/>
      <c r="U460" s="7"/>
    </row>
    <row r="461" spans="1:21" outlineLevel="1">
      <c r="A461" s="7"/>
      <c r="B461" s="7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"/>
      <c r="P461" s="7"/>
      <c r="Q461" s="7"/>
      <c r="R461" s="7"/>
      <c r="S461" s="7"/>
      <c r="T461" s="7"/>
      <c r="U461" s="7"/>
    </row>
    <row r="462" spans="1:21" outlineLevel="1">
      <c r="A462" s="96"/>
      <c r="B462" s="7"/>
      <c r="C462" s="75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7"/>
      <c r="P462" s="7"/>
      <c r="Q462" s="7"/>
      <c r="R462" s="7"/>
      <c r="S462" s="7"/>
      <c r="T462" s="7"/>
      <c r="U462" s="7"/>
    </row>
    <row r="463" spans="1:21" outlineLevel="1">
      <c r="A463" s="96"/>
      <c r="B463" s="7"/>
      <c r="C463" s="75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7"/>
      <c r="P463" s="7"/>
      <c r="Q463" s="7"/>
      <c r="R463" s="7"/>
      <c r="S463" s="7"/>
      <c r="T463" s="7"/>
      <c r="U463" s="7"/>
    </row>
    <row r="464" spans="1:21" outlineLevel="1">
      <c r="A464" s="59"/>
      <c r="B464" s="7"/>
      <c r="C464" s="75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outlineLevel="1">
      <c r="A465" s="7"/>
      <c r="B465" s="104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7"/>
      <c r="P465" s="7"/>
      <c r="Q465" s="7"/>
      <c r="R465" s="7"/>
      <c r="S465" s="7"/>
      <c r="T465" s="7"/>
      <c r="U465" s="7"/>
    </row>
    <row r="466" spans="1:21" outlineLevel="1">
      <c r="A466" s="7"/>
      <c r="B466" s="7"/>
      <c r="C466" s="75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 outlineLevel="1">
      <c r="A467" s="59"/>
      <c r="B467" s="7"/>
      <c r="C467" s="75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7"/>
      <c r="P467" s="7"/>
      <c r="Q467" s="7"/>
      <c r="R467" s="7"/>
      <c r="S467" s="7"/>
      <c r="T467" s="7"/>
      <c r="U467" s="7"/>
    </row>
    <row r="468" spans="1:21" outlineLevel="1">
      <c r="A468" s="7"/>
      <c r="B468" s="7"/>
      <c r="C468" s="75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7"/>
      <c r="P468" s="7"/>
      <c r="Q468" s="7"/>
      <c r="R468" s="7"/>
      <c r="S468" s="7"/>
      <c r="T468" s="7"/>
      <c r="U468" s="7"/>
    </row>
    <row r="469" spans="1:21" outlineLevel="1">
      <c r="A469" s="59"/>
      <c r="B469" s="7"/>
      <c r="C469" s="75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7"/>
      <c r="P469" s="7"/>
      <c r="Q469" s="7"/>
      <c r="R469" s="7"/>
      <c r="S469" s="7"/>
      <c r="T469" s="7"/>
      <c r="U469" s="7"/>
    </row>
    <row r="470" spans="1:21" outlineLevel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1:21" outlineLevel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1:21" s="108" customFormat="1" ht="18.75" outlineLevel="1">
      <c r="A472" s="106"/>
      <c r="B472" s="107"/>
      <c r="C472" s="107"/>
    </row>
    <row r="473" spans="1:21" s="108" customFormat="1" outlineLevel="1">
      <c r="A473" s="107"/>
      <c r="B473" s="109"/>
      <c r="C473" s="110"/>
      <c r="D473" s="107"/>
      <c r="E473" s="111"/>
    </row>
    <row r="474" spans="1:21" s="108" customFormat="1" outlineLevel="1">
      <c r="A474" s="107"/>
      <c r="B474" s="112"/>
      <c r="C474" s="90"/>
      <c r="D474" s="90"/>
      <c r="E474" s="111"/>
    </row>
    <row r="475" spans="1:21" s="108" customFormat="1" outlineLevel="1">
      <c r="A475" s="107"/>
      <c r="B475" s="90"/>
      <c r="C475" s="111"/>
      <c r="D475" s="90"/>
      <c r="E475" s="112"/>
    </row>
    <row r="476" spans="1:21" s="108" customFormat="1" outlineLevel="1">
      <c r="A476" s="113"/>
      <c r="B476" s="109"/>
      <c r="C476" s="109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</row>
    <row r="477" spans="1:21" s="108" customFormat="1" outlineLevel="1">
      <c r="A477" s="82"/>
      <c r="B477" s="107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</row>
    <row r="478" spans="1:21" s="108" customFormat="1" outlineLevel="1">
      <c r="A478" s="81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</row>
    <row r="479" spans="1:21" s="108" customFormat="1" outlineLevel="1">
      <c r="A479" s="81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</row>
    <row r="480" spans="1:21" s="108" customFormat="1" outlineLevel="1">
      <c r="A480" s="81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</row>
    <row r="481" spans="1:21" s="108" customFormat="1" outlineLevel="1">
      <c r="A481" s="80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</row>
    <row r="482" spans="1:21" s="108" customFormat="1" outlineLevel="1">
      <c r="A482" s="71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</row>
    <row r="483" spans="1:21" s="108" customFormat="1" outlineLevel="1">
      <c r="A483" s="82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</row>
    <row r="484" spans="1:21" s="108" customFormat="1" outlineLevel="1">
      <c r="A484" s="115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</row>
    <row r="485" spans="1:21" s="108" customFormat="1" outlineLevel="1">
      <c r="A485" s="115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</row>
    <row r="486" spans="1:21" s="108" customFormat="1" outlineLevel="1">
      <c r="A486" s="115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</row>
    <row r="487" spans="1:21" s="108" customFormat="1" outlineLevel="1">
      <c r="A487" s="115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</row>
    <row r="488" spans="1:21" s="108" customFormat="1" outlineLevel="1">
      <c r="A488" s="115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</row>
    <row r="489" spans="1:21" s="108" customFormat="1" outlineLevel="1">
      <c r="A489" s="85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</row>
    <row r="490" spans="1:21" s="108" customFormat="1" outlineLevel="1">
      <c r="A490" s="115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</row>
    <row r="491" spans="1:21" s="108" customFormat="1" outlineLevel="1">
      <c r="A491" s="115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</row>
    <row r="492" spans="1:21" s="108" customFormat="1" outlineLevel="1">
      <c r="A492" s="115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</row>
    <row r="493" spans="1:21" s="108" customFormat="1" outlineLevel="1">
      <c r="A493" s="115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</row>
    <row r="494" spans="1:21" s="108" customFormat="1" outlineLevel="1">
      <c r="A494" s="115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</row>
    <row r="495" spans="1:21" s="108" customFormat="1" outlineLevel="1">
      <c r="A495" s="82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</row>
    <row r="496" spans="1:21" s="108" customFormat="1" outlineLevel="1">
      <c r="A496" s="82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</row>
    <row r="497" spans="1:21" s="108" customFormat="1" outlineLevel="1">
      <c r="A497" s="82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</row>
    <row r="498" spans="1:21" s="108" customFormat="1" outlineLevel="1">
      <c r="A498" s="82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</row>
    <row r="499" spans="1:21" s="108" customFormat="1" outlineLevel="1">
      <c r="A499" s="81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</row>
    <row r="500" spans="1:21" s="108" customFormat="1" outlineLevel="1">
      <c r="A500" s="81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</row>
    <row r="501" spans="1:21" s="108" customFormat="1" outlineLevel="1">
      <c r="A501" s="82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</row>
    <row r="502" spans="1:21" s="108" customFormat="1" outlineLevel="1">
      <c r="A502" s="84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</row>
    <row r="503" spans="1:21" s="108" customFormat="1" outlineLevel="1">
      <c r="A503" s="81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</row>
    <row r="504" spans="1:21" s="108" customFormat="1" ht="13.9" customHeight="1" outlineLevel="1">
      <c r="A504" s="80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</row>
    <row r="505" spans="1:21" s="118" customFormat="1" outlineLevel="1">
      <c r="A505" s="117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</row>
    <row r="506" spans="1:21" s="108" customFormat="1" outlineLevel="1">
      <c r="A506" s="80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</row>
    <row r="507" spans="1:21" s="108" customFormat="1" outlineLevel="1">
      <c r="A507" s="81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</row>
    <row r="508" spans="1:21" s="108" customFormat="1" outlineLevel="1">
      <c r="A508" s="81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</row>
    <row r="509" spans="1:21" s="108" customFormat="1" outlineLevel="1">
      <c r="A509" s="81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</row>
    <row r="510" spans="1:21" s="108" customFormat="1" outlineLevel="1">
      <c r="A510" s="81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</row>
    <row r="511" spans="1:21" s="108" customFormat="1" outlineLevel="1">
      <c r="A511" s="82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</row>
    <row r="512" spans="1:21" s="118" customFormat="1" outlineLevel="1">
      <c r="A512" s="119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</row>
    <row r="513" spans="1:21" s="108" customFormat="1" outlineLevel="1">
      <c r="A513" s="81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</row>
    <row r="514" spans="1:21" s="108" customFormat="1" outlineLevel="1">
      <c r="A514" s="84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</row>
    <row r="515" spans="1:21" s="108" customFormat="1" outlineLevel="1">
      <c r="A515" s="8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</row>
    <row r="516" spans="1:21" s="108" customFormat="1" outlineLevel="1">
      <c r="A516" s="8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</row>
    <row r="517" spans="1:21" s="108" customFormat="1" outlineLevel="1">
      <c r="A517" s="81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</row>
    <row r="518" spans="1:21" s="118" customFormat="1" outlineLevel="1">
      <c r="A518" s="117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</row>
    <row r="519" spans="1:21" s="108" customFormat="1" outlineLevel="1">
      <c r="A519" s="81"/>
      <c r="B519" s="114"/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</row>
    <row r="520" spans="1:21" s="108" customFormat="1" outlineLevel="1">
      <c r="A520" s="84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</row>
    <row r="521" spans="1:21" s="108" customFormat="1" outlineLevel="1">
      <c r="A521" s="80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</row>
    <row r="522" spans="1:21" s="118" customFormat="1" outlineLevel="1">
      <c r="A522" s="119"/>
      <c r="B522" s="114"/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</row>
    <row r="523" spans="1:21" s="108" customFormat="1" outlineLevel="1">
      <c r="A523" s="82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</row>
    <row r="524" spans="1:21" s="118" customFormat="1" outlineLevel="1">
      <c r="A524" s="119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</row>
    <row r="525" spans="1:21" s="108" customFormat="1" outlineLevel="1">
      <c r="A525" s="82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</row>
    <row r="526" spans="1:21" s="108" customFormat="1" outlineLevel="1">
      <c r="A526" s="82"/>
      <c r="B526" s="114"/>
      <c r="C526" s="114"/>
      <c r="D526" s="114"/>
      <c r="E526" s="114"/>
      <c r="F526" s="114"/>
      <c r="G526" s="114"/>
      <c r="H526" s="114"/>
      <c r="I526" s="114"/>
      <c r="J526" s="114"/>
      <c r="K526" s="114"/>
      <c r="L526" s="114"/>
      <c r="M526" s="114"/>
      <c r="N526" s="114"/>
      <c r="O526" s="114"/>
      <c r="P526" s="114"/>
      <c r="Q526" s="114"/>
      <c r="R526" s="114"/>
      <c r="S526" s="114"/>
      <c r="T526" s="114"/>
      <c r="U526" s="114"/>
    </row>
    <row r="527" spans="1:21" s="108" customFormat="1" outlineLevel="1">
      <c r="A527" s="82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4"/>
      <c r="Q527" s="114"/>
      <c r="R527" s="114"/>
      <c r="S527" s="114"/>
      <c r="T527" s="114"/>
      <c r="U527" s="114"/>
    </row>
    <row r="528" spans="1:21" outlineLevel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outlineLevel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outlineLevel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t="18.75" outlineLevel="1">
      <c r="A531" s="8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outlineLevel="1">
      <c r="A532" s="59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outlineLevel="1">
      <c r="A533" s="120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7"/>
      <c r="N533" s="7"/>
      <c r="O533" s="7"/>
      <c r="P533" s="7"/>
      <c r="Q533" s="7"/>
      <c r="R533" s="7"/>
      <c r="S533" s="7"/>
      <c r="T533" s="7"/>
      <c r="U533" s="7"/>
    </row>
    <row r="534" spans="1:21" outlineLevel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outlineLevel="1">
      <c r="A535" s="2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2">
      <c r="A536" s="59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2">
      <c r="A537" s="88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2">
      <c r="A538" s="88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2">
      <c r="A539" s="121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2">
      <c r="A540" s="88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idden="1" outlineLevel="2">
      <c r="A541" s="7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idden="1" outlineLevel="2">
      <c r="A542" s="5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idden="1" outlineLevel="2">
      <c r="A543" s="88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idden="1" outlineLevel="2">
      <c r="A544" s="88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idden="1" outlineLevel="2">
      <c r="A545" s="88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idden="1" outlineLevel="2">
      <c r="A546" s="88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idden="1" outlineLevel="2">
      <c r="A547" s="88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idden="1" outlineLevel="2">
      <c r="A548" s="88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idden="1" outlineLevel="2">
      <c r="A549" s="88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idden="1" outlineLevel="2">
      <c r="A550" s="88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idden="1" outlineLevel="2">
      <c r="A551" s="88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7"/>
      <c r="N551" s="7"/>
      <c r="O551" s="7"/>
      <c r="P551" s="7"/>
      <c r="Q551" s="7"/>
      <c r="R551" s="7"/>
      <c r="S551" s="7"/>
      <c r="T551" s="7"/>
      <c r="U551" s="7"/>
    </row>
    <row r="552" spans="1:21" hidden="1" outlineLevel="2">
      <c r="A552" s="88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7"/>
      <c r="N552" s="7"/>
      <c r="O552" s="7"/>
      <c r="P552" s="7"/>
      <c r="Q552" s="7"/>
      <c r="R552" s="7"/>
      <c r="S552" s="7"/>
      <c r="T552" s="7"/>
      <c r="U552" s="7"/>
    </row>
    <row r="553" spans="1:21" hidden="1" outlineLevel="2">
      <c r="A553" s="7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7"/>
      <c r="N553" s="7"/>
      <c r="O553" s="7"/>
      <c r="P553" s="7"/>
      <c r="Q553" s="7"/>
      <c r="R553" s="7"/>
      <c r="S553" s="7"/>
      <c r="T553" s="7"/>
      <c r="U553" s="7"/>
    </row>
    <row r="554" spans="1:21" hidden="1" outlineLevel="2">
      <c r="A554" s="7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7"/>
      <c r="N554" s="7"/>
      <c r="O554" s="7"/>
      <c r="P554" s="7"/>
      <c r="Q554" s="7"/>
      <c r="R554" s="7"/>
      <c r="S554" s="7"/>
      <c r="T554" s="7"/>
      <c r="U554" s="7"/>
    </row>
    <row r="555" spans="1:21" hidden="1" outlineLevel="2">
      <c r="A555" s="7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7"/>
      <c r="N555" s="7"/>
      <c r="O555" s="7"/>
      <c r="P555" s="7"/>
      <c r="Q555" s="7"/>
      <c r="R555" s="7"/>
      <c r="S555" s="7"/>
      <c r="T555" s="7"/>
      <c r="U555" s="7"/>
    </row>
    <row r="556" spans="1:21" hidden="1" outlineLevel="2">
      <c r="A556" s="88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7"/>
      <c r="N556" s="7"/>
      <c r="O556" s="7"/>
      <c r="P556" s="7"/>
      <c r="Q556" s="7"/>
      <c r="R556" s="7"/>
      <c r="S556" s="7"/>
      <c r="T556" s="7"/>
      <c r="U556" s="7"/>
    </row>
    <row r="557" spans="1:21" hidden="1" outlineLevel="2">
      <c r="A557" s="7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7"/>
      <c r="N557" s="7"/>
      <c r="O557" s="7"/>
      <c r="P557" s="7"/>
      <c r="Q557" s="7"/>
      <c r="R557" s="7"/>
      <c r="S557" s="7"/>
      <c r="T557" s="7"/>
      <c r="U557" s="7"/>
    </row>
    <row r="558" spans="1:21" hidden="1" outlineLevel="2">
      <c r="A558" s="7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7"/>
      <c r="N558" s="7"/>
      <c r="O558" s="7"/>
      <c r="P558" s="7"/>
      <c r="Q558" s="7"/>
      <c r="R558" s="7"/>
      <c r="S558" s="7"/>
      <c r="T558" s="7"/>
      <c r="U558" s="7"/>
    </row>
    <row r="559" spans="1:21" hidden="1" outlineLevel="2">
      <c r="A559" s="5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7"/>
      <c r="N559" s="7"/>
      <c r="O559" s="7"/>
      <c r="P559" s="7"/>
      <c r="Q559" s="7"/>
      <c r="R559" s="7"/>
      <c r="S559" s="7"/>
      <c r="T559" s="7"/>
      <c r="U559" s="7"/>
    </row>
    <row r="560" spans="1:21" hidden="1" outlineLevel="2">
      <c r="A560" s="88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7"/>
      <c r="N560" s="7"/>
      <c r="O560" s="7"/>
      <c r="P560" s="7"/>
      <c r="Q560" s="7"/>
      <c r="R560" s="7"/>
      <c r="S560" s="7"/>
      <c r="T560" s="7"/>
      <c r="U560" s="7"/>
    </row>
    <row r="561" spans="1:21" outlineLevel="1" collapsed="1">
      <c r="A561" s="5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7"/>
      <c r="N561" s="7"/>
      <c r="O561" s="7"/>
      <c r="P561" s="7"/>
      <c r="Q561" s="7"/>
      <c r="R561" s="7"/>
      <c r="S561" s="7"/>
      <c r="T561" s="7"/>
      <c r="U561" s="7"/>
    </row>
    <row r="562" spans="1:21" outlineLevel="1">
      <c r="A562" s="5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7"/>
      <c r="N562" s="7"/>
      <c r="O562" s="7"/>
      <c r="P562" s="7"/>
      <c r="Q562" s="7"/>
      <c r="R562" s="7"/>
      <c r="S562" s="7"/>
      <c r="T562" s="7"/>
      <c r="U562" s="7"/>
    </row>
    <row r="563" spans="1:21" outlineLevel="1">
      <c r="A563" s="5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7"/>
      <c r="N563" s="7"/>
      <c r="O563" s="7"/>
      <c r="P563" s="7"/>
      <c r="Q563" s="7"/>
      <c r="R563" s="7"/>
      <c r="S563" s="7"/>
      <c r="T563" s="7"/>
      <c r="U563" s="7"/>
    </row>
    <row r="564" spans="1:21" outlineLevel="1">
      <c r="A564" s="7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7"/>
      <c r="N564" s="7"/>
      <c r="O564" s="7"/>
      <c r="P564" s="7"/>
      <c r="Q564" s="7"/>
      <c r="R564" s="7"/>
      <c r="S564" s="7"/>
      <c r="T564" s="7"/>
      <c r="U564" s="7"/>
    </row>
    <row r="565" spans="1:21" outlineLevel="1">
      <c r="A565" s="7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7"/>
      <c r="N565" s="7"/>
      <c r="O565" s="7"/>
      <c r="P565" s="7"/>
      <c r="Q565" s="7"/>
      <c r="R565" s="7"/>
      <c r="S565" s="7"/>
      <c r="T565" s="7"/>
      <c r="U565" s="7"/>
    </row>
    <row r="566" spans="1:21" outlineLevel="1">
      <c r="A566" s="5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7"/>
      <c r="N566" s="7"/>
      <c r="O566" s="7"/>
      <c r="P566" s="7"/>
      <c r="Q566" s="7"/>
      <c r="R566" s="7"/>
      <c r="S566" s="7"/>
      <c r="T566" s="7"/>
      <c r="U566" s="7"/>
    </row>
    <row r="567" spans="1:21" outlineLevel="1">
      <c r="A567" s="5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7"/>
      <c r="N567" s="7"/>
      <c r="O567" s="7"/>
      <c r="P567" s="7"/>
      <c r="Q567" s="7"/>
      <c r="R567" s="7"/>
      <c r="S567" s="7"/>
      <c r="T567" s="7"/>
      <c r="U567" s="7"/>
    </row>
    <row r="568" spans="1:21" outlineLevel="1">
      <c r="A568" s="5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7"/>
      <c r="N568" s="7"/>
      <c r="O568" s="7"/>
      <c r="P568" s="7"/>
      <c r="Q568" s="7"/>
      <c r="R568" s="7"/>
      <c r="S568" s="7"/>
      <c r="T568" s="7"/>
      <c r="U568" s="7"/>
    </row>
    <row r="569" spans="1:21" outlineLevel="1">
      <c r="A569" s="5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89"/>
      <c r="E570" s="89"/>
      <c r="F570" s="89"/>
      <c r="G570" s="89"/>
      <c r="H570" s="89"/>
      <c r="I570" s="89"/>
      <c r="J570" s="89"/>
      <c r="K570" s="89"/>
      <c r="L570" s="89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89"/>
      <c r="E571" s="89"/>
      <c r="F571" s="89"/>
      <c r="G571" s="89"/>
      <c r="H571" s="89"/>
      <c r="I571" s="89"/>
      <c r="J571" s="89"/>
      <c r="K571" s="89"/>
      <c r="L571" s="89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89"/>
      <c r="E572" s="89"/>
      <c r="F572" s="89"/>
      <c r="G572" s="89"/>
      <c r="H572" s="89"/>
      <c r="I572" s="89"/>
      <c r="J572" s="89"/>
      <c r="K572" s="89"/>
      <c r="L572" s="89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89"/>
      <c r="E573" s="89"/>
      <c r="F573" s="89"/>
      <c r="G573" s="89"/>
      <c r="H573" s="89"/>
      <c r="I573" s="89"/>
      <c r="J573" s="89"/>
      <c r="K573" s="89"/>
      <c r="L573" s="89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89"/>
      <c r="E574" s="89"/>
      <c r="F574" s="89"/>
      <c r="G574" s="89"/>
      <c r="H574" s="89"/>
      <c r="I574" s="89"/>
      <c r="J574" s="89"/>
      <c r="K574" s="89"/>
      <c r="L574" s="89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  <row r="741" s="7" customFormat="1"/>
    <row r="742" s="7" customFormat="1"/>
    <row r="743" s="7" customFormat="1"/>
    <row r="744" s="7" customFormat="1"/>
    <row r="745" s="7" customFormat="1"/>
    <row r="746" s="7" customFormat="1"/>
    <row r="747" s="7" customFormat="1"/>
    <row r="748" s="7" customFormat="1"/>
    <row r="749" s="7" customFormat="1"/>
    <row r="750" s="7" customFormat="1"/>
    <row r="751" s="7" customFormat="1"/>
    <row r="752" s="7" customFormat="1"/>
    <row r="753" s="7" customFormat="1"/>
    <row r="754" s="7" customFormat="1"/>
    <row r="755" s="7" customFormat="1"/>
    <row r="756" s="7" customFormat="1"/>
    <row r="757" s="7" customFormat="1"/>
    <row r="758" s="7" customFormat="1"/>
    <row r="759" s="7" customFormat="1"/>
    <row r="760" s="7" customFormat="1"/>
    <row r="761" s="7" customFormat="1"/>
    <row r="762" s="7" customFormat="1"/>
    <row r="763" s="7" customFormat="1"/>
    <row r="764" s="7" customFormat="1"/>
    <row r="765" s="7" customFormat="1"/>
    <row r="766" s="7" customFormat="1"/>
    <row r="767" s="7" customFormat="1"/>
    <row r="768" s="7" customFormat="1"/>
    <row r="769" s="7" customFormat="1"/>
    <row r="770" s="7" customFormat="1"/>
    <row r="771" s="7" customFormat="1"/>
    <row r="772" s="7" customFormat="1"/>
    <row r="773" s="7" customFormat="1"/>
    <row r="774" s="7" customFormat="1"/>
    <row r="775" s="7" customFormat="1"/>
    <row r="776" s="7" customFormat="1"/>
    <row r="777" s="7" customFormat="1"/>
    <row r="778" s="7" customFormat="1"/>
    <row r="779" s="7" customFormat="1"/>
    <row r="780" s="7" customFormat="1"/>
    <row r="781" s="7" customFormat="1"/>
    <row r="782" s="7" customFormat="1"/>
    <row r="783" s="7" customFormat="1"/>
  </sheetData>
  <pageMargins left="0.18" right="0.17" top="0.37" bottom="0.4" header="0.17" footer="0.21"/>
  <pageSetup scale="54" orientation="landscape" r:id="rId1"/>
  <headerFooter alignWithMargins="0">
    <oddHeader>&amp;L&amp;12Enron Generation Company</oddHeader>
    <oddFooter>&amp;L&amp;T, &amp;D&amp;C&amp;F&amp;RPage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2:BC781"/>
  <sheetViews>
    <sheetView zoomScale="75" zoomScaleNormal="75" workbookViewId="0"/>
  </sheetViews>
  <sheetFormatPr defaultRowHeight="12.75" outlineLevelRow="2" outlineLevelCol="1"/>
  <cols>
    <col min="1" max="1" width="38.71093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0.5703125" style="7" bestFit="1" customWidth="1"/>
    <col min="24" max="16384" width="9.140625" style="7"/>
  </cols>
  <sheetData>
    <row r="2" spans="1:55" ht="18.75">
      <c r="A2" s="54" t="s">
        <v>131</v>
      </c>
      <c r="B2" s="413"/>
      <c r="C2" s="413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</row>
    <row r="5" spans="1:55" ht="13.5" thickBot="1">
      <c r="A5" s="202" t="s">
        <v>83</v>
      </c>
      <c r="B5" s="8">
        <f>Brownsville!B5</f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  <c r="Y5" s="547">
        <f>SUM(Z5:AS5)-SUM(Z6:AS6)</f>
        <v>0</v>
      </c>
      <c r="Z5" s="548">
        <f>B11+B12</f>
        <v>861.71447999999998</v>
      </c>
      <c r="AA5" s="548">
        <f>C11+C12</f>
        <v>887.5659144</v>
      </c>
      <c r="AB5" s="548">
        <f>D11+D12</f>
        <v>914.19289183199999</v>
      </c>
      <c r="AC5" s="548">
        <f t="shared" ref="AC5:AS5" si="1">E16</f>
        <v>595.26324130522073</v>
      </c>
      <c r="AD5" s="548">
        <f t="shared" si="1"/>
        <v>613.12113854437735</v>
      </c>
      <c r="AE5" s="548">
        <f t="shared" si="1"/>
        <v>631.51477270070859</v>
      </c>
      <c r="AF5" s="548">
        <f t="shared" si="1"/>
        <v>650.46021588172994</v>
      </c>
      <c r="AG5" s="548">
        <f t="shared" si="1"/>
        <v>669.97402235818174</v>
      </c>
      <c r="AH5" s="548">
        <f t="shared" si="1"/>
        <v>690.07324302892721</v>
      </c>
      <c r="AI5" s="548">
        <f t="shared" si="1"/>
        <v>710.77544031979505</v>
      </c>
      <c r="AJ5" s="548">
        <f t="shared" si="1"/>
        <v>732.09870352938901</v>
      </c>
      <c r="AK5" s="548">
        <f t="shared" si="1"/>
        <v>754.06166463527052</v>
      </c>
      <c r="AL5" s="548">
        <f t="shared" si="1"/>
        <v>776.68351457432868</v>
      </c>
      <c r="AM5" s="548">
        <f t="shared" si="1"/>
        <v>799.98402001155853</v>
      </c>
      <c r="AN5" s="548">
        <f t="shared" si="1"/>
        <v>823.98354061190537</v>
      </c>
      <c r="AO5" s="548">
        <f t="shared" si="1"/>
        <v>848.70304683026234</v>
      </c>
      <c r="AP5" s="548">
        <f t="shared" si="1"/>
        <v>874.1641382351703</v>
      </c>
      <c r="AQ5" s="548">
        <f t="shared" si="1"/>
        <v>900.38906238222546</v>
      </c>
      <c r="AR5" s="548">
        <f t="shared" si="1"/>
        <v>927.40073425369212</v>
      </c>
      <c r="AS5" s="548">
        <f t="shared" si="1"/>
        <v>955.22275628130285</v>
      </c>
    </row>
    <row r="6" spans="1:55">
      <c r="A6" s="2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Y6" s="547">
        <v>0</v>
      </c>
      <c r="Z6" s="549">
        <f>B24+B25</f>
        <v>861.71447999999998</v>
      </c>
      <c r="AA6" s="549">
        <f>C24+C25</f>
        <v>887.5659144</v>
      </c>
      <c r="AB6" s="549">
        <f>D24+D25</f>
        <v>914.19289183199999</v>
      </c>
      <c r="AC6" s="549">
        <f t="shared" ref="AC6:AS6" si="2">E24+1/3*E25</f>
        <v>595.26324130522073</v>
      </c>
      <c r="AD6" s="549">
        <f t="shared" si="2"/>
        <v>613.12113854437735</v>
      </c>
      <c r="AE6" s="549">
        <f t="shared" si="2"/>
        <v>631.51477270070882</v>
      </c>
      <c r="AF6" s="549">
        <f t="shared" si="2"/>
        <v>650.46021588173005</v>
      </c>
      <c r="AG6" s="549">
        <f t="shared" si="2"/>
        <v>669.97402235818197</v>
      </c>
      <c r="AH6" s="549">
        <f t="shared" si="2"/>
        <v>690.07324302892744</v>
      </c>
      <c r="AI6" s="549">
        <f t="shared" si="2"/>
        <v>710.77544031979528</v>
      </c>
      <c r="AJ6" s="549">
        <f t="shared" si="2"/>
        <v>732.09870352938924</v>
      </c>
      <c r="AK6" s="549">
        <f t="shared" si="2"/>
        <v>754.06166463527086</v>
      </c>
      <c r="AL6" s="549">
        <f t="shared" si="2"/>
        <v>776.68351457432902</v>
      </c>
      <c r="AM6" s="549">
        <f t="shared" si="2"/>
        <v>799.98402001155887</v>
      </c>
      <c r="AN6" s="549">
        <f t="shared" si="2"/>
        <v>823.9835406119056</v>
      </c>
      <c r="AO6" s="549">
        <f t="shared" si="2"/>
        <v>848.70304683026279</v>
      </c>
      <c r="AP6" s="549">
        <f t="shared" si="2"/>
        <v>874.16413823517087</v>
      </c>
      <c r="AQ6" s="549">
        <f t="shared" si="2"/>
        <v>900.38906238222592</v>
      </c>
      <c r="AR6" s="549">
        <f t="shared" si="2"/>
        <v>927.40073425369269</v>
      </c>
      <c r="AS6" s="549">
        <f t="shared" si="2"/>
        <v>955.22275628130353</v>
      </c>
    </row>
    <row r="7" spans="1:55">
      <c r="A7" s="2"/>
      <c r="B7" s="477"/>
      <c r="C7" s="477"/>
      <c r="D7" s="477"/>
      <c r="E7" s="477"/>
      <c r="F7" s="477"/>
      <c r="G7" s="477"/>
      <c r="H7" s="477"/>
      <c r="I7" s="477"/>
      <c r="J7" s="477"/>
      <c r="K7" s="477"/>
      <c r="L7" s="477"/>
      <c r="M7" s="477"/>
      <c r="N7" s="477"/>
      <c r="O7" s="477"/>
      <c r="P7" s="477"/>
      <c r="Q7" s="477"/>
      <c r="R7" s="477"/>
      <c r="S7" s="477"/>
      <c r="T7" s="477"/>
      <c r="U7" s="477"/>
    </row>
    <row r="8" spans="1:55">
      <c r="A8" s="1" t="s">
        <v>84</v>
      </c>
      <c r="B8" s="478"/>
      <c r="C8" s="478"/>
      <c r="D8" s="478"/>
      <c r="E8" s="478"/>
      <c r="F8" s="478"/>
      <c r="G8" s="478"/>
      <c r="H8" s="478"/>
      <c r="I8" s="478"/>
      <c r="J8" s="478"/>
      <c r="K8" s="478"/>
      <c r="L8" s="478"/>
      <c r="M8" s="478"/>
      <c r="N8" s="478"/>
      <c r="O8" s="478"/>
      <c r="P8" s="478"/>
      <c r="Q8" s="478"/>
      <c r="R8" s="478"/>
      <c r="S8" s="478"/>
      <c r="T8" s="478"/>
      <c r="U8" s="478"/>
      <c r="V8" s="60"/>
      <c r="W8" s="60"/>
      <c r="X8" s="60"/>
    </row>
    <row r="9" spans="1:55">
      <c r="A9" s="385" t="s">
        <v>198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60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55">
      <c r="A10" s="3" t="s">
        <v>85</v>
      </c>
      <c r="B10" s="58">
        <f>'Power Price Assumption'!E32*12*(Summary!$E$11+Summary!$E$12)</f>
        <v>17808</v>
      </c>
      <c r="C10" s="58">
        <f>'Power Price Assumption'!F32*12*(Summary!$E$11+Summary!$E$12)</f>
        <v>17808</v>
      </c>
      <c r="D10" s="58">
        <f>'Power Price Assumption'!G32*12*(Summary!$E$11+Summary!$E$12)</f>
        <v>17808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60"/>
      <c r="W10" s="93">
        <f>SUM(B10:U10)</f>
        <v>53424</v>
      </c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1:55">
      <c r="A11" s="3" t="s">
        <v>317</v>
      </c>
      <c r="B11" s="58">
        <f>Summary!E24*Summary!E26/1000*(1+Summary!$E$48)</f>
        <v>398.21447999999998</v>
      </c>
      <c r="C11" s="58">
        <f>B11*(1+Summary!$E$48)</f>
        <v>410.16091439999997</v>
      </c>
      <c r="D11" s="58">
        <f>C11*(1+Summary!$E$48)</f>
        <v>422.46574183199999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60"/>
      <c r="W11" s="93">
        <f>SUM(B11:U11)</f>
        <v>1230.8411362320001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1:55">
      <c r="A12" s="3" t="s">
        <v>213</v>
      </c>
      <c r="B12" s="129">
        <f>Summary!$E$25*Summary!$E$14*Summary!$E$9/1000*(1+Summary!$E$48)</f>
        <v>463.5</v>
      </c>
      <c r="C12" s="93">
        <f>B12*(1+Summary!$E$48)</f>
        <v>477.40500000000003</v>
      </c>
      <c r="D12" s="93">
        <f>C12*(1+Summary!$E$48)</f>
        <v>491.72715000000005</v>
      </c>
      <c r="E12" s="58"/>
      <c r="F12" s="58"/>
      <c r="G12" s="58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0"/>
      <c r="W12" s="93">
        <f>SUM(B12:U12)</f>
        <v>1432.6321499999999</v>
      </c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</row>
    <row r="13" spans="1:55">
      <c r="A13" s="1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60"/>
      <c r="W13" s="93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</row>
    <row r="14" spans="1:55">
      <c r="A14" s="385" t="s">
        <v>233</v>
      </c>
      <c r="W14" s="93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</row>
    <row r="15" spans="1:55" s="64" customFormat="1" ht="12" customHeight="1">
      <c r="A15" s="3" t="s">
        <v>85</v>
      </c>
      <c r="B15" s="21">
        <v>0</v>
      </c>
      <c r="C15" s="21">
        <v>0</v>
      </c>
      <c r="D15" s="21">
        <v>0</v>
      </c>
      <c r="E15" s="21">
        <f>'Power Price Assumption'!H32*(Summary!$E$11+Summary!$E$12)*12*(1-Summary!$E$29)</f>
        <v>26395.318865498433</v>
      </c>
      <c r="F15" s="21">
        <f>'Power Price Assumption'!I32*(Summary!$E$11+Summary!$E$12)*12*(1-Summary!$E$29)</f>
        <v>27723.767479452803</v>
      </c>
      <c r="G15" s="21">
        <f>'Power Price Assumption'!J32*(Summary!$E$11+Summary!$E$12)*12*(1-Summary!$E$29)</f>
        <v>28094.908237645472</v>
      </c>
      <c r="H15" s="21">
        <f>'Power Price Assumption'!K32*(Summary!$E$11+Summary!$E$12)*12*(1-Summary!$E$29)</f>
        <v>28415.927107180534</v>
      </c>
      <c r="I15" s="21">
        <f>'Power Price Assumption'!L32*(Summary!$E$11+Summary!$E$12)*12*(1-Summary!$E$29)</f>
        <v>28779.783803194019</v>
      </c>
      <c r="J15" s="21">
        <f>'Power Price Assumption'!M32*(Summary!$E$11+Summary!$E$12)*12*(1-Summary!$E$29)</f>
        <v>29190.225541643642</v>
      </c>
      <c r="K15" s="21">
        <f>'Power Price Assumption'!N32*(Summary!$E$11+Summary!$E$12)*12*(1-Summary!$E$29)</f>
        <v>29547.554164653411</v>
      </c>
      <c r="L15" s="21">
        <f>'Power Price Assumption'!O32*(Summary!$E$11+Summary!$E$12)*12*(1-Summary!$E$29)</f>
        <v>30113.623097070984</v>
      </c>
      <c r="M15" s="21">
        <f>'Power Price Assumption'!P32*(Summary!$E$11+Summary!$E$12)*12*(1-Summary!$E$29)</f>
        <v>30687.063366685423</v>
      </c>
      <c r="N15" s="21">
        <f>'Power Price Assumption'!Q32*(Summary!$E$11+Summary!$E$12)*12*(1-Summary!$E$29)</f>
        <v>31267.807791689367</v>
      </c>
      <c r="O15" s="21">
        <f>'Power Price Assumption'!R32*(Summary!$E$11+Summary!$E$12)*12*(1-Summary!$E$29)</f>
        <v>31855.778525163521</v>
      </c>
      <c r="P15" s="21">
        <f>'Power Price Assumption'!S32*(Summary!$E$11+Summary!$E$12)*12*(1-Summary!$E$29)</f>
        <v>32450.886475633612</v>
      </c>
      <c r="Q15" s="21">
        <f>'Power Price Assumption'!T32*(Summary!$E$11+Summary!$E$12)*12*(1-Summary!$E$29)</f>
        <v>32929.236579978133</v>
      </c>
      <c r="R15" s="21">
        <f>'Power Price Assumption'!U32*(Summary!$E$11+Summary!$E$12)*12*(1-Summary!$E$29)</f>
        <v>33407.081892755254</v>
      </c>
      <c r="S15" s="21">
        <f>'Power Price Assumption'!V32*(Summary!$E$11+Summary!$E$12)*12*(1-Summary!$E$29)</f>
        <v>33883.961611377032</v>
      </c>
      <c r="T15" s="21">
        <f>'Power Price Assumption'!W32*(Summary!$E$11+Summary!$E$12)*12*(1-Summary!$E$29)</f>
        <v>34359.387739412625</v>
      </c>
      <c r="U15" s="21">
        <f>'Power Price Assumption'!X32*(Summary!$E$11+Summary!$E$12)*12*(1-Summary!$E$29)</f>
        <v>34832.843869680131</v>
      </c>
      <c r="W15" s="93">
        <f t="shared" ref="W15:W20" si="3">SUM(B15:U15)</f>
        <v>523935.15614871436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 spans="1:55" s="64" customFormat="1" ht="12" customHeight="1">
      <c r="A16" s="3" t="s">
        <v>86</v>
      </c>
      <c r="B16" s="21">
        <v>0</v>
      </c>
      <c r="C16" s="21">
        <v>0</v>
      </c>
      <c r="D16" s="21">
        <v>0</v>
      </c>
      <c r="E16" s="129">
        <f>1/3*Summary!$E$25*Summary!$E$14*Summary!$E$9/1000*(1+Summary!$E$48)^(E5-2000)+Summary!$E$31*Summary!$E$24*(1+Summary!$E$48)^(E5-2000)/1000</f>
        <v>595.26324130522073</v>
      </c>
      <c r="F16" s="129">
        <f>1/3*Summary!$E$25*Summary!$E$14*Summary!$E$9/1000*(1+Summary!$E$48)^(F5-2000)+Summary!$E$31*Summary!$E$24*(1+Summary!$E$48)^(F5-2000)/1000</f>
        <v>613.12113854437735</v>
      </c>
      <c r="G16" s="129">
        <f>1/3*Summary!$E$25*Summary!$E$14*Summary!$E$9/1000*(1+Summary!$E$48)^(G5-2000)+Summary!$E$31*Summary!$E$24*(1+Summary!$E$48)^(G5-2000)/1000</f>
        <v>631.51477270070859</v>
      </c>
      <c r="H16" s="129">
        <f>1/3*Summary!$E$25*Summary!$E$14*Summary!$E$9/1000*(1+Summary!$E$48)^(H5-2000)+Summary!$E$31*Summary!$E$24*(1+Summary!$E$48)^(H5-2000)/1000</f>
        <v>650.46021588172994</v>
      </c>
      <c r="I16" s="129">
        <f>1/3*Summary!$E$25*Summary!$E$14*Summary!$E$9/1000*(1+Summary!$E$48)^(I5-2000)+Summary!$E$31*Summary!$E$24*(1+Summary!$E$48)^(I5-2000)/1000</f>
        <v>669.97402235818174</v>
      </c>
      <c r="J16" s="129">
        <f>1/3*Summary!$E$25*Summary!$E$14*Summary!$E$9/1000*(1+Summary!$E$48)^(J5-2000)+Summary!$E$31*Summary!$E$24*(1+Summary!$E$48)^(J5-2000)/1000</f>
        <v>690.07324302892721</v>
      </c>
      <c r="K16" s="129">
        <f>1/3*Summary!$E$25*Summary!$E$14*Summary!$E$9/1000*(1+Summary!$E$48)^(K5-2000)+Summary!$E$31*Summary!$E$24*(1+Summary!$E$48)^(K5-2000)/1000</f>
        <v>710.77544031979505</v>
      </c>
      <c r="L16" s="129">
        <f>1/3*Summary!$E$25*Summary!$E$14*Summary!$E$9/1000*(1+Summary!$E$48)^(L5-2000)+Summary!$E$31*Summary!$E$24*(1+Summary!$E$48)^(L5-2000)/1000</f>
        <v>732.09870352938901</v>
      </c>
      <c r="M16" s="129">
        <f>1/3*Summary!$E$25*Summary!$E$14*Summary!$E$9/1000*(1+Summary!$E$48)^(M5-2000)+Summary!$E$31*Summary!$E$24*(1+Summary!$E$48)^(M5-2000)/1000</f>
        <v>754.06166463527052</v>
      </c>
      <c r="N16" s="129">
        <f>1/3*Summary!$E$25*Summary!$E$14*Summary!$E$9/1000*(1+Summary!$E$48)^(N5-2000)+Summary!$E$31*Summary!$E$24*(1+Summary!$E$48)^(N5-2000)/1000</f>
        <v>776.68351457432868</v>
      </c>
      <c r="O16" s="129">
        <f>1/3*Summary!$E$25*Summary!$E$14*Summary!$E$9/1000*(1+Summary!$E$48)^(O5-2000)+Summary!$E$31*Summary!$E$24*(1+Summary!$E$48)^(O5-2000)/1000</f>
        <v>799.98402001155853</v>
      </c>
      <c r="P16" s="129">
        <f>1/3*Summary!$E$25*Summary!$E$14*Summary!$E$9/1000*(1+Summary!$E$48)^(P5-2000)+Summary!$E$31*Summary!$E$24*(1+Summary!$E$48)^(P5-2000)/1000</f>
        <v>823.98354061190537</v>
      </c>
      <c r="Q16" s="129">
        <f>1/3*Summary!$E$25*Summary!$E$14*Summary!$E$9/1000*(1+Summary!$E$48)^(Q5-2000)+Summary!$E$31*Summary!$E$24*(1+Summary!$E$48)^(Q5-2000)/1000</f>
        <v>848.70304683026234</v>
      </c>
      <c r="R16" s="129">
        <f>1/3*Summary!$E$25*Summary!$E$14*Summary!$E$9/1000*(1+Summary!$E$48)^(R5-2000)+Summary!$E$31*Summary!$E$24*(1+Summary!$E$48)^(R5-2000)/1000</f>
        <v>874.1641382351703</v>
      </c>
      <c r="S16" s="129">
        <f>1/3*Summary!$E$25*Summary!$E$14*Summary!$E$9/1000*(1+Summary!$E$48)^(S5-2000)+Summary!$E$31*Summary!$E$24*(1+Summary!$E$48)^(S5-2000)/1000</f>
        <v>900.38906238222546</v>
      </c>
      <c r="T16" s="129">
        <f>1/3*Summary!$E$25*Summary!$E$14*Summary!$E$9/1000*(1+Summary!$E$48)^(T5-2000)+Summary!$E$31*Summary!$E$24*(1+Summary!$E$48)^(T5-2000)/1000</f>
        <v>927.40073425369212</v>
      </c>
      <c r="U16" s="129">
        <f>1/3*Summary!$E$25*Summary!$E$14*Summary!$E$9/1000*(1+Summary!$E$48)^(U5-2000)+Summary!$E$31*Summary!$E$24*(1+Summary!$E$48)^(U5-2000)/1000</f>
        <v>955.22275628130285</v>
      </c>
      <c r="W16" s="93">
        <f t="shared" si="3"/>
        <v>12953.873255484044</v>
      </c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 spans="1:55" s="64" customFormat="1" ht="12" customHeight="1">
      <c r="A17" s="3" t="s">
        <v>87</v>
      </c>
      <c r="B17" s="21">
        <v>0</v>
      </c>
      <c r="C17" s="21">
        <v>0</v>
      </c>
      <c r="D17" s="21">
        <v>0</v>
      </c>
      <c r="E17" s="21">
        <f>Summary!$E$11*Summary!$E$29*Summary!$E$30*Summary!$E$15/1000</f>
        <v>7.7323199999999996</v>
      </c>
      <c r="F17" s="21">
        <f>Summary!$E$11*Summary!$E$29*Summary!$E$30*Summary!$E$15/1000</f>
        <v>7.7323199999999996</v>
      </c>
      <c r="G17" s="21">
        <f>Summary!$E$11*Summary!$E$29*Summary!$E$30*Summary!$E$15/1000</f>
        <v>7.7323199999999996</v>
      </c>
      <c r="H17" s="21">
        <f>Summary!$E$11*Summary!$E$29*Summary!$E$30*Summary!$E$15/1000</f>
        <v>7.7323199999999996</v>
      </c>
      <c r="I17" s="21">
        <f>Summary!$E$11*Summary!$E$29*Summary!$E$30*Summary!$E$15/1000</f>
        <v>7.7323199999999996</v>
      </c>
      <c r="J17" s="21">
        <f>Summary!$E$11*Summary!$E$29*Summary!$E$30*Summary!$E$15/1000</f>
        <v>7.7323199999999996</v>
      </c>
      <c r="K17" s="21">
        <f>Summary!$E$11*Summary!$E$29*Summary!$E$30*Summary!$E$15/1000</f>
        <v>7.7323199999999996</v>
      </c>
      <c r="L17" s="21">
        <f>Summary!$E$11*Summary!$E$29*Summary!$E$30*Summary!$E$15/1000</f>
        <v>7.7323199999999996</v>
      </c>
      <c r="M17" s="21">
        <f>Summary!$E$11*Summary!$E$29*Summary!$E$30*Summary!$E$15/1000</f>
        <v>7.7323199999999996</v>
      </c>
      <c r="N17" s="21">
        <f>Summary!$E$11*Summary!$E$29*Summary!$E$30*Summary!$E$15/1000</f>
        <v>7.7323199999999996</v>
      </c>
      <c r="O17" s="21">
        <f>Summary!$E$11*Summary!$E$29*Summary!$E$30*Summary!$E$15/1000</f>
        <v>7.7323199999999996</v>
      </c>
      <c r="P17" s="21">
        <f>Summary!$E$11*Summary!$E$29*Summary!$E$30*Summary!$E$15/1000</f>
        <v>7.7323199999999996</v>
      </c>
      <c r="Q17" s="21">
        <f>Summary!$E$11*Summary!$E$29*Summary!$E$30*Summary!$E$15/1000</f>
        <v>7.7323199999999996</v>
      </c>
      <c r="R17" s="21">
        <f>Summary!$E$11*Summary!$E$29*Summary!$E$30*Summary!$E$15/1000</f>
        <v>7.7323199999999996</v>
      </c>
      <c r="S17" s="21">
        <f>Summary!$E$11*Summary!$E$29*Summary!$E$30*Summary!$E$15/1000</f>
        <v>7.7323199999999996</v>
      </c>
      <c r="T17" s="21">
        <f>Summary!$E$11*Summary!$E$29*Summary!$E$30*Summary!$E$15/1000</f>
        <v>7.7323199999999996</v>
      </c>
      <c r="U17" s="21">
        <f>Summary!$E$11*Summary!$E$29*Summary!$E$30*Summary!$E$15/1000</f>
        <v>7.7323199999999996</v>
      </c>
      <c r="W17" s="93">
        <f t="shared" si="3"/>
        <v>131.44944000000001</v>
      </c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 spans="1:55" s="64" customFormat="1" ht="12" customHeight="1">
      <c r="A18" s="3"/>
      <c r="W18" s="93">
        <f t="shared" si="3"/>
        <v>0</v>
      </c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</row>
    <row r="19" spans="1:55" s="64" customFormat="1" ht="12" customHeight="1">
      <c r="A19" s="3" t="s">
        <v>254</v>
      </c>
      <c r="B19" s="206">
        <f>(SUM(B10:B17)-SUM(B23:B32))*Assumptions!$B$32/4</f>
        <v>178.06863105479499</v>
      </c>
      <c r="C19" s="206">
        <f>(SUM(C10:C17)-SUM(C23:C32))*Assumptions!$B$32/4</f>
        <v>177.21219412780616</v>
      </c>
      <c r="D19" s="206">
        <f>(SUM(D10:D17)-SUM(D23:D32))*Assumptions!$B$32/4</f>
        <v>176.2539478647542</v>
      </c>
      <c r="E19" s="206">
        <f>(SUM(E10:E17)-SUM(E23:E32))*Assumptions!$B$32/4</f>
        <v>275.12357386408894</v>
      </c>
      <c r="F19" s="206">
        <f>(SUM(F10:F17)-SUM(F23:F32))*Assumptions!$B$32/4</f>
        <v>290.54837965406068</v>
      </c>
      <c r="G19" s="206">
        <f>(SUM(G10:G17)-SUM(G23:G32))*Assumptions!$B$32/4</f>
        <v>294.06156100482957</v>
      </c>
      <c r="H19" s="206">
        <f>(SUM(H10:H17)-SUM(H23:H32))*Assumptions!$B$32/4</f>
        <v>297.00625260478563</v>
      </c>
      <c r="I19" s="206">
        <f>(SUM(I10:I17)-SUM(I23:I32))*Assumptions!$B$32/4</f>
        <v>300.46182897354487</v>
      </c>
      <c r="J19" s="206">
        <f>(SUM(J10:J17)-SUM(J23:J32))*Assumptions!$B$32/4</f>
        <v>304.65142925048241</v>
      </c>
      <c r="K19" s="206">
        <f>(SUM(K10:K17)-SUM(K23:K32))*Assumptions!$B$32/4</f>
        <v>301.19762101966808</v>
      </c>
      <c r="L19" s="206">
        <f>(SUM(L10:L17)-SUM(L23:L32))*Assumptions!$B$32/4</f>
        <v>309.09741160741106</v>
      </c>
      <c r="M19" s="206">
        <f>(SUM(M10:M17)-SUM(M23:M32))*Assumptions!$B$32/4</f>
        <v>317.3075306703995</v>
      </c>
      <c r="N19" s="206">
        <f>(SUM(N10:N17)-SUM(N23:N32))*Assumptions!$B$32/4</f>
        <v>324.66425599336065</v>
      </c>
      <c r="O19" s="206">
        <f>(SUM(O10:O17)-SUM(O23:O32))*Assumptions!$B$32/4</f>
        <v>330.47784323177763</v>
      </c>
      <c r="P19" s="206">
        <f>(SUM(P10:P17)-SUM(P23:P32))*Assumptions!$B$32/4</f>
        <v>336.3447019729096</v>
      </c>
      <c r="Q19" s="206">
        <f>(SUM(Q10:Q17)-SUM(Q23:Q32))*Assumptions!$B$32/4</f>
        <v>340.66615107862202</v>
      </c>
      <c r="R19" s="206">
        <f>(SUM(R10:R17)-SUM(R23:R32))*Assumptions!$B$32/4</f>
        <v>344.9506504355777</v>
      </c>
      <c r="S19" s="206">
        <f>(SUM(S10:S17)-SUM(S23:S32))*Assumptions!$B$32/4</f>
        <v>349.24291892492408</v>
      </c>
      <c r="T19" s="206">
        <f>(SUM(T10:T17)-SUM(T23:T32))*Assumptions!$B$32/4</f>
        <v>353.48572629559499</v>
      </c>
      <c r="U19" s="206">
        <f>(SUM(U10:U17)-SUM(U23:U32))*Assumptions!$B$32/4</f>
        <v>357.67348593196493</v>
      </c>
      <c r="W19" s="93">
        <f t="shared" si="3"/>
        <v>5958.4960955613578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 spans="1:55" s="64" customFormat="1" ht="12" customHeight="1">
      <c r="A20" s="3" t="s">
        <v>88</v>
      </c>
      <c r="B20" s="58">
        <f>SUM(B10:B19)</f>
        <v>18847.783111054792</v>
      </c>
      <c r="C20" s="58">
        <f t="shared" ref="C20:U20" si="4">SUM(C10:C19)</f>
        <v>18872.778108527804</v>
      </c>
      <c r="D20" s="58">
        <f t="shared" si="4"/>
        <v>18898.446839696753</v>
      </c>
      <c r="E20" s="58">
        <f t="shared" si="4"/>
        <v>27273.438000667742</v>
      </c>
      <c r="F20" s="58">
        <f t="shared" si="4"/>
        <v>28635.169317651242</v>
      </c>
      <c r="G20" s="58">
        <f t="shared" si="4"/>
        <v>29028.21689135101</v>
      </c>
      <c r="H20" s="58">
        <f t="shared" si="4"/>
        <v>29371.125895667046</v>
      </c>
      <c r="I20" s="58">
        <f t="shared" si="4"/>
        <v>29757.951974525746</v>
      </c>
      <c r="J20" s="58">
        <f t="shared" si="4"/>
        <v>30192.682533923053</v>
      </c>
      <c r="K20" s="58">
        <f t="shared" si="4"/>
        <v>30567.259545992871</v>
      </c>
      <c r="L20" s="58">
        <f t="shared" si="4"/>
        <v>31162.551532207781</v>
      </c>
      <c r="M20" s="58">
        <f t="shared" si="4"/>
        <v>31766.164881991092</v>
      </c>
      <c r="N20" s="58">
        <f t="shared" si="4"/>
        <v>32376.887882257055</v>
      </c>
      <c r="O20" s="58">
        <f t="shared" si="4"/>
        <v>32993.972708406858</v>
      </c>
      <c r="P20" s="58">
        <f t="shared" si="4"/>
        <v>33618.947038218423</v>
      </c>
      <c r="Q20" s="58">
        <f t="shared" si="4"/>
        <v>34126.338097887019</v>
      </c>
      <c r="R20" s="58">
        <f t="shared" si="4"/>
        <v>34633.929001426004</v>
      </c>
      <c r="S20" s="58">
        <f t="shared" si="4"/>
        <v>35141.32591268418</v>
      </c>
      <c r="T20" s="58">
        <f t="shared" si="4"/>
        <v>35648.006519961913</v>
      </c>
      <c r="U20" s="58">
        <f t="shared" si="4"/>
        <v>36153.472431893402</v>
      </c>
      <c r="W20" s="93">
        <f t="shared" si="3"/>
        <v>599066.4482259918</v>
      </c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</row>
    <row r="21" spans="1:55" s="64" customFormat="1">
      <c r="A21" s="4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W21" s="93"/>
    </row>
    <row r="22" spans="1:55">
      <c r="A22" s="1" t="s">
        <v>89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W22" s="93"/>
    </row>
    <row r="23" spans="1:55">
      <c r="A23" s="3" t="s">
        <v>63</v>
      </c>
      <c r="B23" s="129">
        <f>Summary!E51*(1+Summary!$E$48)</f>
        <v>1934.4085877000002</v>
      </c>
      <c r="C23" s="129">
        <f>B23*(1+Summary!$E$48)</f>
        <v>1992.4408453310002</v>
      </c>
      <c r="D23" s="129">
        <f>C23*(1+Summary!$E$48)</f>
        <v>2052.2140706909304</v>
      </c>
      <c r="E23" s="129">
        <f>D23*(1+Summary!$E$48)</f>
        <v>2113.7804928116584</v>
      </c>
      <c r="F23" s="129">
        <f>E23*(1+Summary!$E$48)</f>
        <v>2177.1939075960081</v>
      </c>
      <c r="G23" s="129">
        <f>F23*(1+Summary!$E$48)</f>
        <v>2242.5097248238885</v>
      </c>
      <c r="H23" s="129">
        <f>G23*(1+Summary!$E$48)</f>
        <v>2309.7850165686054</v>
      </c>
      <c r="I23" s="129">
        <f>H23*(1+Summary!$E$48)</f>
        <v>2379.0785670656637</v>
      </c>
      <c r="J23" s="129">
        <f>I23*(1+Summary!$E$48)</f>
        <v>2450.4509240776338</v>
      </c>
      <c r="K23" s="129">
        <f>J23*(1+Summary!$E$48)</f>
        <v>2523.9644517999627</v>
      </c>
      <c r="L23" s="129">
        <f>K23*(1+Summary!$E$48)</f>
        <v>2599.6833853539615</v>
      </c>
      <c r="M23" s="129">
        <f>L23*(1+Summary!$E$48)</f>
        <v>2677.6738869145806</v>
      </c>
      <c r="N23" s="129">
        <f>M23*(1+Summary!$E$48)</f>
        <v>2758.0041035220183</v>
      </c>
      <c r="O23" s="129">
        <f>N23*(1+Summary!$E$48)</f>
        <v>2840.7442266276789</v>
      </c>
      <c r="P23" s="129">
        <f>O23*(1+Summary!$E$48)</f>
        <v>2925.9665534265096</v>
      </c>
      <c r="Q23" s="129">
        <f>P23*(1+Summary!$E$48)</f>
        <v>3013.7455500293049</v>
      </c>
      <c r="R23" s="129">
        <f>Q23*(1+Summary!$E$48)</f>
        <v>3104.1579165301841</v>
      </c>
      <c r="S23" s="129">
        <f>R23*(1+Summary!$E$48)</f>
        <v>3197.2826540260899</v>
      </c>
      <c r="T23" s="129">
        <f>S23*(1+Summary!$E$48)</f>
        <v>3293.2011336468727</v>
      </c>
      <c r="U23" s="129">
        <f>T23*(1+Summary!$E$48)</f>
        <v>3391.9971676562791</v>
      </c>
      <c r="W23" s="93">
        <f t="shared" ref="W23:W33" si="5">SUM(B23:U23)</f>
        <v>51978.283166198824</v>
      </c>
    </row>
    <row r="24" spans="1:55">
      <c r="A24" s="3" t="s">
        <v>64</v>
      </c>
      <c r="B24" s="129">
        <f>Summary!E52*(1+Summary!$E$48)</f>
        <v>398.21447999999998</v>
      </c>
      <c r="C24" s="129">
        <f>B24*(1+Summary!$E$48)</f>
        <v>410.16091439999997</v>
      </c>
      <c r="D24" s="129">
        <f>C24*(1+Summary!$E$48)</f>
        <v>422.46574183199999</v>
      </c>
      <c r="E24" s="129">
        <f>Summary!$E$31*Summary!$E$45*(1+Summary!$E$48)^(E5-2000)/1000</f>
        <v>426.43691980522073</v>
      </c>
      <c r="F24" s="129">
        <f>E24*(1+Summary!$E$48)</f>
        <v>439.23002739937738</v>
      </c>
      <c r="G24" s="129">
        <f>F24*(1+Summary!$E$48)</f>
        <v>452.40692822135873</v>
      </c>
      <c r="H24" s="129">
        <f>G24*(1+Summary!$E$48)</f>
        <v>465.97913606799949</v>
      </c>
      <c r="I24" s="129">
        <f>H24*(1+Summary!$E$48)</f>
        <v>479.9585101500395</v>
      </c>
      <c r="J24" s="129">
        <f>I24*(1+Summary!$E$48)</f>
        <v>494.35726545454071</v>
      </c>
      <c r="K24" s="129">
        <f>J24*(1+Summary!$E$48)</f>
        <v>509.18798341817694</v>
      </c>
      <c r="L24" s="129">
        <f>K24*(1+Summary!$E$48)</f>
        <v>524.46362292072229</v>
      </c>
      <c r="M24" s="129">
        <f>L24*(1+Summary!$E$48)</f>
        <v>540.19753160834398</v>
      </c>
      <c r="N24" s="129">
        <f>M24*(1+Summary!$E$48)</f>
        <v>556.40345755659428</v>
      </c>
      <c r="O24" s="129">
        <f>N24*(1+Summary!$E$48)</f>
        <v>573.09556128329211</v>
      </c>
      <c r="P24" s="129">
        <f>O24*(1+Summary!$E$48)</f>
        <v>590.28842812179084</v>
      </c>
      <c r="Q24" s="129">
        <f>P24*(1+Summary!$E$48)</f>
        <v>607.99708096544464</v>
      </c>
      <c r="R24" s="129">
        <f>Q24*(1+Summary!$E$48)</f>
        <v>626.23699339440805</v>
      </c>
      <c r="S24" s="129">
        <f>R24*(1+Summary!$E$48)</f>
        <v>645.02410319624028</v>
      </c>
      <c r="T24" s="129">
        <f>S24*(1+Summary!$E$48)</f>
        <v>664.37482629212752</v>
      </c>
      <c r="U24" s="129">
        <f>T24*(1+Summary!$E$48)</f>
        <v>684.30607108089134</v>
      </c>
      <c r="W24" s="93">
        <f t="shared" si="5"/>
        <v>10510.785583168568</v>
      </c>
    </row>
    <row r="25" spans="1:55">
      <c r="A25" s="3" t="s">
        <v>65</v>
      </c>
      <c r="B25" s="129">
        <f>Summary!$E$53*Summary!$E$14*Summary!$E$9/1000*(1+Summary!$E$48)</f>
        <v>463.5</v>
      </c>
      <c r="C25" s="93">
        <f>B25*(1+Summary!$E$48)</f>
        <v>477.40500000000003</v>
      </c>
      <c r="D25" s="93">
        <f>C25*(1+Summary!$E$48)</f>
        <v>491.72715000000005</v>
      </c>
      <c r="E25" s="93">
        <f>D25*(1+Summary!$E$48)</f>
        <v>506.47896450000007</v>
      </c>
      <c r="F25" s="93">
        <f>E25*(1+Summary!$E$48)</f>
        <v>521.67333343500013</v>
      </c>
      <c r="G25" s="93">
        <f>F25*(1+Summary!$E$48)</f>
        <v>537.32353343805016</v>
      </c>
      <c r="H25" s="93">
        <f>G25*(1+Summary!$E$48)</f>
        <v>553.44323944119174</v>
      </c>
      <c r="I25" s="93">
        <f>H25*(1+Summary!$E$48)</f>
        <v>570.04653662442752</v>
      </c>
      <c r="J25" s="93">
        <f>I25*(1+Summary!$E$48)</f>
        <v>587.14793272316035</v>
      </c>
      <c r="K25" s="93">
        <f>J25*(1+Summary!$E$48)</f>
        <v>604.76237070485513</v>
      </c>
      <c r="L25" s="93">
        <f>K25*(1+Summary!$E$48)</f>
        <v>622.90524182600075</v>
      </c>
      <c r="M25" s="93">
        <f>L25*(1+Summary!$E$48)</f>
        <v>641.59239908078075</v>
      </c>
      <c r="N25" s="93">
        <f>M25*(1+Summary!$E$48)</f>
        <v>660.84017105320424</v>
      </c>
      <c r="O25" s="93">
        <f>N25*(1+Summary!$E$48)</f>
        <v>680.66537618480038</v>
      </c>
      <c r="P25" s="93">
        <f>O25*(1+Summary!$E$48)</f>
        <v>701.08533747034437</v>
      </c>
      <c r="Q25" s="93">
        <f>P25*(1+Summary!$E$48)</f>
        <v>722.11789759445469</v>
      </c>
      <c r="R25" s="93">
        <f>Q25*(1+Summary!$E$48)</f>
        <v>743.78143452228835</v>
      </c>
      <c r="S25" s="93">
        <f>R25*(1+Summary!$E$48)</f>
        <v>766.09487755795703</v>
      </c>
      <c r="T25" s="93">
        <f>S25*(1+Summary!$E$48)</f>
        <v>789.07772388469573</v>
      </c>
      <c r="U25" s="93">
        <f>T25*(1+Summary!$E$48)</f>
        <v>812.75005560123657</v>
      </c>
      <c r="W25" s="93">
        <f t="shared" si="5"/>
        <v>12454.418575642445</v>
      </c>
    </row>
    <row r="26" spans="1:55">
      <c r="A26" s="3" t="s">
        <v>158</v>
      </c>
      <c r="B26" s="129">
        <f>Summary!E54*(1+Summary!$E$48)</f>
        <v>213.22957000000002</v>
      </c>
      <c r="C26" s="129">
        <f>B26*(1+Summary!$E$48)</f>
        <v>219.62645710000004</v>
      </c>
      <c r="D26" s="129">
        <f>C26*(1+Summary!$E$48)</f>
        <v>226.21525081300004</v>
      </c>
      <c r="E26" s="129">
        <f>D26*(1+Summary!$E$48)</f>
        <v>233.00170833739006</v>
      </c>
      <c r="F26" s="129">
        <f>E26*(1+Summary!$E$48)</f>
        <v>239.99175958751175</v>
      </c>
      <c r="G26" s="129">
        <f>F26*(1+Summary!$E$48)</f>
        <v>247.19151237513711</v>
      </c>
      <c r="H26" s="129">
        <f>G26*(1+Summary!$E$48)</f>
        <v>254.60725774639124</v>
      </c>
      <c r="I26" s="129">
        <f>H26*(1+Summary!$E$48)</f>
        <v>262.24547547878296</v>
      </c>
      <c r="J26" s="129">
        <f>I26*(1+Summary!$E$48)</f>
        <v>270.11283974314648</v>
      </c>
      <c r="K26" s="129">
        <f>J26*(1+Summary!$E$48)</f>
        <v>278.21622493544089</v>
      </c>
      <c r="L26" s="129">
        <f>K26*(1+Summary!$E$48)</f>
        <v>286.56271168350412</v>
      </c>
      <c r="M26" s="129">
        <f>L26*(1+Summary!$E$48)</f>
        <v>295.15959303400928</v>
      </c>
      <c r="N26" s="129">
        <f>M26*(1+Summary!$E$48)</f>
        <v>304.01438082502955</v>
      </c>
      <c r="O26" s="129">
        <f>N26*(1+Summary!$E$48)</f>
        <v>313.13481224978045</v>
      </c>
      <c r="P26" s="129">
        <f>O26*(1+Summary!$E$48)</f>
        <v>322.5288566172739</v>
      </c>
      <c r="Q26" s="129">
        <f>P26*(1+Summary!$E$48)</f>
        <v>332.20472231579214</v>
      </c>
      <c r="R26" s="129">
        <f>Q26*(1+Summary!$E$48)</f>
        <v>342.1708639852659</v>
      </c>
      <c r="S26" s="129">
        <f>R26*(1+Summary!$E$48)</f>
        <v>352.43598990482388</v>
      </c>
      <c r="T26" s="129">
        <f>S26*(1+Summary!$E$48)</f>
        <v>363.00906960196863</v>
      </c>
      <c r="U26" s="129">
        <f>T26*(1+Summary!$E$48)</f>
        <v>373.89934169002771</v>
      </c>
      <c r="W26" s="93">
        <f t="shared" si="5"/>
        <v>5729.5583980242764</v>
      </c>
    </row>
    <row r="27" spans="1:55">
      <c r="A27" s="3" t="s">
        <v>159</v>
      </c>
      <c r="B27" s="129">
        <f>Summary!E55*(1+Summary!$E$48)</f>
        <v>373.5523316666667</v>
      </c>
      <c r="C27" s="129">
        <f>B27*(1+Summary!$E$48)</f>
        <v>384.75890161666672</v>
      </c>
      <c r="D27" s="129">
        <f>C27*(1+Summary!$E$48)</f>
        <v>396.30166866516674</v>
      </c>
      <c r="E27" s="129">
        <f>D27*(1+Summary!$E$48)</f>
        <v>408.19071872512177</v>
      </c>
      <c r="F27" s="129">
        <f>E27*(1+Summary!$E$48)</f>
        <v>420.43644028687544</v>
      </c>
      <c r="G27" s="129">
        <f>F27*(1+Summary!$E$48)</f>
        <v>433.04953349548174</v>
      </c>
      <c r="H27" s="129">
        <f>G27*(1+Summary!$E$48)</f>
        <v>446.04101950034618</v>
      </c>
      <c r="I27" s="129">
        <f>H27*(1+Summary!$E$48)</f>
        <v>459.42225008535655</v>
      </c>
      <c r="J27" s="129">
        <f>I27*(1+Summary!$E$48)</f>
        <v>473.20491758791724</v>
      </c>
      <c r="K27" s="129">
        <f>J27*(1+Summary!$E$48)</f>
        <v>487.40106511555479</v>
      </c>
      <c r="L27" s="129">
        <f>K27*(1+Summary!$E$48)</f>
        <v>502.02309706902145</v>
      </c>
      <c r="M27" s="129">
        <f>L27*(1+Summary!$E$48)</f>
        <v>517.08378998109208</v>
      </c>
      <c r="N27" s="129">
        <f>M27*(1+Summary!$E$48)</f>
        <v>532.5963036805249</v>
      </c>
      <c r="O27" s="129">
        <f>N27*(1+Summary!$E$48)</f>
        <v>548.57419279094063</v>
      </c>
      <c r="P27" s="129">
        <f>O27*(1+Summary!$E$48)</f>
        <v>565.03141857466881</v>
      </c>
      <c r="Q27" s="129">
        <f>P27*(1+Summary!$E$48)</f>
        <v>581.98236113190887</v>
      </c>
      <c r="R27" s="129">
        <f>Q27*(1+Summary!$E$48)</f>
        <v>599.44183196586619</v>
      </c>
      <c r="S27" s="129">
        <f>R27*(1+Summary!$E$48)</f>
        <v>617.42508692484216</v>
      </c>
      <c r="T27" s="129">
        <f>S27*(1+Summary!$E$48)</f>
        <v>635.94783953258741</v>
      </c>
      <c r="U27" s="129">
        <f>T27*(1+Summary!$E$48)</f>
        <v>655.02627471856499</v>
      </c>
      <c r="W27" s="93">
        <f t="shared" si="5"/>
        <v>10037.491043115171</v>
      </c>
    </row>
    <row r="28" spans="1:55">
      <c r="A28" s="3" t="s">
        <v>298</v>
      </c>
      <c r="B28" s="527">
        <v>487.9</v>
      </c>
      <c r="C28" s="527">
        <v>486.5</v>
      </c>
      <c r="D28" s="527">
        <v>484.5</v>
      </c>
      <c r="E28" s="527">
        <v>476.4</v>
      </c>
      <c r="F28" s="527">
        <v>467.3</v>
      </c>
      <c r="G28" s="527">
        <v>451.3</v>
      </c>
      <c r="H28" s="527">
        <v>427.8</v>
      </c>
      <c r="I28" s="527">
        <v>402.5</v>
      </c>
      <c r="J28" s="527">
        <v>362.4</v>
      </c>
      <c r="K28" s="527">
        <v>878.3</v>
      </c>
      <c r="L28" s="527">
        <v>695.3</v>
      </c>
      <c r="M28" s="527">
        <v>494</v>
      </c>
      <c r="N28" s="527">
        <v>365.9</v>
      </c>
      <c r="O28" s="527">
        <v>365.9</v>
      </c>
      <c r="P28" s="527">
        <v>365.9</v>
      </c>
      <c r="Q28" s="527">
        <v>365.9</v>
      </c>
      <c r="R28" s="527">
        <v>365.9</v>
      </c>
      <c r="S28" s="527">
        <v>365.9</v>
      </c>
      <c r="T28" s="527">
        <v>365.9</v>
      </c>
      <c r="U28" s="527">
        <f>T28</f>
        <v>365.9</v>
      </c>
      <c r="W28" s="93">
        <f t="shared" si="5"/>
        <v>9041.3999999999978</v>
      </c>
    </row>
    <row r="29" spans="1:55">
      <c r="A29" s="3" t="s">
        <v>66</v>
      </c>
      <c r="B29" s="129">
        <f>Summary!E57*(1+Summary!$E$48)</f>
        <v>0</v>
      </c>
      <c r="C29" s="129">
        <f>B29*(1+Summary!$E$48)</f>
        <v>0</v>
      </c>
      <c r="D29" s="129">
        <f>C29*(1+Summary!$E$48)</f>
        <v>0</v>
      </c>
      <c r="E29" s="129">
        <f>D29*(1+Summary!$E$48)</f>
        <v>0</v>
      </c>
      <c r="F29" s="129">
        <f>E29*(1+Summary!$E$48)</f>
        <v>0</v>
      </c>
      <c r="G29" s="129">
        <f>F29*(1+Summary!$E$48)</f>
        <v>0</v>
      </c>
      <c r="H29" s="129">
        <f>G29*(1+Summary!$E$48)</f>
        <v>0</v>
      </c>
      <c r="I29" s="129">
        <f>H29*(1+Summary!$E$48)</f>
        <v>0</v>
      </c>
      <c r="J29" s="129">
        <f>I29*(1+Summary!$E$48)</f>
        <v>0</v>
      </c>
      <c r="K29" s="129">
        <f>J29*(1+Summary!$E$48)</f>
        <v>0</v>
      </c>
      <c r="L29" s="129">
        <f>K29*(1+Summary!$E$48)</f>
        <v>0</v>
      </c>
      <c r="M29" s="129">
        <f>L29*(1+Summary!$E$48)</f>
        <v>0</v>
      </c>
      <c r="N29" s="129">
        <f>M29*(1+Summary!$E$48)</f>
        <v>0</v>
      </c>
      <c r="O29" s="129">
        <f>N29*(1+Summary!$E$48)</f>
        <v>0</v>
      </c>
      <c r="P29" s="129">
        <f>O29*(1+Summary!$E$48)</f>
        <v>0</v>
      </c>
      <c r="Q29" s="129">
        <f>P29*(1+Summary!$E$48)</f>
        <v>0</v>
      </c>
      <c r="R29" s="129">
        <f>Q29*(1+Summary!$E$48)</f>
        <v>0</v>
      </c>
      <c r="S29" s="129">
        <f>R29*(1+Summary!$E$48)</f>
        <v>0</v>
      </c>
      <c r="T29" s="129">
        <f>S29*(1+Summary!$E$48)</f>
        <v>0</v>
      </c>
      <c r="U29" s="129">
        <f>T29*(1+Summary!$E$48)</f>
        <v>0</v>
      </c>
      <c r="W29" s="93">
        <f t="shared" si="5"/>
        <v>0</v>
      </c>
    </row>
    <row r="30" spans="1:55" s="18" customFormat="1">
      <c r="A30" s="3" t="s">
        <v>214</v>
      </c>
      <c r="B30" s="129">
        <v>0</v>
      </c>
      <c r="C30" s="93">
        <v>0</v>
      </c>
      <c r="D30" s="93">
        <v>0</v>
      </c>
      <c r="E30" s="93">
        <f>Summary!E46*Summary!E11*12</f>
        <v>299.04000000000002</v>
      </c>
      <c r="F30" s="93">
        <f>E30*(1+Summary!$E$48)</f>
        <v>308.01120000000003</v>
      </c>
      <c r="G30" s="93">
        <f>F30*(1+Summary!$E$48)</f>
        <v>317.25153600000004</v>
      </c>
      <c r="H30" s="93">
        <f>G30*(1+Summary!$E$48)</f>
        <v>326.76908208000003</v>
      </c>
      <c r="I30" s="93">
        <f>H30*(1+Summary!$E$48)</f>
        <v>336.57215454240003</v>
      </c>
      <c r="J30" s="93">
        <f>I30*(1+Summary!$E$48)</f>
        <v>346.66931917867203</v>
      </c>
      <c r="K30" s="93">
        <f>J30*(1+Summary!$E$48)</f>
        <v>357.06939875403219</v>
      </c>
      <c r="L30" s="93">
        <f>K30*(1+Summary!$E$48)</f>
        <v>367.78148071665316</v>
      </c>
      <c r="M30" s="93">
        <f>L30*(1+Summary!$E$48)</f>
        <v>378.81492513815277</v>
      </c>
      <c r="N30" s="93">
        <f>M30*(1+Summary!$E$48)</f>
        <v>390.17937289229735</v>
      </c>
      <c r="O30" s="93">
        <f>N30*(1+Summary!$E$48)</f>
        <v>401.88475407906628</v>
      </c>
      <c r="P30" s="93">
        <f>O30*(1+Summary!$E$48)</f>
        <v>413.94129670143826</v>
      </c>
      <c r="Q30" s="93">
        <f>P30*(1+Summary!$E$48)</f>
        <v>426.3595356024814</v>
      </c>
      <c r="R30" s="93">
        <f>Q30*(1+Summary!$E$48)</f>
        <v>439.15032167055585</v>
      </c>
      <c r="S30" s="93">
        <f>R30*(1+Summary!$E$48)</f>
        <v>452.32483132067256</v>
      </c>
      <c r="T30" s="93">
        <f>S30*(1+Summary!$E$48)</f>
        <v>465.89457626029275</v>
      </c>
      <c r="U30" s="93">
        <f>T30*(1+Summary!$E$48)</f>
        <v>479.87141354810154</v>
      </c>
      <c r="V30" s="93"/>
      <c r="W30" s="93">
        <f t="shared" si="5"/>
        <v>6507.5851984848159</v>
      </c>
    </row>
    <row r="31" spans="1:55" s="18" customFormat="1">
      <c r="A31" s="3" t="s">
        <v>37</v>
      </c>
      <c r="B31" s="148">
        <f>IS!B31*Allocation!$F$9</f>
        <v>212.54840752400878</v>
      </c>
      <c r="C31" s="148">
        <f>IS!C31*Allocation!$F$9</f>
        <v>211.98572889609403</v>
      </c>
      <c r="D31" s="148">
        <f>IS!D31*Allocation!$F$9</f>
        <v>210.93593670138236</v>
      </c>
      <c r="E31" s="148">
        <f>IS!E31*Allocation!$F$9</f>
        <v>194.55572000251439</v>
      </c>
      <c r="F31" s="148">
        <f>IS!F31*Allocation!$F$9</f>
        <v>194.55572000251439</v>
      </c>
      <c r="G31" s="148">
        <f>IS!G31*Allocation!$F$9</f>
        <v>194.55572000251439</v>
      </c>
      <c r="H31" s="148">
        <f>IS!H31*Allocation!$F$9</f>
        <v>194.55572000251439</v>
      </c>
      <c r="I31" s="148">
        <f>IS!I31*Allocation!$F$9</f>
        <v>194.55572000251439</v>
      </c>
      <c r="J31" s="148">
        <f>IS!J31*Allocation!$F$9</f>
        <v>194.55572000251439</v>
      </c>
      <c r="K31" s="148">
        <f>IS!K31*Allocation!$F$9</f>
        <v>194.55572000251439</v>
      </c>
      <c r="L31" s="148">
        <f>IS!L31*Allocation!$F$9</f>
        <v>194.55572000251439</v>
      </c>
      <c r="M31" s="148">
        <f>IS!M31*Allocation!$F$9</f>
        <v>194.55572000251439</v>
      </c>
      <c r="N31" s="148">
        <f>IS!N31*Allocation!$F$9</f>
        <v>194.55572000251439</v>
      </c>
      <c r="O31" s="148">
        <f>IS!O31*Allocation!$F$9</f>
        <v>194.55572000251439</v>
      </c>
      <c r="P31" s="148">
        <f>IS!P31*Allocation!$F$9</f>
        <v>194.55572000251439</v>
      </c>
      <c r="Q31" s="148">
        <f>IS!Q31*Allocation!$F$9</f>
        <v>194.55572000251439</v>
      </c>
      <c r="R31" s="148">
        <f>IS!R31*Allocation!$F$9</f>
        <v>194.55572000251439</v>
      </c>
      <c r="S31" s="148">
        <f>IS!S31*Allocation!$F$9</f>
        <v>194.55572000251439</v>
      </c>
      <c r="T31" s="148">
        <f>IS!T31*Allocation!$F$9</f>
        <v>194.55572000251439</v>
      </c>
      <c r="U31" s="148">
        <f>IS!U31*Allocation!$F$9</f>
        <v>194.55572000251439</v>
      </c>
      <c r="V31" s="93"/>
      <c r="W31" s="93">
        <f t="shared" si="5"/>
        <v>3942.9173131642315</v>
      </c>
    </row>
    <row r="32" spans="1:55" s="18" customFormat="1">
      <c r="A32" s="3" t="s">
        <v>283</v>
      </c>
      <c r="B32" s="149">
        <f>B90</f>
        <v>340.87061872572593</v>
      </c>
      <c r="C32" s="149">
        <f t="shared" ref="C32:U32" si="6">C90</f>
        <v>335.71253683174359</v>
      </c>
      <c r="D32" s="149">
        <f t="shared" si="6"/>
        <v>337.51724394918443</v>
      </c>
      <c r="E32" s="149">
        <f t="shared" si="6"/>
        <v>330.54399349463102</v>
      </c>
      <c r="F32" s="149">
        <f t="shared" si="6"/>
        <v>332.35817736504072</v>
      </c>
      <c r="G32" s="149">
        <f t="shared" si="6"/>
        <v>333.6419616033877</v>
      </c>
      <c r="H32" s="149">
        <f t="shared" si="6"/>
        <v>334.63896327236284</v>
      </c>
      <c r="I32" s="149">
        <f t="shared" si="6"/>
        <v>336.16461371943234</v>
      </c>
      <c r="J32" s="149">
        <f t="shared" si="6"/>
        <v>337.01784586639536</v>
      </c>
      <c r="K32" s="149">
        <f t="shared" si="6"/>
        <v>336.7950286692232</v>
      </c>
      <c r="L32" s="149">
        <f t="shared" si="6"/>
        <v>332.38593243510923</v>
      </c>
      <c r="M32" s="149">
        <f t="shared" si="6"/>
        <v>325.17705192926172</v>
      </c>
      <c r="N32" s="149">
        <f t="shared" si="6"/>
        <v>316.58963726266268</v>
      </c>
      <c r="O32" s="149">
        <f t="shared" si="6"/>
        <v>306.71276341479728</v>
      </c>
      <c r="P32" s="149">
        <f t="shared" si="6"/>
        <v>295.72856749820926</v>
      </c>
      <c r="Q32" s="149">
        <f t="shared" si="6"/>
        <v>287.51699287673563</v>
      </c>
      <c r="R32" s="149">
        <f t="shared" si="6"/>
        <v>277.53123407312989</v>
      </c>
      <c r="S32" s="149">
        <f t="shared" si="6"/>
        <v>261.60621683219176</v>
      </c>
      <c r="T32" s="149">
        <f t="shared" si="6"/>
        <v>243.70180079766365</v>
      </c>
      <c r="U32" s="149">
        <f t="shared" si="6"/>
        <v>223.61402710662978</v>
      </c>
      <c r="V32" s="93"/>
      <c r="W32" s="93">
        <f t="shared" si="5"/>
        <v>6225.8252077235184</v>
      </c>
    </row>
    <row r="33" spans="1:23">
      <c r="A33" s="3" t="s">
        <v>90</v>
      </c>
      <c r="B33" s="129">
        <f>SUM(B23:B32)</f>
        <v>4424.2239956164021</v>
      </c>
      <c r="C33" s="129">
        <f t="shared" ref="C33:U33" si="7">SUM(C23:C32)</f>
        <v>4518.5903841755053</v>
      </c>
      <c r="D33" s="129">
        <f t="shared" si="7"/>
        <v>4621.8770626516643</v>
      </c>
      <c r="E33" s="129">
        <f t="shared" si="7"/>
        <v>4988.4285176765361</v>
      </c>
      <c r="F33" s="129">
        <f t="shared" si="7"/>
        <v>5100.750565672327</v>
      </c>
      <c r="G33" s="129">
        <f t="shared" si="7"/>
        <v>5209.2304499598176</v>
      </c>
      <c r="H33" s="129">
        <f t="shared" si="7"/>
        <v>5313.6194346794109</v>
      </c>
      <c r="I33" s="129">
        <f t="shared" si="7"/>
        <v>5420.5438276686164</v>
      </c>
      <c r="J33" s="129">
        <f t="shared" si="7"/>
        <v>5515.9167646339793</v>
      </c>
      <c r="K33" s="129">
        <f t="shared" si="7"/>
        <v>6170.2522433997601</v>
      </c>
      <c r="L33" s="129">
        <f t="shared" si="7"/>
        <v>6125.6611920074865</v>
      </c>
      <c r="M33" s="129">
        <f t="shared" si="7"/>
        <v>6064.2548976887347</v>
      </c>
      <c r="N33" s="129">
        <f t="shared" si="7"/>
        <v>6079.0831467948465</v>
      </c>
      <c r="O33" s="129">
        <f t="shared" si="7"/>
        <v>6225.26740663287</v>
      </c>
      <c r="P33" s="129">
        <f t="shared" si="7"/>
        <v>6375.0261784127488</v>
      </c>
      <c r="Q33" s="129">
        <f t="shared" si="7"/>
        <v>6532.3798605186366</v>
      </c>
      <c r="R33" s="129">
        <f t="shared" si="7"/>
        <v>6692.9263161442123</v>
      </c>
      <c r="S33" s="129">
        <f t="shared" si="7"/>
        <v>6852.6494797653313</v>
      </c>
      <c r="T33" s="129">
        <f t="shared" si="7"/>
        <v>7015.662690018723</v>
      </c>
      <c r="U33" s="129">
        <f t="shared" si="7"/>
        <v>7181.9200714042445</v>
      </c>
      <c r="W33" s="93">
        <f t="shared" si="5"/>
        <v>116428.26448552184</v>
      </c>
    </row>
    <row r="34" spans="1:23" s="64" customFormat="1" outlineLevel="1">
      <c r="A34" s="5"/>
      <c r="B34" s="132"/>
      <c r="C34" s="133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W34" s="93"/>
    </row>
    <row r="35" spans="1:23" s="64" customFormat="1" ht="6.75" customHeight="1">
      <c r="A35" s="5"/>
      <c r="B35" s="132"/>
      <c r="C35" s="133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W35" s="93"/>
    </row>
    <row r="36" spans="1:23" s="59" customFormat="1">
      <c r="A36" s="1" t="s">
        <v>91</v>
      </c>
      <c r="B36" s="122">
        <f t="shared" ref="B36:U36" si="8">B20-B33</f>
        <v>14423.559115438391</v>
      </c>
      <c r="C36" s="122">
        <f t="shared" si="8"/>
        <v>14354.187724352298</v>
      </c>
      <c r="D36" s="122">
        <f t="shared" si="8"/>
        <v>14276.56977704509</v>
      </c>
      <c r="E36" s="122">
        <f t="shared" si="8"/>
        <v>22285.009482991205</v>
      </c>
      <c r="F36" s="122">
        <f t="shared" si="8"/>
        <v>23534.418751978916</v>
      </c>
      <c r="G36" s="122">
        <f t="shared" si="8"/>
        <v>23818.986441391193</v>
      </c>
      <c r="H36" s="122">
        <f t="shared" si="8"/>
        <v>24057.506460987635</v>
      </c>
      <c r="I36" s="122">
        <f t="shared" si="8"/>
        <v>24337.408146857131</v>
      </c>
      <c r="J36" s="122">
        <f t="shared" si="8"/>
        <v>24676.765769289072</v>
      </c>
      <c r="K36" s="122">
        <f t="shared" si="8"/>
        <v>24397.007302593112</v>
      </c>
      <c r="L36" s="122">
        <f t="shared" si="8"/>
        <v>25036.890340200294</v>
      </c>
      <c r="M36" s="122">
        <f t="shared" si="8"/>
        <v>25701.909984302358</v>
      </c>
      <c r="N36" s="122">
        <f t="shared" si="8"/>
        <v>26297.80473546221</v>
      </c>
      <c r="O36" s="122">
        <f t="shared" si="8"/>
        <v>26768.705301773989</v>
      </c>
      <c r="P36" s="122">
        <f t="shared" si="8"/>
        <v>27243.920859805672</v>
      </c>
      <c r="Q36" s="122">
        <f t="shared" si="8"/>
        <v>27593.958237368381</v>
      </c>
      <c r="R36" s="122">
        <f t="shared" si="8"/>
        <v>27941.00268528179</v>
      </c>
      <c r="S36" s="122">
        <f t="shared" si="8"/>
        <v>28288.676432918848</v>
      </c>
      <c r="T36" s="122">
        <f t="shared" si="8"/>
        <v>28632.343829943191</v>
      </c>
      <c r="U36" s="122">
        <f t="shared" si="8"/>
        <v>28971.552360489157</v>
      </c>
      <c r="W36" s="93">
        <f>SUM(B36:U36)</f>
        <v>482638.18374046998</v>
      </c>
    </row>
    <row r="37" spans="1:23" s="59" customFormat="1">
      <c r="A37" s="1"/>
      <c r="B37" s="134"/>
      <c r="C37" s="135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W37" s="93"/>
    </row>
    <row r="38" spans="1:23">
      <c r="A38" s="3" t="s">
        <v>92</v>
      </c>
      <c r="B38" s="129">
        <f>Depreciation!C29</f>
        <v>5325.6483399318076</v>
      </c>
      <c r="C38" s="129">
        <f>Depreciation!D29</f>
        <v>5325.6483399318076</v>
      </c>
      <c r="D38" s="129">
        <f>Depreciation!E29</f>
        <v>5325.6483399318076</v>
      </c>
      <c r="E38" s="129">
        <f>Depreciation!F29</f>
        <v>5325.6483399318076</v>
      </c>
      <c r="F38" s="129">
        <f>Depreciation!G29</f>
        <v>5325.6483399318076</v>
      </c>
      <c r="G38" s="129">
        <f>Depreciation!H29</f>
        <v>5325.6483399318076</v>
      </c>
      <c r="H38" s="129">
        <f>Depreciation!I29</f>
        <v>5325.6483399318076</v>
      </c>
      <c r="I38" s="129">
        <f>Depreciation!J29</f>
        <v>5325.6483399318076</v>
      </c>
      <c r="J38" s="129">
        <f>Depreciation!K29</f>
        <v>5325.6483399318076</v>
      </c>
      <c r="K38" s="129">
        <f>Depreciation!L29</f>
        <v>5325.6483399318076</v>
      </c>
      <c r="L38" s="129">
        <f>Depreciation!M29</f>
        <v>5325.6483399318076</v>
      </c>
      <c r="M38" s="129">
        <f>Depreciation!N29</f>
        <v>5325.6483399318076</v>
      </c>
      <c r="N38" s="129">
        <f>Depreciation!O29</f>
        <v>5325.6483399318076</v>
      </c>
      <c r="O38" s="129">
        <f>Depreciation!P29</f>
        <v>5325.6483399318076</v>
      </c>
      <c r="P38" s="129">
        <f>Depreciation!Q29</f>
        <v>5325.6483399318076</v>
      </c>
      <c r="Q38" s="129">
        <f>Depreciation!R29</f>
        <v>5325.6483399318076</v>
      </c>
      <c r="R38" s="129">
        <f>Depreciation!S29</f>
        <v>5325.6483399318076</v>
      </c>
      <c r="S38" s="129">
        <f>Depreciation!T29</f>
        <v>5325.6483399318076</v>
      </c>
      <c r="T38" s="129">
        <f>Depreciation!U29</f>
        <v>5325.6483399318076</v>
      </c>
      <c r="U38" s="129">
        <f>Depreciation!V29</f>
        <v>5325.6483399318076</v>
      </c>
      <c r="W38" s="93">
        <f>SUM(B38:U38)</f>
        <v>106512.96679863617</v>
      </c>
    </row>
    <row r="39" spans="1:23">
      <c r="A39" s="3"/>
      <c r="B39" s="129"/>
      <c r="C39" s="93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W39" s="93"/>
    </row>
    <row r="40" spans="1:23" s="59" customFormat="1">
      <c r="A40" s="1" t="s">
        <v>93</v>
      </c>
      <c r="B40" s="134">
        <f t="shared" ref="B40:U40" si="9">B36-B38</f>
        <v>9097.9107755065834</v>
      </c>
      <c r="C40" s="134">
        <f t="shared" si="9"/>
        <v>9028.53938442049</v>
      </c>
      <c r="D40" s="134">
        <f t="shared" si="9"/>
        <v>8950.9214371132821</v>
      </c>
      <c r="E40" s="134">
        <f t="shared" si="9"/>
        <v>16959.361143059396</v>
      </c>
      <c r="F40" s="134">
        <f t="shared" si="9"/>
        <v>18208.77041204711</v>
      </c>
      <c r="G40" s="134">
        <f t="shared" si="9"/>
        <v>18493.338101459383</v>
      </c>
      <c r="H40" s="134">
        <f t="shared" si="9"/>
        <v>18731.858121055826</v>
      </c>
      <c r="I40" s="134">
        <f t="shared" si="9"/>
        <v>19011.759806925322</v>
      </c>
      <c r="J40" s="134">
        <f t="shared" si="9"/>
        <v>19351.117429357262</v>
      </c>
      <c r="K40" s="134">
        <f t="shared" si="9"/>
        <v>19071.358962661303</v>
      </c>
      <c r="L40" s="134">
        <f t="shared" si="9"/>
        <v>19711.242000268488</v>
      </c>
      <c r="M40" s="134">
        <f t="shared" si="9"/>
        <v>20376.261644370548</v>
      </c>
      <c r="N40" s="134">
        <f t="shared" si="9"/>
        <v>20972.156395530401</v>
      </c>
      <c r="O40" s="134">
        <f t="shared" si="9"/>
        <v>21443.05696184218</v>
      </c>
      <c r="P40" s="134">
        <f t="shared" si="9"/>
        <v>21918.272519873863</v>
      </c>
      <c r="Q40" s="134">
        <f t="shared" si="9"/>
        <v>22268.309897436571</v>
      </c>
      <c r="R40" s="134">
        <f t="shared" si="9"/>
        <v>22615.354345349981</v>
      </c>
      <c r="S40" s="134">
        <f t="shared" si="9"/>
        <v>22963.028092987042</v>
      </c>
      <c r="T40" s="134">
        <f t="shared" si="9"/>
        <v>23306.695490011385</v>
      </c>
      <c r="U40" s="134">
        <f t="shared" si="9"/>
        <v>23645.904020557347</v>
      </c>
      <c r="W40" s="93">
        <f>SUM(B40:U40)</f>
        <v>376125.21694183373</v>
      </c>
    </row>
    <row r="41" spans="1:23" s="59" customFormat="1">
      <c r="A41" s="1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W41" s="93"/>
    </row>
    <row r="42" spans="1:23">
      <c r="A42" s="6" t="s">
        <v>94</v>
      </c>
      <c r="B42" s="129">
        <f>IS!B42*Allocation!$F$9</f>
        <v>7562.0956027698139</v>
      </c>
      <c r="C42" s="129">
        <f>IS!C42*Allocation!$F$9</f>
        <v>7307.5308178387031</v>
      </c>
      <c r="D42" s="129">
        <f>IS!D42*Allocation!$F$9</f>
        <v>7011.840015237648</v>
      </c>
      <c r="E42" s="129">
        <f>IS!E42*Allocation!$F$9</f>
        <v>6780.1820297149416</v>
      </c>
      <c r="F42" s="129">
        <f>IS!F42*Allocation!$F$9</f>
        <v>6690.0202135080617</v>
      </c>
      <c r="G42" s="129">
        <f>IS!G42*Allocation!$F$9</f>
        <v>6577.879536035327</v>
      </c>
      <c r="H42" s="129">
        <f>IS!H42*Allocation!$F$9</f>
        <v>6443.3494529455802</v>
      </c>
      <c r="I42" s="129">
        <f>IS!I42*Allocation!$F$9</f>
        <v>6301.5056156437076</v>
      </c>
      <c r="J42" s="129">
        <f>IS!J42*Allocation!$F$9</f>
        <v>6096.8309404886513</v>
      </c>
      <c r="K42" s="129">
        <f>IS!K42*Allocation!$F$9</f>
        <v>5878.7519275434524</v>
      </c>
      <c r="L42" s="129">
        <f>IS!L42*Allocation!$F$9</f>
        <v>5626.1297163384043</v>
      </c>
      <c r="M42" s="129">
        <f>IS!M42*Allocation!$F$9</f>
        <v>5337.9349627166703</v>
      </c>
      <c r="N42" s="129">
        <f>IS!N42*Allocation!$F$9</f>
        <v>4970.7493169247882</v>
      </c>
      <c r="O42" s="129">
        <f>IS!O42*Allocation!$F$9</f>
        <v>4565.6317796698995</v>
      </c>
      <c r="P42" s="129">
        <f>IS!P42*Allocation!$F$9</f>
        <v>4101.8049201668282</v>
      </c>
      <c r="Q42" s="129">
        <f>IS!Q42*Allocation!$F$9</f>
        <v>3583.8432251035824</v>
      </c>
      <c r="R42" s="129">
        <f>IS!R42*Allocation!$F$9</f>
        <v>2975.5987804740116</v>
      </c>
      <c r="S42" s="129">
        <f>IS!S42*Allocation!$F$9</f>
        <v>2303.1979895527038</v>
      </c>
      <c r="T42" s="129">
        <f>IS!T42*Allocation!$F$9</f>
        <v>1547.5584328182113</v>
      </c>
      <c r="U42" s="129">
        <f>IS!U42*Allocation!$F$9</f>
        <v>701.15975831186142</v>
      </c>
      <c r="W42" s="93">
        <f>SUM(B42:U42)</f>
        <v>102363.59503380285</v>
      </c>
    </row>
    <row r="43" spans="1:23" ht="6" customHeight="1">
      <c r="B43" s="69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W43" s="93"/>
    </row>
    <row r="44" spans="1:23" s="59" customFormat="1">
      <c r="A44" s="1" t="s">
        <v>95</v>
      </c>
      <c r="B44" s="134">
        <f t="shared" ref="B44:U44" si="10">B40-B42</f>
        <v>1535.8151727367695</v>
      </c>
      <c r="C44" s="134">
        <f t="shared" si="10"/>
        <v>1721.0085665817869</v>
      </c>
      <c r="D44" s="134">
        <f t="shared" si="10"/>
        <v>1939.0814218756341</v>
      </c>
      <c r="E44" s="134">
        <f t="shared" si="10"/>
        <v>10179.179113344453</v>
      </c>
      <c r="F44" s="134">
        <f t="shared" si="10"/>
        <v>11518.750198539048</v>
      </c>
      <c r="G44" s="134">
        <f t="shared" si="10"/>
        <v>11915.458565424056</v>
      </c>
      <c r="H44" s="134">
        <f t="shared" si="10"/>
        <v>12288.508668110246</v>
      </c>
      <c r="I44" s="134">
        <f t="shared" si="10"/>
        <v>12710.254191281614</v>
      </c>
      <c r="J44" s="134">
        <f t="shared" si="10"/>
        <v>13254.286488868611</v>
      </c>
      <c r="K44" s="134">
        <f t="shared" si="10"/>
        <v>13192.60703511785</v>
      </c>
      <c r="L44" s="134">
        <f t="shared" si="10"/>
        <v>14085.112283930084</v>
      </c>
      <c r="M44" s="134">
        <f t="shared" si="10"/>
        <v>15038.326681653878</v>
      </c>
      <c r="N44" s="134">
        <f t="shared" si="10"/>
        <v>16001.407078605613</v>
      </c>
      <c r="O44" s="134">
        <f t="shared" si="10"/>
        <v>16877.425182172279</v>
      </c>
      <c r="P44" s="134">
        <f t="shared" si="10"/>
        <v>17816.467599707034</v>
      </c>
      <c r="Q44" s="134">
        <f t="shared" si="10"/>
        <v>18684.46667233299</v>
      </c>
      <c r="R44" s="134">
        <f t="shared" si="10"/>
        <v>19639.75556487597</v>
      </c>
      <c r="S44" s="134">
        <f t="shared" si="10"/>
        <v>20659.830103434339</v>
      </c>
      <c r="T44" s="134">
        <f t="shared" si="10"/>
        <v>21759.137057193173</v>
      </c>
      <c r="U44" s="134">
        <f t="shared" si="10"/>
        <v>22944.744262245487</v>
      </c>
      <c r="W44" s="93">
        <f>SUM(B44:U44)</f>
        <v>273761.62190803094</v>
      </c>
    </row>
    <row r="45" spans="1:23" s="59" customFormat="1">
      <c r="A45" s="1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W45" s="93"/>
    </row>
    <row r="46" spans="1:23">
      <c r="A46" s="3" t="s">
        <v>96</v>
      </c>
      <c r="B46" s="129">
        <f>B44*-Summary!$E$37</f>
        <v>-76.790758636838476</v>
      </c>
      <c r="C46" s="129">
        <f>C44*-Summary!$E$37</f>
        <v>-86.050428329089357</v>
      </c>
      <c r="D46" s="129">
        <f>D44*-Summary!$E$37</f>
        <v>-96.954071093781707</v>
      </c>
      <c r="E46" s="129">
        <f>E44*-Summary!$E$37</f>
        <v>-508.95895566722265</v>
      </c>
      <c r="F46" s="129">
        <f>F44*-Summary!$E$37</f>
        <v>-575.93750992695243</v>
      </c>
      <c r="G46" s="129">
        <f>G44*-Summary!$E$37</f>
        <v>-595.77292827120289</v>
      </c>
      <c r="H46" s="129">
        <f>H44*-Summary!$E$37</f>
        <v>-614.42543340551231</v>
      </c>
      <c r="I46" s="129">
        <f>I44*-Summary!$E$37</f>
        <v>-635.51270956408075</v>
      </c>
      <c r="J46" s="129">
        <f>J44*-Summary!$E$37</f>
        <v>-662.71432444343054</v>
      </c>
      <c r="K46" s="129">
        <f>K44*-Summary!$E$37</f>
        <v>-659.63035175589255</v>
      </c>
      <c r="L46" s="129">
        <f>L44*-Summary!$E$37</f>
        <v>-704.25561419650421</v>
      </c>
      <c r="M46" s="129">
        <f>M44*-Summary!$E$37</f>
        <v>-751.91633408269399</v>
      </c>
      <c r="N46" s="129">
        <f>N44*-Summary!$E$37</f>
        <v>-800.0703539302807</v>
      </c>
      <c r="O46" s="129">
        <f>O44*-Summary!$E$37</f>
        <v>-843.87125910861403</v>
      </c>
      <c r="P46" s="129">
        <f>P44*-Summary!$E$37</f>
        <v>-890.82337998535172</v>
      </c>
      <c r="Q46" s="129">
        <f>Q44*-Summary!$E$37</f>
        <v>-934.2233336166496</v>
      </c>
      <c r="R46" s="129">
        <f>R44*-Summary!$E$37</f>
        <v>-981.98777824379852</v>
      </c>
      <c r="S46" s="129">
        <f>S44*-Summary!$E$37</f>
        <v>-1032.9915051717169</v>
      </c>
      <c r="T46" s="129">
        <f>T44*-Summary!$E$37</f>
        <v>-1087.9568528596587</v>
      </c>
      <c r="U46" s="129">
        <f>U44*-Summary!$E$37</f>
        <v>-1147.2372131122745</v>
      </c>
      <c r="W46" s="93">
        <f>SUM(B46:U46)</f>
        <v>-13688.081095401545</v>
      </c>
    </row>
    <row r="47" spans="1:23">
      <c r="A47" s="3" t="s">
        <v>97</v>
      </c>
      <c r="B47" s="123">
        <f>(B44+B46)*-Summary!$E$36</f>
        <v>-510.65854493497579</v>
      </c>
      <c r="C47" s="123">
        <f>(C44+C46)*-Summary!$E$36</f>
        <v>-572.23534838844409</v>
      </c>
      <c r="D47" s="123">
        <f>(D44+D46)*-Summary!$E$36</f>
        <v>-644.74457277364831</v>
      </c>
      <c r="E47" s="123">
        <f>(E44+E46)*-Summary!$E$36</f>
        <v>-3384.577055187031</v>
      </c>
      <c r="F47" s="123">
        <f>(F44+F46)*-Summary!$E$36</f>
        <v>-3829.9844410142332</v>
      </c>
      <c r="G47" s="123">
        <f>(G44+G46)*-Summary!$E$36</f>
        <v>-3961.8899730034987</v>
      </c>
      <c r="H47" s="123">
        <f>(H44+H46)*-Summary!$E$36</f>
        <v>-4085.9291321466562</v>
      </c>
      <c r="I47" s="123">
        <f>(I44+I46)*-Summary!$E$36</f>
        <v>-4226.1595186011364</v>
      </c>
      <c r="J47" s="123">
        <f>(J44+J46)*-Summary!$E$36</f>
        <v>-4407.0502575488126</v>
      </c>
      <c r="K47" s="123">
        <f>(K44+K46)*-Summary!$E$36</f>
        <v>-4386.5418391766852</v>
      </c>
      <c r="L47" s="123">
        <f>(L44+L46)*-Summary!$E$36</f>
        <v>-4683.2998344067528</v>
      </c>
      <c r="M47" s="123">
        <f>(M44+M46)*-Summary!$E$36</f>
        <v>-5000.2436216499136</v>
      </c>
      <c r="N47" s="123">
        <f>(N44+N46)*-Summary!$E$36</f>
        <v>-5320.4678536363654</v>
      </c>
      <c r="O47" s="123">
        <f>(O44+O46)*-Summary!$E$36</f>
        <v>-5611.7438730722824</v>
      </c>
      <c r="P47" s="123">
        <f>(P44+P46)*-Summary!$E$36</f>
        <v>-5923.9754769025885</v>
      </c>
      <c r="Q47" s="123">
        <f>(Q44+Q46)*-Summary!$E$36</f>
        <v>-6212.5851685507187</v>
      </c>
      <c r="R47" s="123">
        <f>(R44+R46)*-Summary!$E$36</f>
        <v>-6530.2187253212596</v>
      </c>
      <c r="S47" s="123">
        <f>(S44+S46)*-Summary!$E$36</f>
        <v>-6869.3935093919172</v>
      </c>
      <c r="T47" s="123">
        <f>(T44+T46)*-Summary!$E$36</f>
        <v>-7234.9130715167303</v>
      </c>
      <c r="U47" s="123">
        <f>(U44+U46)*-Summary!$E$36</f>
        <v>-7629.1274671966239</v>
      </c>
      <c r="W47" s="93">
        <f>SUM(B47:U47)</f>
        <v>-91025.73928442027</v>
      </c>
    </row>
    <row r="48" spans="1:23" ht="6" customHeight="1"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W48" s="93"/>
    </row>
    <row r="49" spans="1:55" s="66" customFormat="1" ht="15.75">
      <c r="A49" s="47" t="s">
        <v>118</v>
      </c>
      <c r="B49" s="136">
        <f t="shared" ref="B49:U49" si="11">SUM(B44:B47)</f>
        <v>948.36586916495514</v>
      </c>
      <c r="C49" s="136">
        <f t="shared" si="11"/>
        <v>1062.7227898642536</v>
      </c>
      <c r="D49" s="136">
        <f t="shared" si="11"/>
        <v>1197.382778008204</v>
      </c>
      <c r="E49" s="136">
        <f t="shared" si="11"/>
        <v>6285.6431024902004</v>
      </c>
      <c r="F49" s="136">
        <f t="shared" si="11"/>
        <v>7112.8282475978622</v>
      </c>
      <c r="G49" s="136">
        <f t="shared" si="11"/>
        <v>7357.7956641493547</v>
      </c>
      <c r="H49" s="136">
        <f t="shared" si="11"/>
        <v>7588.1541025580764</v>
      </c>
      <c r="I49" s="136">
        <f t="shared" si="11"/>
        <v>7848.5819631163977</v>
      </c>
      <c r="J49" s="136">
        <f t="shared" si="11"/>
        <v>8184.5219068763681</v>
      </c>
      <c r="K49" s="136">
        <f t="shared" si="11"/>
        <v>8146.4348441852726</v>
      </c>
      <c r="L49" s="136">
        <f t="shared" si="11"/>
        <v>8697.5568353268281</v>
      </c>
      <c r="M49" s="136">
        <f t="shared" si="11"/>
        <v>9286.16672592127</v>
      </c>
      <c r="N49" s="136">
        <f t="shared" si="11"/>
        <v>9880.8688710389652</v>
      </c>
      <c r="O49" s="136">
        <f t="shared" si="11"/>
        <v>10421.810049991383</v>
      </c>
      <c r="P49" s="136">
        <f t="shared" si="11"/>
        <v>11001.668742819093</v>
      </c>
      <c r="Q49" s="136">
        <f t="shared" si="11"/>
        <v>11537.658170165621</v>
      </c>
      <c r="R49" s="136">
        <f t="shared" si="11"/>
        <v>12127.549061310912</v>
      </c>
      <c r="S49" s="136">
        <f t="shared" si="11"/>
        <v>12757.445088870703</v>
      </c>
      <c r="T49" s="136">
        <f t="shared" si="11"/>
        <v>13436.267132816785</v>
      </c>
      <c r="U49" s="136">
        <f t="shared" si="11"/>
        <v>14168.379581936588</v>
      </c>
      <c r="W49" s="93">
        <f>SUM(B49:U49)</f>
        <v>169047.80152820909</v>
      </c>
    </row>
    <row r="50" spans="1:55" s="64" customFormat="1" ht="9" outlineLevel="1">
      <c r="A50" s="4"/>
      <c r="B50" s="62"/>
      <c r="C50" s="63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</row>
    <row r="51" spans="1:55">
      <c r="A51" s="1"/>
      <c r="B51" s="58"/>
      <c r="C51" s="61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</row>
    <row r="52" spans="1:55" outlineLevel="1">
      <c r="A52" s="13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</row>
    <row r="53" spans="1:55" ht="18.75" outlineLevel="1">
      <c r="A53" s="57" t="s">
        <v>264</v>
      </c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</row>
    <row r="54" spans="1:55" outlineLevel="1">
      <c r="A54" s="1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</row>
    <row r="55" spans="1:55" ht="12.75" customHeight="1" outlineLevel="1">
      <c r="A55" s="1" t="s">
        <v>116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</row>
    <row r="56" spans="1:55" ht="12.75" customHeight="1" outlineLevel="1">
      <c r="A56" s="1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</row>
    <row r="57" spans="1:55" ht="13.5" outlineLevel="1" thickBot="1">
      <c r="A57" s="202" t="s">
        <v>83</v>
      </c>
      <c r="B57" s="8">
        <v>2001</v>
      </c>
      <c r="C57" s="8">
        <f t="shared" ref="C57:U57" si="12">B57+1</f>
        <v>2002</v>
      </c>
      <c r="D57" s="8">
        <f t="shared" si="12"/>
        <v>2003</v>
      </c>
      <c r="E57" s="8">
        <f t="shared" si="12"/>
        <v>2004</v>
      </c>
      <c r="F57" s="8">
        <f t="shared" si="12"/>
        <v>2005</v>
      </c>
      <c r="G57" s="8">
        <f t="shared" si="12"/>
        <v>2006</v>
      </c>
      <c r="H57" s="8">
        <f t="shared" si="12"/>
        <v>2007</v>
      </c>
      <c r="I57" s="8">
        <f t="shared" si="12"/>
        <v>2008</v>
      </c>
      <c r="J57" s="8">
        <f t="shared" si="12"/>
        <v>2009</v>
      </c>
      <c r="K57" s="8">
        <f t="shared" si="12"/>
        <v>2010</v>
      </c>
      <c r="L57" s="8">
        <f t="shared" si="12"/>
        <v>2011</v>
      </c>
      <c r="M57" s="8">
        <f t="shared" si="12"/>
        <v>2012</v>
      </c>
      <c r="N57" s="8">
        <f t="shared" si="12"/>
        <v>2013</v>
      </c>
      <c r="O57" s="8">
        <f t="shared" si="12"/>
        <v>2014</v>
      </c>
      <c r="P57" s="8">
        <f t="shared" si="12"/>
        <v>2015</v>
      </c>
      <c r="Q57" s="8">
        <f t="shared" si="12"/>
        <v>2016</v>
      </c>
      <c r="R57" s="8">
        <f t="shared" si="12"/>
        <v>2017</v>
      </c>
      <c r="S57" s="8">
        <f t="shared" si="12"/>
        <v>2018</v>
      </c>
      <c r="T57" s="8">
        <f t="shared" si="12"/>
        <v>2019</v>
      </c>
      <c r="U57" s="8">
        <f t="shared" si="12"/>
        <v>2020</v>
      </c>
      <c r="W57" s="456" t="s">
        <v>231</v>
      </c>
    </row>
    <row r="58" spans="1:55" outlineLevel="1">
      <c r="A58" s="12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W58" s="46"/>
    </row>
    <row r="59" spans="1:55" outlineLevel="1">
      <c r="A59" s="13" t="s">
        <v>91</v>
      </c>
      <c r="B59" s="58">
        <f t="shared" ref="B59:U59" si="13">B36</f>
        <v>14423.559115438391</v>
      </c>
      <c r="C59" s="58">
        <f t="shared" si="13"/>
        <v>14354.187724352298</v>
      </c>
      <c r="D59" s="58">
        <f t="shared" si="13"/>
        <v>14276.56977704509</v>
      </c>
      <c r="E59" s="58">
        <f t="shared" si="13"/>
        <v>22285.009482991205</v>
      </c>
      <c r="F59" s="58">
        <f t="shared" si="13"/>
        <v>23534.418751978916</v>
      </c>
      <c r="G59" s="58">
        <f t="shared" si="13"/>
        <v>23818.986441391193</v>
      </c>
      <c r="H59" s="58">
        <f t="shared" si="13"/>
        <v>24057.506460987635</v>
      </c>
      <c r="I59" s="58">
        <f t="shared" si="13"/>
        <v>24337.408146857131</v>
      </c>
      <c r="J59" s="58">
        <f t="shared" si="13"/>
        <v>24676.765769289072</v>
      </c>
      <c r="K59" s="58">
        <f t="shared" si="13"/>
        <v>24397.007302593112</v>
      </c>
      <c r="L59" s="58">
        <f t="shared" si="13"/>
        <v>25036.890340200294</v>
      </c>
      <c r="M59" s="58">
        <f t="shared" si="13"/>
        <v>25701.909984302358</v>
      </c>
      <c r="N59" s="58">
        <f t="shared" si="13"/>
        <v>26297.80473546221</v>
      </c>
      <c r="O59" s="58">
        <f t="shared" si="13"/>
        <v>26768.705301773989</v>
      </c>
      <c r="P59" s="58">
        <f t="shared" si="13"/>
        <v>27243.920859805672</v>
      </c>
      <c r="Q59" s="58">
        <f t="shared" si="13"/>
        <v>27593.958237368381</v>
      </c>
      <c r="R59" s="58">
        <f t="shared" si="13"/>
        <v>27941.00268528179</v>
      </c>
      <c r="S59" s="58">
        <f t="shared" si="13"/>
        <v>28288.676432918848</v>
      </c>
      <c r="T59" s="58">
        <f t="shared" si="13"/>
        <v>28632.343829943191</v>
      </c>
      <c r="U59" s="58">
        <f t="shared" si="13"/>
        <v>28971.552360489157</v>
      </c>
      <c r="W59" s="457">
        <f>SUM(B59:U59)</f>
        <v>482638.18374046998</v>
      </c>
    </row>
    <row r="60" spans="1:55">
      <c r="A60" s="13" t="s">
        <v>255</v>
      </c>
      <c r="B60" s="69">
        <f>B28</f>
        <v>487.9</v>
      </c>
      <c r="C60" s="69">
        <f t="shared" ref="C60:T60" si="14">C28</f>
        <v>486.5</v>
      </c>
      <c r="D60" s="69">
        <f t="shared" si="14"/>
        <v>484.5</v>
      </c>
      <c r="E60" s="69">
        <f t="shared" si="14"/>
        <v>476.4</v>
      </c>
      <c r="F60" s="69">
        <f t="shared" si="14"/>
        <v>467.3</v>
      </c>
      <c r="G60" s="69">
        <f t="shared" si="14"/>
        <v>451.3</v>
      </c>
      <c r="H60" s="69">
        <f t="shared" si="14"/>
        <v>427.8</v>
      </c>
      <c r="I60" s="69">
        <f t="shared" si="14"/>
        <v>402.5</v>
      </c>
      <c r="J60" s="69">
        <f t="shared" si="14"/>
        <v>362.4</v>
      </c>
      <c r="K60" s="69">
        <f t="shared" si="14"/>
        <v>878.3</v>
      </c>
      <c r="L60" s="69">
        <f t="shared" si="14"/>
        <v>695.3</v>
      </c>
      <c r="M60" s="69">
        <f t="shared" si="14"/>
        <v>494</v>
      </c>
      <c r="N60" s="69">
        <f t="shared" si="14"/>
        <v>365.9</v>
      </c>
      <c r="O60" s="69">
        <f t="shared" si="14"/>
        <v>365.9</v>
      </c>
      <c r="P60" s="69">
        <f t="shared" si="14"/>
        <v>365.9</v>
      </c>
      <c r="Q60" s="69">
        <f t="shared" si="14"/>
        <v>365.9</v>
      </c>
      <c r="R60" s="69">
        <f t="shared" si="14"/>
        <v>365.9</v>
      </c>
      <c r="S60" s="69">
        <f t="shared" si="14"/>
        <v>365.9</v>
      </c>
      <c r="T60" s="69">
        <f t="shared" si="14"/>
        <v>365.9</v>
      </c>
      <c r="U60" s="69">
        <f>T60</f>
        <v>365.9</v>
      </c>
      <c r="W60" s="457">
        <f>SUM(B60:U60)</f>
        <v>9041.3999999999978</v>
      </c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</row>
    <row r="61" spans="1:55">
      <c r="A61" s="13" t="s">
        <v>256</v>
      </c>
      <c r="B61" s="537">
        <v>-488.8</v>
      </c>
      <c r="C61" s="69">
        <f>-B60</f>
        <v>-487.9</v>
      </c>
      <c r="D61" s="69">
        <f t="shared" ref="D61:U61" si="15">-C60</f>
        <v>-486.5</v>
      </c>
      <c r="E61" s="69">
        <f t="shared" si="15"/>
        <v>-484.5</v>
      </c>
      <c r="F61" s="69">
        <f t="shared" si="15"/>
        <v>-476.4</v>
      </c>
      <c r="G61" s="69">
        <f t="shared" si="15"/>
        <v>-467.3</v>
      </c>
      <c r="H61" s="69">
        <f t="shared" si="15"/>
        <v>-451.3</v>
      </c>
      <c r="I61" s="69">
        <f t="shared" si="15"/>
        <v>-427.8</v>
      </c>
      <c r="J61" s="69">
        <f t="shared" si="15"/>
        <v>-402.5</v>
      </c>
      <c r="K61" s="69">
        <f t="shared" si="15"/>
        <v>-362.4</v>
      </c>
      <c r="L61" s="69">
        <f t="shared" si="15"/>
        <v>-878.3</v>
      </c>
      <c r="M61" s="69">
        <f t="shared" si="15"/>
        <v>-695.3</v>
      </c>
      <c r="N61" s="69">
        <f t="shared" si="15"/>
        <v>-494</v>
      </c>
      <c r="O61" s="69">
        <f t="shared" si="15"/>
        <v>-365.9</v>
      </c>
      <c r="P61" s="69">
        <f t="shared" si="15"/>
        <v>-365.9</v>
      </c>
      <c r="Q61" s="69">
        <f t="shared" si="15"/>
        <v>-365.9</v>
      </c>
      <c r="R61" s="69">
        <f t="shared" si="15"/>
        <v>-365.9</v>
      </c>
      <c r="S61" s="69">
        <f t="shared" si="15"/>
        <v>-365.9</v>
      </c>
      <c r="T61" s="69">
        <f t="shared" si="15"/>
        <v>-365.9</v>
      </c>
      <c r="U61" s="69">
        <f t="shared" si="15"/>
        <v>-365.9</v>
      </c>
      <c r="W61" s="457">
        <f>SUM(B61:U61)</f>
        <v>-9164.2999999999975</v>
      </c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</row>
    <row r="62" spans="1:55" outlineLevel="1">
      <c r="A62" s="13" t="s">
        <v>99</v>
      </c>
      <c r="B62" s="455">
        <f>-Debt!B75*Allocation!$F$9</f>
        <v>-10627.067849863988</v>
      </c>
      <c r="C62" s="455">
        <f>-Debt!C75*Allocation!$F$9</f>
        <v>-10599.004664765613</v>
      </c>
      <c r="D62" s="455">
        <f>-Debt!D75*Allocation!$F$9</f>
        <v>-10545.002444950602</v>
      </c>
      <c r="E62" s="455">
        <f>-Debt!E75*Allocation!$F$9</f>
        <v>-7387.2506436089016</v>
      </c>
      <c r="F62" s="455">
        <f>-Debt!F75*Allocation!$F$9</f>
        <v>-7764.9028914360151</v>
      </c>
      <c r="G62" s="455">
        <f>-Debt!G75*Allocation!$F$9</f>
        <v>-7874.4107939675869</v>
      </c>
      <c r="H62" s="455">
        <f>-Debt!H75*Allocation!$F$9</f>
        <v>-7976.9078297694141</v>
      </c>
      <c r="I62" s="455">
        <f>-Debt!I75*Allocation!$F$9</f>
        <v>-8112.86396784712</v>
      </c>
      <c r="J62" s="455">
        <f>-Debt!J75*Allocation!$F$9</f>
        <v>-8218.9804665438951</v>
      </c>
      <c r="K62" s="455">
        <f>-Debt!K75*Allocation!$F$9</f>
        <v>-8299.5527593129755</v>
      </c>
      <c r="L62" s="455">
        <f>-Debt!L75*Allocation!$F$9</f>
        <v>-8462.989739598519</v>
      </c>
      <c r="M62" s="455">
        <f>-Debt!M75*Allocation!$F$9</f>
        <v>-8657.6549282709402</v>
      </c>
      <c r="N62" s="455">
        <f>-Debt!N75*Allocation!$F$9</f>
        <v>-8786.6688172082449</v>
      </c>
      <c r="O62" s="455">
        <f>-Debt!O75*Allocation!$F$9</f>
        <v>-8944.5530160203925</v>
      </c>
      <c r="P62" s="455">
        <f>-Debt!P75*Allocation!$F$9</f>
        <v>-9084.2835499481862</v>
      </c>
      <c r="Q62" s="455">
        <f>-Debt!Q75*Allocation!$F$9</f>
        <v>-9253.1032935743569</v>
      </c>
      <c r="R62" s="455">
        <f>-Debt!R75*Allocation!$F$9</f>
        <v>-9343.9991884041701</v>
      </c>
      <c r="S62" s="455">
        <f>-Debt!S75*Allocation!$F$9</f>
        <v>-9463.0181842597267</v>
      </c>
      <c r="T62" s="455">
        <f>-Debt!T75*Allocation!$F$9</f>
        <v>-9584.2412158682037</v>
      </c>
      <c r="U62" s="455">
        <f>-Debt!U75*Allocation!$F$9</f>
        <v>-9724.4354655220068</v>
      </c>
      <c r="W62" s="457">
        <f>SUM(B62:U62)</f>
        <v>-178710.89171074089</v>
      </c>
    </row>
    <row r="63" spans="1:55" outlineLevel="1">
      <c r="A63" s="13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W63" s="458"/>
    </row>
    <row r="64" spans="1:55" outlineLevel="1">
      <c r="A64" s="12" t="s">
        <v>100</v>
      </c>
      <c r="B64" s="67">
        <f t="shared" ref="B64:U64" si="16">SUM(B59:B62)</f>
        <v>3795.5912655744032</v>
      </c>
      <c r="C64" s="67">
        <f t="shared" si="16"/>
        <v>3753.7830595866853</v>
      </c>
      <c r="D64" s="67">
        <f t="shared" si="16"/>
        <v>3729.5673320944879</v>
      </c>
      <c r="E64" s="67">
        <f t="shared" si="16"/>
        <v>14889.658839382304</v>
      </c>
      <c r="F64" s="67">
        <f t="shared" si="16"/>
        <v>15760.415860542898</v>
      </c>
      <c r="G64" s="67">
        <f t="shared" si="16"/>
        <v>15928.575647423606</v>
      </c>
      <c r="H64" s="67">
        <f t="shared" si="16"/>
        <v>16057.098631218221</v>
      </c>
      <c r="I64" s="67">
        <f t="shared" si="16"/>
        <v>16199.244179010013</v>
      </c>
      <c r="J64" s="67">
        <f t="shared" si="16"/>
        <v>16417.68530274518</v>
      </c>
      <c r="K64" s="67">
        <f t="shared" si="16"/>
        <v>16613.354543280133</v>
      </c>
      <c r="L64" s="67">
        <f t="shared" si="16"/>
        <v>16390.900600601773</v>
      </c>
      <c r="M64" s="67">
        <f t="shared" si="16"/>
        <v>16842.955056031416</v>
      </c>
      <c r="N64" s="67">
        <f t="shared" si="16"/>
        <v>17383.035918253969</v>
      </c>
      <c r="O64" s="67">
        <f t="shared" si="16"/>
        <v>17824.152285753597</v>
      </c>
      <c r="P64" s="67">
        <f t="shared" si="16"/>
        <v>18159.637309857484</v>
      </c>
      <c r="Q64" s="67">
        <f t="shared" si="16"/>
        <v>18340.854943794024</v>
      </c>
      <c r="R64" s="67">
        <f t="shared" si="16"/>
        <v>18597.00349687762</v>
      </c>
      <c r="S64" s="67">
        <f t="shared" si="16"/>
        <v>18825.658248659121</v>
      </c>
      <c r="T64" s="67">
        <f t="shared" si="16"/>
        <v>19048.102614074989</v>
      </c>
      <c r="U64" s="67">
        <f t="shared" si="16"/>
        <v>19247.116894967148</v>
      </c>
      <c r="W64" s="457">
        <f>SUM(B64:U64)</f>
        <v>303804.39202972903</v>
      </c>
    </row>
    <row r="65" spans="1:23" outlineLevel="1">
      <c r="A65" s="12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W65" s="458"/>
    </row>
    <row r="66" spans="1:23" ht="15" outlineLevel="1">
      <c r="A66" s="13" t="s">
        <v>136</v>
      </c>
      <c r="B66" s="235">
        <f>-B107</f>
        <v>0</v>
      </c>
      <c r="C66" s="235">
        <f t="shared" ref="C66:U66" si="17">-C107</f>
        <v>0</v>
      </c>
      <c r="D66" s="235">
        <f t="shared" si="17"/>
        <v>0</v>
      </c>
      <c r="E66" s="235">
        <f t="shared" si="17"/>
        <v>0</v>
      </c>
      <c r="F66" s="235">
        <f t="shared" si="17"/>
        <v>0</v>
      </c>
      <c r="G66" s="235">
        <f t="shared" si="17"/>
        <v>0</v>
      </c>
      <c r="H66" s="235">
        <f t="shared" si="17"/>
        <v>0</v>
      </c>
      <c r="I66" s="235">
        <f t="shared" si="17"/>
        <v>-374.91003918406528</v>
      </c>
      <c r="J66" s="235">
        <f t="shared" si="17"/>
        <v>-405.30798801339324</v>
      </c>
      <c r="K66" s="235">
        <f t="shared" si="17"/>
        <v>-401.33640726919998</v>
      </c>
      <c r="L66" s="235">
        <f t="shared" si="17"/>
        <v>-446.84927776646686</v>
      </c>
      <c r="M66" s="235">
        <f t="shared" si="17"/>
        <v>-493.6223895960012</v>
      </c>
      <c r="N66" s="235">
        <f t="shared" si="17"/>
        <v>-542.6640175002434</v>
      </c>
      <c r="O66" s="235">
        <f t="shared" si="17"/>
        <v>-585.57731462192146</v>
      </c>
      <c r="P66" s="235">
        <f t="shared" si="17"/>
        <v>-633.41704355531431</v>
      </c>
      <c r="Q66" s="235">
        <f t="shared" si="17"/>
        <v>-938.66137389992605</v>
      </c>
      <c r="R66" s="235">
        <f t="shared" si="17"/>
        <v>-1248.2701952403888</v>
      </c>
      <c r="S66" s="235">
        <f t="shared" si="17"/>
        <v>-1299.2739221683075</v>
      </c>
      <c r="T66" s="235">
        <f t="shared" si="17"/>
        <v>-1354.2392698562489</v>
      </c>
      <c r="U66" s="235">
        <f t="shared" si="17"/>
        <v>-1413.5196301088647</v>
      </c>
      <c r="W66" s="457">
        <f>SUM(B66:U66)</f>
        <v>-10137.648868780343</v>
      </c>
    </row>
    <row r="67" spans="1:23" outlineLevel="1">
      <c r="A67" s="13" t="s">
        <v>137</v>
      </c>
      <c r="B67" s="130">
        <f>-Allocation!$F$9*Tax!B19</f>
        <v>178.13585323726321</v>
      </c>
      <c r="C67" s="130">
        <f>-Allocation!$F$9*Tax!C19</f>
        <v>2409.5690420564292</v>
      </c>
      <c r="D67" s="130">
        <f>-Allocation!$F$9*Tax!D19</f>
        <v>1845.737024147217</v>
      </c>
      <c r="E67" s="130">
        <f>-Allocation!$F$9*Tax!E19</f>
        <v>-1412.8519695621983</v>
      </c>
      <c r="F67" s="130">
        <f>-Allocation!$F$9*Tax!F19</f>
        <v>-2216.5648437337336</v>
      </c>
      <c r="G67" s="130">
        <f>-Allocation!$F$9*Tax!G19</f>
        <v>-2654.9283398034072</v>
      </c>
      <c r="H67" s="130">
        <f>-Allocation!$F$9*Tax!H19</f>
        <v>-2946.3134725994732</v>
      </c>
      <c r="I67" s="130">
        <f>-Allocation!$F$9*Tax!I19</f>
        <v>-3062.2628579342918</v>
      </c>
      <c r="J67" s="130">
        <f>-Allocation!$F$9*Tax!J19</f>
        <v>-3260.135663673273</v>
      </c>
      <c r="K67" s="130">
        <f>-Allocation!$F$9*Tax!K19</f>
        <v>-3407.0710758008445</v>
      </c>
      <c r="L67" s="130">
        <f>-Allocation!$F$9*Tax!L19</f>
        <v>-3654.1017080488641</v>
      </c>
      <c r="M67" s="130">
        <f>-Allocation!$F$9*Tax!M19</f>
        <v>-3912.3990522324925</v>
      </c>
      <c r="N67" s="130">
        <f>-Allocation!$F$9*Tax!N19</f>
        <v>-4188.0437945633621</v>
      </c>
      <c r="O67" s="130">
        <f>-Allocation!$F$9*Tax!O19</f>
        <v>-4471.5452029863427</v>
      </c>
      <c r="P67" s="130">
        <f>-Allocation!$F$9*Tax!P19</f>
        <v>-4765.991546555736</v>
      </c>
      <c r="Q67" s="130">
        <f>-Allocation!$F$9*Tax!Q19</f>
        <v>-6496.7604543039979</v>
      </c>
      <c r="R67" s="130">
        <f>-Allocation!$F$9*Tax!R19</f>
        <v>-8230.1832308427129</v>
      </c>
      <c r="S67" s="130">
        <f>-Allocation!$F$9*Tax!S19</f>
        <v>-8567.8820415794144</v>
      </c>
      <c r="T67" s="130">
        <f>-Allocation!$F$9*Tax!T19</f>
        <v>-8934.9927943483981</v>
      </c>
      <c r="U67" s="130">
        <f>-Allocation!$F$9*Tax!U19</f>
        <v>-9327.6074817243152</v>
      </c>
      <c r="W67" s="457">
        <f>SUM(B67:U67)</f>
        <v>-77076.193610851944</v>
      </c>
    </row>
    <row r="68" spans="1:23" outlineLevel="1">
      <c r="A68" s="13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W68" s="458"/>
    </row>
    <row r="69" spans="1:23" s="127" customFormat="1" ht="15.75" outlineLevel="1">
      <c r="A69" s="48" t="s">
        <v>101</v>
      </c>
      <c r="B69" s="139">
        <f t="shared" ref="B69:U69" si="18">B64+B67+B66</f>
        <v>3973.7271188116665</v>
      </c>
      <c r="C69" s="139">
        <f t="shared" si="18"/>
        <v>6163.352101643115</v>
      </c>
      <c r="D69" s="139">
        <f t="shared" si="18"/>
        <v>5575.3043562417051</v>
      </c>
      <c r="E69" s="139">
        <f t="shared" si="18"/>
        <v>13476.806869820106</v>
      </c>
      <c r="F69" s="139">
        <f t="shared" si="18"/>
        <v>13543.851016809165</v>
      </c>
      <c r="G69" s="139">
        <f t="shared" si="18"/>
        <v>13273.647307620198</v>
      </c>
      <c r="H69" s="139">
        <f t="shared" si="18"/>
        <v>13110.785158618748</v>
      </c>
      <c r="I69" s="139">
        <f t="shared" si="18"/>
        <v>12762.071281891655</v>
      </c>
      <c r="J69" s="139">
        <f t="shared" si="18"/>
        <v>12752.241651058514</v>
      </c>
      <c r="K69" s="139">
        <f t="shared" si="18"/>
        <v>12804.947060210088</v>
      </c>
      <c r="L69" s="139">
        <f t="shared" si="18"/>
        <v>12289.949614786443</v>
      </c>
      <c r="M69" s="139">
        <f t="shared" si="18"/>
        <v>12436.933614202922</v>
      </c>
      <c r="N69" s="139">
        <f t="shared" si="18"/>
        <v>12652.328106190364</v>
      </c>
      <c r="O69" s="139">
        <f t="shared" si="18"/>
        <v>12767.029768145332</v>
      </c>
      <c r="P69" s="139">
        <f t="shared" si="18"/>
        <v>12760.228719746434</v>
      </c>
      <c r="Q69" s="139">
        <f t="shared" si="18"/>
        <v>10905.4331155901</v>
      </c>
      <c r="R69" s="139">
        <f t="shared" si="18"/>
        <v>9118.5500707945175</v>
      </c>
      <c r="S69" s="139">
        <f t="shared" si="18"/>
        <v>8958.5022849113993</v>
      </c>
      <c r="T69" s="139">
        <f t="shared" si="18"/>
        <v>8758.8705498703421</v>
      </c>
      <c r="U69" s="139">
        <f t="shared" si="18"/>
        <v>8505.9897831339676</v>
      </c>
      <c r="W69" s="457">
        <f>SUM(B69:U69)</f>
        <v>216590.54955009677</v>
      </c>
    </row>
    <row r="70" spans="1:23" outlineLevel="1">
      <c r="A70" s="15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</row>
    <row r="71" spans="1:23" outlineLevel="1">
      <c r="A71" s="14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</row>
    <row r="72" spans="1:23" outlineLevel="1">
      <c r="A72" s="14">
        <v>0</v>
      </c>
      <c r="B72" s="69">
        <f>B36</f>
        <v>14423.559115438391</v>
      </c>
      <c r="C72" s="69">
        <f t="shared" ref="C72:U72" si="19">C36</f>
        <v>14354.187724352298</v>
      </c>
      <c r="D72" s="69">
        <f t="shared" si="19"/>
        <v>14276.56977704509</v>
      </c>
      <c r="E72" s="69">
        <f t="shared" si="19"/>
        <v>22285.009482991205</v>
      </c>
      <c r="F72" s="69">
        <f t="shared" si="19"/>
        <v>23534.418751978916</v>
      </c>
      <c r="G72" s="69">
        <f t="shared" si="19"/>
        <v>23818.986441391193</v>
      </c>
      <c r="H72" s="69">
        <f t="shared" si="19"/>
        <v>24057.506460987635</v>
      </c>
      <c r="I72" s="69">
        <f t="shared" si="19"/>
        <v>24337.408146857131</v>
      </c>
      <c r="J72" s="69">
        <f t="shared" si="19"/>
        <v>24676.765769289072</v>
      </c>
      <c r="K72" s="69">
        <f t="shared" si="19"/>
        <v>24397.007302593112</v>
      </c>
      <c r="L72" s="69">
        <f t="shared" si="19"/>
        <v>25036.890340200294</v>
      </c>
      <c r="M72" s="69">
        <f t="shared" si="19"/>
        <v>25701.909984302358</v>
      </c>
      <c r="N72" s="69">
        <f t="shared" si="19"/>
        <v>26297.80473546221</v>
      </c>
      <c r="O72" s="69">
        <f t="shared" si="19"/>
        <v>26768.705301773989</v>
      </c>
      <c r="P72" s="69">
        <f t="shared" si="19"/>
        <v>27243.920859805672</v>
      </c>
      <c r="Q72" s="69">
        <f t="shared" si="19"/>
        <v>27593.958237368381</v>
      </c>
      <c r="R72" s="69">
        <f t="shared" si="19"/>
        <v>27941.00268528179</v>
      </c>
      <c r="S72" s="69">
        <f t="shared" si="19"/>
        <v>28288.676432918848</v>
      </c>
      <c r="T72" s="69">
        <f t="shared" si="19"/>
        <v>28632.343829943191</v>
      </c>
      <c r="U72" s="69">
        <f t="shared" si="19"/>
        <v>28971.552360489157</v>
      </c>
    </row>
    <row r="73" spans="1:23" outlineLevel="1">
      <c r="A73" s="14" t="s">
        <v>239</v>
      </c>
      <c r="B73" s="463">
        <f>Assumptions!B39</f>
        <v>0.11443483820421446</v>
      </c>
      <c r="C73" s="464">
        <f>[7]!_xludf.xnpv(B73,A72:U72,CF!$B$8:$V$8)</f>
        <v>166986.33163410609</v>
      </c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</row>
    <row r="74" spans="1:23" outlineLevel="1">
      <c r="A74" s="70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</row>
    <row r="75" spans="1:23" outlineLevel="1">
      <c r="A75" s="70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</row>
    <row r="76" spans="1:23" outlineLevel="1">
      <c r="A76" s="7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</row>
    <row r="77" spans="1:23" ht="18.75" outlineLevel="1">
      <c r="A77" s="57" t="s">
        <v>265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</row>
    <row r="78" spans="1:23" outlineLevel="1">
      <c r="A78" s="59"/>
      <c r="B78" s="20"/>
      <c r="C78" s="20"/>
      <c r="D78" s="20"/>
      <c r="E78" s="20"/>
      <c r="F78" s="20"/>
      <c r="G78" s="140"/>
      <c r="H78" s="20"/>
      <c r="I78" s="20"/>
      <c r="J78" s="20"/>
      <c r="K78" s="20"/>
      <c r="L78" s="20"/>
      <c r="M78" s="140"/>
      <c r="N78" s="20"/>
      <c r="O78" s="20"/>
      <c r="P78" s="20"/>
      <c r="Q78" s="20"/>
      <c r="R78" s="20"/>
      <c r="S78" s="140"/>
      <c r="T78" s="20"/>
      <c r="U78" s="20"/>
    </row>
    <row r="79" spans="1:23" outlineLevel="1">
      <c r="A79" s="236"/>
      <c r="B79" s="257">
        <v>3</v>
      </c>
      <c r="C79" s="257">
        <v>4</v>
      </c>
      <c r="D79" s="257">
        <v>5</v>
      </c>
      <c r="E79" s="258">
        <v>6</v>
      </c>
      <c r="F79" s="257">
        <v>7</v>
      </c>
      <c r="G79" s="257">
        <v>8</v>
      </c>
      <c r="H79" s="257">
        <v>9</v>
      </c>
      <c r="I79" s="257">
        <v>10</v>
      </c>
      <c r="J79" s="257">
        <v>11</v>
      </c>
      <c r="K79" s="258">
        <v>12</v>
      </c>
      <c r="L79" s="257">
        <v>13</v>
      </c>
      <c r="M79" s="257">
        <v>14</v>
      </c>
      <c r="N79" s="257">
        <v>15</v>
      </c>
      <c r="O79" s="257">
        <v>16</v>
      </c>
      <c r="P79" s="257">
        <v>17</v>
      </c>
      <c r="Q79" s="258">
        <v>18</v>
      </c>
      <c r="R79" s="257">
        <v>19</v>
      </c>
      <c r="S79" s="257">
        <v>20</v>
      </c>
      <c r="T79" s="257">
        <v>21</v>
      </c>
      <c r="U79" s="257">
        <v>22</v>
      </c>
    </row>
    <row r="80" spans="1:23" ht="13.5" outlineLevel="1" thickBot="1">
      <c r="A80" s="202" t="s">
        <v>83</v>
      </c>
      <c r="B80" s="8">
        <v>2001</v>
      </c>
      <c r="C80" s="8">
        <v>2002</v>
      </c>
      <c r="D80" s="8">
        <v>2003</v>
      </c>
      <c r="E80" s="8">
        <v>2004</v>
      </c>
      <c r="F80" s="8">
        <v>2005</v>
      </c>
      <c r="G80" s="8">
        <v>2006</v>
      </c>
      <c r="H80" s="8">
        <v>2007</v>
      </c>
      <c r="I80" s="8">
        <v>2008</v>
      </c>
      <c r="J80" s="8">
        <v>2009</v>
      </c>
      <c r="K80" s="8">
        <v>2010</v>
      </c>
      <c r="L80" s="8">
        <v>2011</v>
      </c>
      <c r="M80" s="8">
        <v>2012</v>
      </c>
      <c r="N80" s="8">
        <v>2013</v>
      </c>
      <c r="O80" s="8">
        <v>2014</v>
      </c>
      <c r="P80" s="8">
        <v>2015</v>
      </c>
      <c r="Q80" s="8">
        <v>2016</v>
      </c>
      <c r="R80" s="8">
        <v>2017</v>
      </c>
      <c r="S80" s="8">
        <v>2018</v>
      </c>
      <c r="T80" s="8">
        <v>2019</v>
      </c>
      <c r="U80" s="8">
        <v>2020</v>
      </c>
    </row>
    <row r="81" spans="1:44" outlineLevel="1">
      <c r="A81" s="236"/>
      <c r="B81" s="264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44" outlineLevel="1">
      <c r="A82" s="237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1:44" outlineLevel="1">
      <c r="A83" s="237" t="s">
        <v>279</v>
      </c>
      <c r="B83" s="264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44" outlineLevel="1">
      <c r="A84" s="236"/>
      <c r="B84" s="264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44" outlineLevel="1">
      <c r="A85" s="7" t="s">
        <v>276</v>
      </c>
      <c r="B85" s="508">
        <f>Depreciation!$B$28*Assumptions!$B$8</f>
        <v>84624.419352922778</v>
      </c>
      <c r="C85" s="508">
        <f>Depreciation!$B$28*Assumptions!$B$8</f>
        <v>84624.419352922778</v>
      </c>
      <c r="D85" s="508">
        <f>Depreciation!$B$28*Assumptions!$B$8</f>
        <v>84624.419352922778</v>
      </c>
      <c r="E85" s="508">
        <f>Depreciation!$B$28*Assumptions!$B$8</f>
        <v>84624.419352922778</v>
      </c>
      <c r="F85" s="508">
        <f>Depreciation!$B$28*Assumptions!$B$8</f>
        <v>84624.419352922778</v>
      </c>
      <c r="G85" s="508">
        <f>Depreciation!$B$28*Assumptions!$B$8</f>
        <v>84624.419352922778</v>
      </c>
      <c r="H85" s="508">
        <f>Depreciation!$B$28*Assumptions!$B$8</f>
        <v>84624.419352922778</v>
      </c>
      <c r="I85" s="508">
        <f>Depreciation!$B$28*Assumptions!$B$8</f>
        <v>84624.419352922778</v>
      </c>
      <c r="J85" s="508">
        <f>Depreciation!$B$28*Assumptions!$B$8</f>
        <v>84624.419352922778</v>
      </c>
      <c r="K85" s="508">
        <f>Depreciation!$B$28*Assumptions!$B$8</f>
        <v>84624.419352922778</v>
      </c>
      <c r="L85" s="508">
        <f>Depreciation!$B$28*Assumptions!$B$8</f>
        <v>84624.419352922778</v>
      </c>
      <c r="M85" s="508">
        <f>Depreciation!$B$28*Assumptions!$B$8</f>
        <v>84624.419352922778</v>
      </c>
      <c r="N85" s="508">
        <f>Depreciation!$B$28*Assumptions!$B$8</f>
        <v>84624.419352922778</v>
      </c>
      <c r="O85" s="508">
        <f>Depreciation!$B$28*Assumptions!$B$8</f>
        <v>84624.419352922778</v>
      </c>
      <c r="P85" s="508">
        <f>Depreciation!$B$28*Assumptions!$B$8</f>
        <v>84624.419352922778</v>
      </c>
      <c r="Q85" s="508">
        <f>Depreciation!$B$28*Assumptions!$B$8</f>
        <v>84624.419352922778</v>
      </c>
      <c r="R85" s="508">
        <f>Depreciation!$B$28*Assumptions!$B$8</f>
        <v>84624.419352922778</v>
      </c>
      <c r="S85" s="508">
        <f>Depreciation!$B$28*Assumptions!$B$8</f>
        <v>84624.419352922778</v>
      </c>
      <c r="T85" s="508">
        <f>Depreciation!$B$28*Assumptions!$B$8</f>
        <v>84624.419352922778</v>
      </c>
      <c r="U85" s="508">
        <f>Depreciation!$B$28*Assumptions!$B$8</f>
        <v>84624.419352922778</v>
      </c>
    </row>
    <row r="86" spans="1:44" outlineLevel="1">
      <c r="A86" s="512" t="s">
        <v>285</v>
      </c>
      <c r="B86" s="509">
        <f>B49-B69</f>
        <v>-3025.3612496467113</v>
      </c>
      <c r="C86" s="509">
        <f t="shared" ref="C86:U86" si="20">C49-C69</f>
        <v>-5100.6293117788609</v>
      </c>
      <c r="D86" s="509">
        <f t="shared" si="20"/>
        <v>-4377.9215782335014</v>
      </c>
      <c r="E86" s="509">
        <f t="shared" si="20"/>
        <v>-7191.1637673299056</v>
      </c>
      <c r="F86" s="509">
        <f t="shared" si="20"/>
        <v>-6431.0227692113031</v>
      </c>
      <c r="G86" s="509">
        <f t="shared" si="20"/>
        <v>-5915.8516434708436</v>
      </c>
      <c r="H86" s="509">
        <f t="shared" si="20"/>
        <v>-5522.6310560606717</v>
      </c>
      <c r="I86" s="509">
        <f t="shared" si="20"/>
        <v>-4913.4893187752568</v>
      </c>
      <c r="J86" s="509">
        <f t="shared" si="20"/>
        <v>-4567.7197441821454</v>
      </c>
      <c r="K86" s="509">
        <f t="shared" si="20"/>
        <v>-4658.5122160248156</v>
      </c>
      <c r="L86" s="509">
        <f t="shared" si="20"/>
        <v>-3592.3927794596148</v>
      </c>
      <c r="M86" s="509">
        <f t="shared" si="20"/>
        <v>-3150.7668882816524</v>
      </c>
      <c r="N86" s="509">
        <f t="shared" si="20"/>
        <v>-2771.4592351513984</v>
      </c>
      <c r="O86" s="509">
        <f t="shared" si="20"/>
        <v>-2345.2197181539486</v>
      </c>
      <c r="P86" s="509">
        <f t="shared" si="20"/>
        <v>-1758.5599769273413</v>
      </c>
      <c r="Q86" s="509">
        <f t="shared" si="20"/>
        <v>632.22505457552143</v>
      </c>
      <c r="R86" s="509">
        <f t="shared" si="20"/>
        <v>3008.9989905163948</v>
      </c>
      <c r="S86" s="509">
        <f t="shared" si="20"/>
        <v>3798.942803959304</v>
      </c>
      <c r="T86" s="509">
        <f t="shared" si="20"/>
        <v>4677.3965829464432</v>
      </c>
      <c r="U86" s="509">
        <f t="shared" si="20"/>
        <v>5662.3897988026201</v>
      </c>
      <c r="Y86" s="509"/>
      <c r="Z86" s="509"/>
      <c r="AA86" s="509"/>
      <c r="AB86" s="509"/>
      <c r="AC86" s="509"/>
      <c r="AD86" s="509"/>
      <c r="AE86" s="509"/>
      <c r="AF86" s="509"/>
      <c r="AG86" s="509"/>
      <c r="AH86" s="509"/>
      <c r="AI86" s="509"/>
      <c r="AJ86" s="509"/>
      <c r="AK86" s="509"/>
      <c r="AL86" s="509"/>
      <c r="AM86" s="509"/>
      <c r="AN86" s="509"/>
      <c r="AO86" s="509"/>
      <c r="AP86" s="509"/>
      <c r="AQ86" s="509"/>
      <c r="AR86" s="509"/>
    </row>
    <row r="87" spans="1:44" outlineLevel="1">
      <c r="A87" s="512" t="s">
        <v>286</v>
      </c>
      <c r="B87" s="510">
        <f>Debt!B70*Allocation!$F$9</f>
        <v>55591.338516597789</v>
      </c>
      <c r="C87" s="510">
        <f>Debt!C70*Allocation!$F$9</f>
        <v>55591.338516597789</v>
      </c>
      <c r="D87" s="510">
        <f>Debt!D70*Allocation!$F$9</f>
        <v>55591.338516597789</v>
      </c>
      <c r="E87" s="510">
        <f>Debt!E70*Allocation!$F$9</f>
        <v>55591.338516597789</v>
      </c>
      <c r="F87" s="510">
        <f>Debt!F70*Allocation!$F$9</f>
        <v>55591.338516597789</v>
      </c>
      <c r="G87" s="510">
        <f>Debt!G70*Allocation!$F$9</f>
        <v>55591.338516597789</v>
      </c>
      <c r="H87" s="510">
        <f>Debt!H70*Allocation!$F$9</f>
        <v>55591.338516597789</v>
      </c>
      <c r="I87" s="510">
        <f>Debt!I70*Allocation!$F$9</f>
        <v>55591.338516597789</v>
      </c>
      <c r="J87" s="510">
        <f>Debt!J70*Allocation!$F$9</f>
        <v>55591.338516597789</v>
      </c>
      <c r="K87" s="510">
        <f>Debt!K70*Allocation!$F$9</f>
        <v>55591.338516597789</v>
      </c>
      <c r="L87" s="510">
        <f>Debt!L70*Allocation!$F$9</f>
        <v>52754.478493337672</v>
      </c>
      <c r="M87" s="510">
        <f>Debt!M70*Allocation!$F$9</f>
        <v>49434.7585277834</v>
      </c>
      <c r="N87" s="510">
        <f>Debt!N70*Allocation!$F$9</f>
        <v>45618.839027499947</v>
      </c>
      <c r="O87" s="510">
        <f>Debt!O70*Allocation!$F$9</f>
        <v>41239.917791149448</v>
      </c>
      <c r="P87" s="510">
        <f>Debt!P70*Allocation!$F$9</f>
        <v>36257.439161368093</v>
      </c>
      <c r="Q87" s="510">
        <f>Debt!Q70*Allocation!$F$9</f>
        <v>30588.179092897321</v>
      </c>
      <c r="R87" s="510">
        <f>Debt!R70*Allocation!$F$9</f>
        <v>24219.778684967161</v>
      </c>
      <c r="S87" s="510">
        <f>Debt!S70*Allocation!$F$9</f>
        <v>17059.958490260138</v>
      </c>
      <c r="T87" s="510">
        <f>Debt!T70*Allocation!$F$9</f>
        <v>9023.2757072101467</v>
      </c>
      <c r="U87" s="510">
        <f>Debt!U70*Allocation!$F$9</f>
        <v>0</v>
      </c>
    </row>
    <row r="88" spans="1:44" outlineLevel="1">
      <c r="A88" s="236" t="s">
        <v>287</v>
      </c>
      <c r="B88" s="511">
        <f>SUM(B85:B87)</f>
        <v>137190.39661987385</v>
      </c>
      <c r="C88" s="511">
        <f t="shared" ref="C88:U88" si="21">SUM(C85:C87)</f>
        <v>135115.1285577417</v>
      </c>
      <c r="D88" s="511">
        <f t="shared" si="21"/>
        <v>135837.83629128707</v>
      </c>
      <c r="E88" s="511">
        <f t="shared" si="21"/>
        <v>133024.59410219066</v>
      </c>
      <c r="F88" s="511">
        <f t="shared" si="21"/>
        <v>133784.73510030928</v>
      </c>
      <c r="G88" s="511">
        <f t="shared" si="21"/>
        <v>134299.90622604973</v>
      </c>
      <c r="H88" s="511">
        <f t="shared" si="21"/>
        <v>134693.12681345991</v>
      </c>
      <c r="I88" s="511">
        <f t="shared" si="21"/>
        <v>135302.2685507453</v>
      </c>
      <c r="J88" s="511">
        <f t="shared" si="21"/>
        <v>135648.03812533841</v>
      </c>
      <c r="K88" s="511">
        <f t="shared" si="21"/>
        <v>135557.24565349575</v>
      </c>
      <c r="L88" s="511">
        <f t="shared" si="21"/>
        <v>133786.50506680083</v>
      </c>
      <c r="M88" s="511">
        <f t="shared" si="21"/>
        <v>130908.41099242453</v>
      </c>
      <c r="N88" s="511">
        <f t="shared" si="21"/>
        <v>127471.79914527133</v>
      </c>
      <c r="O88" s="511">
        <f t="shared" si="21"/>
        <v>123519.11742591827</v>
      </c>
      <c r="P88" s="511">
        <f t="shared" si="21"/>
        <v>119123.29853736353</v>
      </c>
      <c r="Q88" s="511">
        <f t="shared" si="21"/>
        <v>115844.82350039562</v>
      </c>
      <c r="R88" s="511">
        <f t="shared" si="21"/>
        <v>111853.19702840634</v>
      </c>
      <c r="S88" s="511">
        <f t="shared" si="21"/>
        <v>105483.32064714222</v>
      </c>
      <c r="T88" s="511">
        <f t="shared" si="21"/>
        <v>98325.091643079373</v>
      </c>
      <c r="U88" s="511">
        <f t="shared" si="21"/>
        <v>90286.809151725392</v>
      </c>
    </row>
    <row r="89" spans="1:44" outlineLevel="1">
      <c r="A89" s="512" t="s">
        <v>288</v>
      </c>
      <c r="B89" s="514">
        <f>Summary!$E$40</f>
        <v>2.5000000000000001E-3</v>
      </c>
      <c r="C89" s="514">
        <f>Summary!$E$40</f>
        <v>2.5000000000000001E-3</v>
      </c>
      <c r="D89" s="514">
        <f>Summary!$E$40</f>
        <v>2.5000000000000001E-3</v>
      </c>
      <c r="E89" s="514">
        <f>Summary!$E$40</f>
        <v>2.5000000000000001E-3</v>
      </c>
      <c r="F89" s="514">
        <f>Summary!$E$40</f>
        <v>2.5000000000000001E-3</v>
      </c>
      <c r="G89" s="514">
        <f>Summary!$E$40</f>
        <v>2.5000000000000001E-3</v>
      </c>
      <c r="H89" s="514">
        <f>Summary!$E$40</f>
        <v>2.5000000000000001E-3</v>
      </c>
      <c r="I89" s="514">
        <f>Summary!$E$40</f>
        <v>2.5000000000000001E-3</v>
      </c>
      <c r="J89" s="514">
        <f>Summary!$E$40</f>
        <v>2.5000000000000001E-3</v>
      </c>
      <c r="K89" s="514">
        <f>Summary!$E$40</f>
        <v>2.5000000000000001E-3</v>
      </c>
      <c r="L89" s="514">
        <f>Summary!$E$40</f>
        <v>2.5000000000000001E-3</v>
      </c>
      <c r="M89" s="514">
        <f>Summary!$E$40</f>
        <v>2.5000000000000001E-3</v>
      </c>
      <c r="N89" s="514">
        <f>Summary!$E$40</f>
        <v>2.5000000000000001E-3</v>
      </c>
      <c r="O89" s="514">
        <f>Summary!$E$40</f>
        <v>2.5000000000000001E-3</v>
      </c>
      <c r="P89" s="514">
        <f>Summary!$E$40</f>
        <v>2.5000000000000001E-3</v>
      </c>
      <c r="Q89" s="514">
        <f>Summary!$E$40</f>
        <v>2.5000000000000001E-3</v>
      </c>
      <c r="R89" s="514">
        <f>Summary!$E$40</f>
        <v>2.5000000000000001E-3</v>
      </c>
      <c r="S89" s="514">
        <f>Summary!$E$40</f>
        <v>2.5000000000000001E-3</v>
      </c>
      <c r="T89" s="514">
        <f>Summary!$E$40</f>
        <v>2.5000000000000001E-3</v>
      </c>
      <c r="U89" s="514">
        <f>Summary!$E$40</f>
        <v>2.5000000000000001E-3</v>
      </c>
    </row>
    <row r="90" spans="1:44" outlineLevel="1">
      <c r="A90" s="236" t="s">
        <v>281</v>
      </c>
      <c r="B90" s="536">
        <v>340.87061872572593</v>
      </c>
      <c r="C90" s="536">
        <v>335.71253683174359</v>
      </c>
      <c r="D90" s="536">
        <v>337.51724394918443</v>
      </c>
      <c r="E90" s="536">
        <v>330.54399349463102</v>
      </c>
      <c r="F90" s="536">
        <v>332.35817736504072</v>
      </c>
      <c r="G90" s="536">
        <v>333.6419616033877</v>
      </c>
      <c r="H90" s="536">
        <v>334.63896327236284</v>
      </c>
      <c r="I90" s="536">
        <v>336.16461371943234</v>
      </c>
      <c r="J90" s="536">
        <v>337.01784586639536</v>
      </c>
      <c r="K90" s="536">
        <v>336.7950286692232</v>
      </c>
      <c r="L90" s="536">
        <v>332.38593243510923</v>
      </c>
      <c r="M90" s="536">
        <v>325.17705192926172</v>
      </c>
      <c r="N90" s="536">
        <v>316.58963726266268</v>
      </c>
      <c r="O90" s="536">
        <v>306.71276341479728</v>
      </c>
      <c r="P90" s="536">
        <v>295.72856749820926</v>
      </c>
      <c r="Q90" s="536">
        <v>287.51699287673563</v>
      </c>
      <c r="R90" s="536">
        <v>277.53123407312989</v>
      </c>
      <c r="S90" s="536">
        <v>261.60621683219176</v>
      </c>
      <c r="T90" s="536">
        <v>243.70180079766365</v>
      </c>
      <c r="U90" s="536">
        <v>223.61402710662978</v>
      </c>
      <c r="Y90" s="536">
        <f t="shared" ref="Y90:AR90" si="22">Y88*Y89</f>
        <v>0</v>
      </c>
      <c r="Z90" s="536">
        <f t="shared" si="22"/>
        <v>0</v>
      </c>
      <c r="AA90" s="536">
        <f t="shared" si="22"/>
        <v>0</v>
      </c>
      <c r="AB90" s="536">
        <f t="shared" si="22"/>
        <v>0</v>
      </c>
      <c r="AC90" s="536">
        <f t="shared" si="22"/>
        <v>0</v>
      </c>
      <c r="AD90" s="536">
        <f t="shared" si="22"/>
        <v>0</v>
      </c>
      <c r="AE90" s="536">
        <f t="shared" si="22"/>
        <v>0</v>
      </c>
      <c r="AF90" s="536">
        <f t="shared" si="22"/>
        <v>0</v>
      </c>
      <c r="AG90" s="536">
        <f t="shared" si="22"/>
        <v>0</v>
      </c>
      <c r="AH90" s="536">
        <f t="shared" si="22"/>
        <v>0</v>
      </c>
      <c r="AI90" s="536">
        <f t="shared" si="22"/>
        <v>0</v>
      </c>
      <c r="AJ90" s="536">
        <f t="shared" si="22"/>
        <v>0</v>
      </c>
      <c r="AK90" s="536">
        <f t="shared" si="22"/>
        <v>0</v>
      </c>
      <c r="AL90" s="536">
        <f t="shared" si="22"/>
        <v>0</v>
      </c>
      <c r="AM90" s="536">
        <f t="shared" si="22"/>
        <v>0</v>
      </c>
      <c r="AN90" s="536">
        <f t="shared" si="22"/>
        <v>0</v>
      </c>
      <c r="AO90" s="536">
        <f t="shared" si="22"/>
        <v>0</v>
      </c>
      <c r="AP90" s="536">
        <f t="shared" si="22"/>
        <v>0</v>
      </c>
      <c r="AQ90" s="536">
        <f t="shared" si="22"/>
        <v>0</v>
      </c>
      <c r="AR90" s="536">
        <f t="shared" si="22"/>
        <v>0</v>
      </c>
    </row>
    <row r="91" spans="1:44" outlineLevel="1">
      <c r="A91" s="512"/>
      <c r="B91" s="513"/>
      <c r="C91" s="513"/>
      <c r="D91" s="513"/>
      <c r="E91" s="513"/>
      <c r="F91" s="513"/>
      <c r="G91" s="513"/>
      <c r="H91" s="513"/>
      <c r="I91" s="513"/>
      <c r="J91" s="513"/>
      <c r="K91" s="513"/>
      <c r="L91" s="513"/>
      <c r="M91" s="513"/>
      <c r="N91" s="513"/>
      <c r="O91" s="513"/>
      <c r="P91" s="513"/>
      <c r="Q91" s="513"/>
      <c r="R91" s="513"/>
      <c r="S91" s="513"/>
      <c r="T91" s="513"/>
      <c r="U91" s="513"/>
    </row>
    <row r="92" spans="1:44" outlineLevel="1">
      <c r="A92" s="236"/>
      <c r="B92" s="264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spans="1:44" outlineLevel="1">
      <c r="A93" s="23" t="s">
        <v>182</v>
      </c>
      <c r="B93" s="22">
        <f>B44</f>
        <v>1535.8151727367695</v>
      </c>
      <c r="C93" s="22">
        <f t="shared" ref="C93:U93" si="23">C44</f>
        <v>1721.0085665817869</v>
      </c>
      <c r="D93" s="22">
        <f t="shared" si="23"/>
        <v>1939.0814218756341</v>
      </c>
      <c r="E93" s="22">
        <f t="shared" si="23"/>
        <v>10179.179113344453</v>
      </c>
      <c r="F93" s="22">
        <f t="shared" si="23"/>
        <v>11518.750198539048</v>
      </c>
      <c r="G93" s="22">
        <f t="shared" si="23"/>
        <v>11915.458565424056</v>
      </c>
      <c r="H93" s="22">
        <f t="shared" si="23"/>
        <v>12288.508668110246</v>
      </c>
      <c r="I93" s="22">
        <f t="shared" si="23"/>
        <v>12710.254191281614</v>
      </c>
      <c r="J93" s="22">
        <f t="shared" si="23"/>
        <v>13254.286488868611</v>
      </c>
      <c r="K93" s="22">
        <f t="shared" si="23"/>
        <v>13192.60703511785</v>
      </c>
      <c r="L93" s="22">
        <f t="shared" si="23"/>
        <v>14085.112283930084</v>
      </c>
      <c r="M93" s="22">
        <f t="shared" si="23"/>
        <v>15038.326681653878</v>
      </c>
      <c r="N93" s="22">
        <f t="shared" si="23"/>
        <v>16001.407078605613</v>
      </c>
      <c r="O93" s="22">
        <f t="shared" si="23"/>
        <v>16877.425182172279</v>
      </c>
      <c r="P93" s="22">
        <f t="shared" si="23"/>
        <v>17816.467599707034</v>
      </c>
      <c r="Q93" s="22">
        <f t="shared" si="23"/>
        <v>18684.46667233299</v>
      </c>
      <c r="R93" s="22">
        <f t="shared" si="23"/>
        <v>19639.75556487597</v>
      </c>
      <c r="S93" s="22">
        <f t="shared" si="23"/>
        <v>20659.830103434339</v>
      </c>
      <c r="T93" s="22">
        <f t="shared" si="23"/>
        <v>21759.137057193173</v>
      </c>
      <c r="U93" s="22">
        <f t="shared" si="23"/>
        <v>22944.744262245487</v>
      </c>
      <c r="W93" s="483">
        <f>SUM(B93:U93)</f>
        <v>273761.62190803094</v>
      </c>
    </row>
    <row r="94" spans="1:44" outlineLevel="1">
      <c r="A94" s="23" t="s">
        <v>183</v>
      </c>
      <c r="B94" s="22">
        <f>B38</f>
        <v>5325.6483399318076</v>
      </c>
      <c r="C94" s="22">
        <f t="shared" ref="C94:U94" si="24">C38</f>
        <v>5325.6483399318076</v>
      </c>
      <c r="D94" s="22">
        <f t="shared" si="24"/>
        <v>5325.6483399318076</v>
      </c>
      <c r="E94" s="22">
        <f t="shared" si="24"/>
        <v>5325.6483399318076</v>
      </c>
      <c r="F94" s="22">
        <f t="shared" si="24"/>
        <v>5325.6483399318076</v>
      </c>
      <c r="G94" s="22">
        <f t="shared" si="24"/>
        <v>5325.6483399318076</v>
      </c>
      <c r="H94" s="22">
        <f t="shared" si="24"/>
        <v>5325.6483399318076</v>
      </c>
      <c r="I94" s="22">
        <f t="shared" si="24"/>
        <v>5325.6483399318076</v>
      </c>
      <c r="J94" s="22">
        <f t="shared" si="24"/>
        <v>5325.6483399318076</v>
      </c>
      <c r="K94" s="22">
        <f t="shared" si="24"/>
        <v>5325.6483399318076</v>
      </c>
      <c r="L94" s="22">
        <f t="shared" si="24"/>
        <v>5325.6483399318076</v>
      </c>
      <c r="M94" s="22">
        <f t="shared" si="24"/>
        <v>5325.6483399318076</v>
      </c>
      <c r="N94" s="22">
        <f t="shared" si="24"/>
        <v>5325.6483399318076</v>
      </c>
      <c r="O94" s="22">
        <f t="shared" si="24"/>
        <v>5325.6483399318076</v>
      </c>
      <c r="P94" s="22">
        <f t="shared" si="24"/>
        <v>5325.6483399318076</v>
      </c>
      <c r="Q94" s="22">
        <f t="shared" si="24"/>
        <v>5325.6483399318076</v>
      </c>
      <c r="R94" s="22">
        <f t="shared" si="24"/>
        <v>5325.6483399318076</v>
      </c>
      <c r="S94" s="22">
        <f t="shared" si="24"/>
        <v>5325.6483399318076</v>
      </c>
      <c r="T94" s="22">
        <f t="shared" si="24"/>
        <v>5325.6483399318076</v>
      </c>
      <c r="U94" s="22">
        <f t="shared" si="24"/>
        <v>5325.6483399318076</v>
      </c>
      <c r="W94" s="483">
        <f>SUM(B94:U94)</f>
        <v>106512.96679863617</v>
      </c>
    </row>
    <row r="95" spans="1:44" ht="15" outlineLevel="1">
      <c r="A95" s="23" t="s">
        <v>308</v>
      </c>
      <c r="B95" s="240">
        <f>-Depreciation!C81-Depreciation!C112*Allocation!$F$9</f>
        <v>-8876.0805665530115</v>
      </c>
      <c r="C95" s="240">
        <f>-Depreciation!D81-Depreciation!D112*Allocation!$F$9</f>
        <v>-16864.553076450724</v>
      </c>
      <c r="D95" s="240">
        <f>-Depreciation!E81-Depreciation!E112*Allocation!$F$9</f>
        <v>-15178.097768805652</v>
      </c>
      <c r="E95" s="240">
        <f>-Depreciation!F81-Depreciation!F112*Allocation!$F$9</f>
        <v>-13669.164072491638</v>
      </c>
      <c r="F95" s="240">
        <f>-Depreciation!G81-Depreciation!G112*Allocation!$F$9</f>
        <v>-12302.247665242474</v>
      </c>
      <c r="G95" s="240">
        <f>-Depreciation!H81-Depreciation!H112*Allocation!$F$9</f>
        <v>-11059.596385925053</v>
      </c>
      <c r="H95" s="240">
        <f>-Depreciation!I81-Depreciation!I112*Allocation!$F$9</f>
        <v>-10473.775068532554</v>
      </c>
      <c r="I95" s="240">
        <f>-Depreciation!J81-Depreciation!J112*Allocation!$F$9</f>
        <v>-10491.52722966566</v>
      </c>
      <c r="J95" s="240">
        <f>-Depreciation!K81-Depreciation!K112*Allocation!$F$9</f>
        <v>-10473.775068532554</v>
      </c>
      <c r="K95" s="240">
        <f>-Depreciation!L81-Depreciation!L112*Allocation!$F$9</f>
        <v>-10491.52722966566</v>
      </c>
      <c r="L95" s="240">
        <f>-Depreciation!M81-Depreciation!M112*Allocation!$F$9</f>
        <v>-10473.775068532554</v>
      </c>
      <c r="M95" s="240">
        <f>-Depreciation!N81-Depreciation!N112*Allocation!$F$9</f>
        <v>-10491.52722966566</v>
      </c>
      <c r="N95" s="240">
        <f>-Depreciation!O81-Depreciation!O112*Allocation!$F$9</f>
        <v>-10473.775068532554</v>
      </c>
      <c r="O95" s="240">
        <f>-Depreciation!P81-Depreciation!P112*Allocation!$F$9</f>
        <v>-10491.52722966566</v>
      </c>
      <c r="P95" s="240">
        <f>-Depreciation!Q81-Depreciation!Q112*Allocation!$F$9</f>
        <v>-10473.775068532554</v>
      </c>
      <c r="Q95" s="240">
        <f>-Depreciation!R81-Depreciation!R112*Allocation!$F$9</f>
        <v>-5236.8875342662768</v>
      </c>
      <c r="R95" s="240">
        <f>-Depreciation!S81-Depreciation!S112*Allocation!$F$9</f>
        <v>0</v>
      </c>
      <c r="S95" s="240">
        <f>-Depreciation!T81-Depreciation!T112*Allocation!$F$9</f>
        <v>0</v>
      </c>
      <c r="T95" s="240">
        <f>-Depreciation!U81-Depreciation!U112*Allocation!$F$9</f>
        <v>0</v>
      </c>
      <c r="U95" s="240">
        <f>-Depreciation!V81-Depreciation!V112*Allocation!$F$9</f>
        <v>0</v>
      </c>
      <c r="W95" s="484">
        <f>SUM(B95:U95)</f>
        <v>-177521.61133106027</v>
      </c>
    </row>
    <row r="96" spans="1:44" outlineLevel="1">
      <c r="A96" s="239" t="s">
        <v>181</v>
      </c>
      <c r="B96" s="24">
        <f t="shared" ref="B96:U96" si="25">SUM(B93:B95)</f>
        <v>-2014.6170538844344</v>
      </c>
      <c r="C96" s="24">
        <f t="shared" si="25"/>
        <v>-9817.8961699371284</v>
      </c>
      <c r="D96" s="24">
        <f t="shared" si="25"/>
        <v>-7913.3680069982101</v>
      </c>
      <c r="E96" s="24">
        <f t="shared" si="25"/>
        <v>1835.6633807846229</v>
      </c>
      <c r="F96" s="24">
        <f t="shared" si="25"/>
        <v>4542.1508732283837</v>
      </c>
      <c r="G96" s="24">
        <f t="shared" si="25"/>
        <v>6181.5105194308107</v>
      </c>
      <c r="H96" s="24">
        <f t="shared" si="25"/>
        <v>7140.3819395094997</v>
      </c>
      <c r="I96" s="24">
        <f t="shared" si="25"/>
        <v>7544.3753015477614</v>
      </c>
      <c r="J96" s="24">
        <f t="shared" si="25"/>
        <v>8106.1597602678648</v>
      </c>
      <c r="K96" s="24">
        <f t="shared" si="25"/>
        <v>8026.7281453839987</v>
      </c>
      <c r="L96" s="24">
        <f t="shared" si="25"/>
        <v>8936.9855553293364</v>
      </c>
      <c r="M96" s="24">
        <f t="shared" si="25"/>
        <v>9872.4477919200235</v>
      </c>
      <c r="N96" s="24">
        <f t="shared" si="25"/>
        <v>10853.280350004867</v>
      </c>
      <c r="O96" s="24">
        <f t="shared" si="25"/>
        <v>11711.546292438428</v>
      </c>
      <c r="P96" s="24">
        <f t="shared" si="25"/>
        <v>12668.340871106286</v>
      </c>
      <c r="Q96" s="24">
        <f t="shared" si="25"/>
        <v>18773.22747799852</v>
      </c>
      <c r="R96" s="24">
        <f t="shared" si="25"/>
        <v>24965.403904807776</v>
      </c>
      <c r="S96" s="24">
        <f t="shared" si="25"/>
        <v>25985.478443366148</v>
      </c>
      <c r="T96" s="24">
        <f t="shared" si="25"/>
        <v>27084.785397124979</v>
      </c>
      <c r="U96" s="24">
        <f t="shared" si="25"/>
        <v>28270.392602177293</v>
      </c>
      <c r="W96" s="483">
        <f>SUM(B96:U96)</f>
        <v>202752.97737560683</v>
      </c>
    </row>
    <row r="97" spans="1:23" outlineLevel="1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</row>
    <row r="98" spans="1:23" outlineLevel="1">
      <c r="A98" s="23" t="s">
        <v>53</v>
      </c>
      <c r="B98" s="481">
        <f>Summary!$E$37</f>
        <v>0.05</v>
      </c>
      <c r="C98" s="481">
        <f>Summary!$E$37</f>
        <v>0.05</v>
      </c>
      <c r="D98" s="481">
        <f>Summary!$E$37</f>
        <v>0.05</v>
      </c>
      <c r="E98" s="481">
        <f>Summary!$E$37</f>
        <v>0.05</v>
      </c>
      <c r="F98" s="481">
        <f>Summary!$E$37</f>
        <v>0.05</v>
      </c>
      <c r="G98" s="481">
        <f>Summary!$E$37</f>
        <v>0.05</v>
      </c>
      <c r="H98" s="481">
        <f>Summary!$E$37</f>
        <v>0.05</v>
      </c>
      <c r="I98" s="481">
        <f>Summary!$E$37</f>
        <v>0.05</v>
      </c>
      <c r="J98" s="481">
        <f>Summary!$E$37</f>
        <v>0.05</v>
      </c>
      <c r="K98" s="481">
        <f>Summary!$E$37</f>
        <v>0.05</v>
      </c>
      <c r="L98" s="481">
        <f>Summary!$E$37</f>
        <v>0.05</v>
      </c>
      <c r="M98" s="481">
        <f>Summary!$E$37</f>
        <v>0.05</v>
      </c>
      <c r="N98" s="481">
        <f>Summary!$E$37</f>
        <v>0.05</v>
      </c>
      <c r="O98" s="481">
        <f>Summary!$E$37</f>
        <v>0.05</v>
      </c>
      <c r="P98" s="481">
        <f>Summary!$E$37</f>
        <v>0.05</v>
      </c>
      <c r="Q98" s="481">
        <f>Summary!$E$37</f>
        <v>0.05</v>
      </c>
      <c r="R98" s="481">
        <f>Summary!$E$37</f>
        <v>0.05</v>
      </c>
      <c r="S98" s="481">
        <f>Summary!$E$37</f>
        <v>0.05</v>
      </c>
      <c r="T98" s="481">
        <f>Summary!$E$37</f>
        <v>0.05</v>
      </c>
      <c r="U98" s="481">
        <f>Summary!$E$37</f>
        <v>0.05</v>
      </c>
    </row>
    <row r="99" spans="1:23" outlineLevel="1">
      <c r="A99" s="23" t="s">
        <v>184</v>
      </c>
      <c r="B99" s="22">
        <f>B96*B98</f>
        <v>-100.73085269422172</v>
      </c>
      <c r="C99" s="22">
        <f t="shared" ref="C99:U99" si="26">C96*C98</f>
        <v>-490.89480849685646</v>
      </c>
      <c r="D99" s="22">
        <f t="shared" si="26"/>
        <v>-395.66840034991054</v>
      </c>
      <c r="E99" s="22">
        <f t="shared" si="26"/>
        <v>91.783169039231154</v>
      </c>
      <c r="F99" s="22">
        <f t="shared" si="26"/>
        <v>227.10754366141919</v>
      </c>
      <c r="G99" s="22">
        <f t="shared" si="26"/>
        <v>309.07552597154057</v>
      </c>
      <c r="H99" s="22">
        <f t="shared" si="26"/>
        <v>357.01909697547501</v>
      </c>
      <c r="I99" s="22">
        <f t="shared" si="26"/>
        <v>377.21876507738807</v>
      </c>
      <c r="J99" s="22">
        <f t="shared" si="26"/>
        <v>405.30798801339324</v>
      </c>
      <c r="K99" s="22">
        <f t="shared" si="26"/>
        <v>401.33640726919998</v>
      </c>
      <c r="L99" s="22">
        <f t="shared" si="26"/>
        <v>446.84927776646686</v>
      </c>
      <c r="M99" s="22">
        <f t="shared" si="26"/>
        <v>493.6223895960012</v>
      </c>
      <c r="N99" s="22">
        <f t="shared" si="26"/>
        <v>542.6640175002434</v>
      </c>
      <c r="O99" s="22">
        <f t="shared" si="26"/>
        <v>585.57731462192146</v>
      </c>
      <c r="P99" s="22">
        <f t="shared" si="26"/>
        <v>633.41704355531431</v>
      </c>
      <c r="Q99" s="22">
        <f t="shared" si="26"/>
        <v>938.66137389992605</v>
      </c>
      <c r="R99" s="22">
        <f t="shared" si="26"/>
        <v>1248.2701952403888</v>
      </c>
      <c r="S99" s="22">
        <f t="shared" si="26"/>
        <v>1299.2739221683075</v>
      </c>
      <c r="T99" s="22">
        <f t="shared" si="26"/>
        <v>1354.2392698562489</v>
      </c>
      <c r="U99" s="22">
        <f t="shared" si="26"/>
        <v>1413.5196301088647</v>
      </c>
    </row>
    <row r="100" spans="1:23" outlineLevel="1">
      <c r="A100" s="23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</row>
    <row r="101" spans="1:23" outlineLevel="1">
      <c r="A101" s="23" t="s">
        <v>185</v>
      </c>
      <c r="B101" s="22">
        <v>0</v>
      </c>
      <c r="C101" s="22">
        <f t="shared" ref="C101:U101" si="27">B105</f>
        <v>100.73085269422172</v>
      </c>
      <c r="D101" s="22">
        <f t="shared" si="27"/>
        <v>591.62566119107817</v>
      </c>
      <c r="E101" s="22">
        <f t="shared" si="27"/>
        <v>987.29406154098865</v>
      </c>
      <c r="F101" s="22">
        <f t="shared" si="27"/>
        <v>895.51089250175755</v>
      </c>
      <c r="G101" s="22">
        <f t="shared" si="27"/>
        <v>668.40334884033837</v>
      </c>
      <c r="H101" s="22">
        <f t="shared" si="27"/>
        <v>359.3278228687978</v>
      </c>
      <c r="I101" s="22">
        <f t="shared" si="27"/>
        <v>2.3087258933227872</v>
      </c>
      <c r="J101" s="22">
        <f t="shared" si="27"/>
        <v>0</v>
      </c>
      <c r="K101" s="22">
        <f t="shared" si="27"/>
        <v>0</v>
      </c>
      <c r="L101" s="22">
        <f t="shared" si="27"/>
        <v>0</v>
      </c>
      <c r="M101" s="22">
        <f t="shared" si="27"/>
        <v>0</v>
      </c>
      <c r="N101" s="22">
        <f>M105</f>
        <v>0</v>
      </c>
      <c r="O101" s="22">
        <f t="shared" si="27"/>
        <v>0</v>
      </c>
      <c r="P101" s="22">
        <f t="shared" si="27"/>
        <v>0</v>
      </c>
      <c r="Q101" s="22">
        <f t="shared" si="27"/>
        <v>0</v>
      </c>
      <c r="R101" s="22">
        <v>0</v>
      </c>
      <c r="S101" s="22">
        <f t="shared" si="27"/>
        <v>0</v>
      </c>
      <c r="T101" s="22">
        <f t="shared" si="27"/>
        <v>0</v>
      </c>
      <c r="U101" s="22">
        <f t="shared" si="27"/>
        <v>0</v>
      </c>
    </row>
    <row r="102" spans="1:23" outlineLevel="1">
      <c r="A102" s="23" t="s">
        <v>186</v>
      </c>
      <c r="B102" s="255">
        <f t="shared" ref="B102:U102" si="28">IF(B77&gt;2020,0,IF(B99&lt;0,-B99,0))</f>
        <v>100.73085269422172</v>
      </c>
      <c r="C102" s="255">
        <f t="shared" si="28"/>
        <v>490.89480849685646</v>
      </c>
      <c r="D102" s="255">
        <f t="shared" si="28"/>
        <v>395.66840034991054</v>
      </c>
      <c r="E102" s="255">
        <f t="shared" si="28"/>
        <v>0</v>
      </c>
      <c r="F102" s="255">
        <f t="shared" si="28"/>
        <v>0</v>
      </c>
      <c r="G102" s="255">
        <f t="shared" si="28"/>
        <v>0</v>
      </c>
      <c r="H102" s="255">
        <f t="shared" si="28"/>
        <v>0</v>
      </c>
      <c r="I102" s="255">
        <f t="shared" si="28"/>
        <v>0</v>
      </c>
      <c r="J102" s="255">
        <f t="shared" si="28"/>
        <v>0</v>
      </c>
      <c r="K102" s="255">
        <f t="shared" si="28"/>
        <v>0</v>
      </c>
      <c r="L102" s="255">
        <f t="shared" si="28"/>
        <v>0</v>
      </c>
      <c r="M102" s="255">
        <f t="shared" si="28"/>
        <v>0</v>
      </c>
      <c r="N102" s="255">
        <f t="shared" si="28"/>
        <v>0</v>
      </c>
      <c r="O102" s="255">
        <f t="shared" si="28"/>
        <v>0</v>
      </c>
      <c r="P102" s="255">
        <f t="shared" si="28"/>
        <v>0</v>
      </c>
      <c r="Q102" s="255">
        <f t="shared" si="28"/>
        <v>0</v>
      </c>
      <c r="R102" s="255">
        <f t="shared" si="28"/>
        <v>0</v>
      </c>
      <c r="S102" s="255">
        <f t="shared" si="28"/>
        <v>0</v>
      </c>
      <c r="T102" s="255">
        <f t="shared" si="28"/>
        <v>0</v>
      </c>
      <c r="U102" s="255">
        <f t="shared" si="28"/>
        <v>0</v>
      </c>
    </row>
    <row r="103" spans="1:23" outlineLevel="1">
      <c r="A103" s="23" t="s">
        <v>187</v>
      </c>
      <c r="B103" s="241">
        <v>0</v>
      </c>
      <c r="C103" s="241">
        <v>0</v>
      </c>
      <c r="D103" s="241">
        <v>0</v>
      </c>
      <c r="E103" s="241">
        <v>0</v>
      </c>
      <c r="F103" s="241">
        <v>0</v>
      </c>
      <c r="G103" s="241">
        <v>0</v>
      </c>
      <c r="H103" s="241">
        <v>0</v>
      </c>
      <c r="I103" s="241">
        <v>0</v>
      </c>
      <c r="J103" s="241">
        <v>0</v>
      </c>
      <c r="K103" s="241">
        <v>0</v>
      </c>
      <c r="L103" s="241">
        <v>0</v>
      </c>
      <c r="M103" s="241">
        <v>0</v>
      </c>
      <c r="N103" s="241">
        <v>0</v>
      </c>
      <c r="O103" s="241">
        <v>0</v>
      </c>
      <c r="P103" s="241">
        <v>0</v>
      </c>
      <c r="Q103" s="241">
        <v>0</v>
      </c>
      <c r="R103" s="241">
        <v>0</v>
      </c>
      <c r="S103" s="241">
        <v>0</v>
      </c>
      <c r="T103" s="22">
        <f>IF(L102&gt;(SUM(M104:S104)+SUM(L103:S103))*-1,L102-(SUM(L104:S104)+SUM(L103:S103))*-1,0)</f>
        <v>0</v>
      </c>
      <c r="U103" s="22">
        <f>IF(M102&gt;(SUM(N104:T104)+SUM(M103:T103))*-1,M102-(SUM(M104:T104)+SUM(M103:T103))*-1,0)</f>
        <v>0</v>
      </c>
    </row>
    <row r="104" spans="1:23" outlineLevel="1">
      <c r="A104" s="19" t="s">
        <v>188</v>
      </c>
      <c r="B104" s="242">
        <f t="shared" ref="B104:T104" si="29">IF(B99&lt;0,0,IF(B101&gt;B99,-B99,-B101))</f>
        <v>0</v>
      </c>
      <c r="C104" s="242">
        <f t="shared" si="29"/>
        <v>0</v>
      </c>
      <c r="D104" s="242">
        <f t="shared" si="29"/>
        <v>0</v>
      </c>
      <c r="E104" s="242">
        <f t="shared" si="29"/>
        <v>-91.783169039231154</v>
      </c>
      <c r="F104" s="242">
        <f t="shared" si="29"/>
        <v>-227.10754366141919</v>
      </c>
      <c r="G104" s="242">
        <f t="shared" si="29"/>
        <v>-309.07552597154057</v>
      </c>
      <c r="H104" s="242">
        <f t="shared" si="29"/>
        <v>-357.01909697547501</v>
      </c>
      <c r="I104" s="242">
        <f t="shared" si="29"/>
        <v>-2.3087258933227872</v>
      </c>
      <c r="J104" s="242">
        <f t="shared" si="29"/>
        <v>0</v>
      </c>
      <c r="K104" s="242">
        <f t="shared" si="29"/>
        <v>0</v>
      </c>
      <c r="L104" s="242">
        <f t="shared" si="29"/>
        <v>0</v>
      </c>
      <c r="M104" s="242">
        <f t="shared" si="29"/>
        <v>0</v>
      </c>
      <c r="N104" s="242">
        <f t="shared" si="29"/>
        <v>0</v>
      </c>
      <c r="O104" s="242">
        <f t="shared" si="29"/>
        <v>0</v>
      </c>
      <c r="P104" s="242">
        <f t="shared" si="29"/>
        <v>0</v>
      </c>
      <c r="Q104" s="242">
        <f t="shared" si="29"/>
        <v>0</v>
      </c>
      <c r="R104" s="242">
        <f t="shared" si="29"/>
        <v>0</v>
      </c>
      <c r="S104" s="242">
        <f t="shared" si="29"/>
        <v>0</v>
      </c>
      <c r="T104" s="242">
        <f t="shared" si="29"/>
        <v>0</v>
      </c>
      <c r="U104" s="242">
        <f>IF(U99&lt;0,0,IF(U101&gt;U99,-U99,-U101))</f>
        <v>0</v>
      </c>
    </row>
    <row r="105" spans="1:23" outlineLevel="1">
      <c r="A105" s="19" t="s">
        <v>189</v>
      </c>
      <c r="B105" s="242">
        <f t="shared" ref="B105:U105" si="30">SUM(B101:B104)</f>
        <v>100.73085269422172</v>
      </c>
      <c r="C105" s="242">
        <f t="shared" si="30"/>
        <v>591.62566119107817</v>
      </c>
      <c r="D105" s="242">
        <f t="shared" si="30"/>
        <v>987.29406154098865</v>
      </c>
      <c r="E105" s="242">
        <f t="shared" si="30"/>
        <v>895.51089250175755</v>
      </c>
      <c r="F105" s="242">
        <f t="shared" si="30"/>
        <v>668.40334884033837</v>
      </c>
      <c r="G105" s="242">
        <f t="shared" si="30"/>
        <v>359.3278228687978</v>
      </c>
      <c r="H105" s="242">
        <f t="shared" si="30"/>
        <v>2.3087258933227872</v>
      </c>
      <c r="I105" s="242">
        <f t="shared" si="30"/>
        <v>0</v>
      </c>
      <c r="J105" s="242">
        <f t="shared" si="30"/>
        <v>0</v>
      </c>
      <c r="K105" s="242">
        <f t="shared" si="30"/>
        <v>0</v>
      </c>
      <c r="L105" s="242">
        <f t="shared" si="30"/>
        <v>0</v>
      </c>
      <c r="M105" s="242">
        <f t="shared" si="30"/>
        <v>0</v>
      </c>
      <c r="N105" s="242">
        <f t="shared" si="30"/>
        <v>0</v>
      </c>
      <c r="O105" s="242">
        <f t="shared" si="30"/>
        <v>0</v>
      </c>
      <c r="P105" s="242">
        <f t="shared" si="30"/>
        <v>0</v>
      </c>
      <c r="Q105" s="242">
        <f t="shared" si="30"/>
        <v>0</v>
      </c>
      <c r="R105" s="242">
        <f t="shared" si="30"/>
        <v>0</v>
      </c>
      <c r="S105" s="242">
        <f t="shared" si="30"/>
        <v>0</v>
      </c>
      <c r="T105" s="242">
        <f t="shared" si="30"/>
        <v>0</v>
      </c>
      <c r="U105" s="242">
        <f t="shared" si="30"/>
        <v>0</v>
      </c>
    </row>
    <row r="106" spans="1:23" outlineLevel="1">
      <c r="A106" s="19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</row>
    <row r="107" spans="1:23" ht="13.5" outlineLevel="1" thickBot="1">
      <c r="A107" s="34" t="s">
        <v>180</v>
      </c>
      <c r="B107" s="367">
        <f t="shared" ref="B107:U107" si="31">IF(B99&lt;0,0,B99+B104)</f>
        <v>0</v>
      </c>
      <c r="C107" s="367">
        <f t="shared" si="31"/>
        <v>0</v>
      </c>
      <c r="D107" s="367">
        <f t="shared" si="31"/>
        <v>0</v>
      </c>
      <c r="E107" s="367">
        <f t="shared" si="31"/>
        <v>0</v>
      </c>
      <c r="F107" s="367">
        <f t="shared" si="31"/>
        <v>0</v>
      </c>
      <c r="G107" s="367">
        <f t="shared" si="31"/>
        <v>0</v>
      </c>
      <c r="H107" s="367">
        <f t="shared" si="31"/>
        <v>0</v>
      </c>
      <c r="I107" s="367">
        <f t="shared" si="31"/>
        <v>374.91003918406528</v>
      </c>
      <c r="J107" s="367">
        <f t="shared" si="31"/>
        <v>405.30798801339324</v>
      </c>
      <c r="K107" s="367">
        <f t="shared" si="31"/>
        <v>401.33640726919998</v>
      </c>
      <c r="L107" s="367">
        <f t="shared" si="31"/>
        <v>446.84927776646686</v>
      </c>
      <c r="M107" s="367">
        <f t="shared" si="31"/>
        <v>493.6223895960012</v>
      </c>
      <c r="N107" s="367">
        <f t="shared" si="31"/>
        <v>542.6640175002434</v>
      </c>
      <c r="O107" s="367">
        <f t="shared" si="31"/>
        <v>585.57731462192146</v>
      </c>
      <c r="P107" s="367">
        <f t="shared" si="31"/>
        <v>633.41704355531431</v>
      </c>
      <c r="Q107" s="367">
        <f t="shared" si="31"/>
        <v>938.66137389992605</v>
      </c>
      <c r="R107" s="367">
        <f t="shared" si="31"/>
        <v>1248.2701952403888</v>
      </c>
      <c r="S107" s="367">
        <f t="shared" si="31"/>
        <v>1299.2739221683075</v>
      </c>
      <c r="T107" s="367">
        <f t="shared" si="31"/>
        <v>1354.2392698562489</v>
      </c>
      <c r="U107" s="367">
        <f t="shared" si="31"/>
        <v>1413.5196301088647</v>
      </c>
      <c r="W107" s="483">
        <f>SUM(B107:U107)</f>
        <v>10137.648868780343</v>
      </c>
    </row>
    <row r="108" spans="1:23" outlineLevel="1">
      <c r="A108" s="7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61"/>
      <c r="M108" s="61"/>
      <c r="N108" s="61"/>
      <c r="O108" s="61"/>
      <c r="P108" s="61"/>
      <c r="Q108" s="61"/>
      <c r="R108" s="61"/>
      <c r="S108" s="61"/>
      <c r="T108" s="61"/>
      <c r="U108" s="61"/>
    </row>
    <row r="109" spans="1:23" ht="15.75" outlineLevel="1">
      <c r="A109" s="74"/>
      <c r="B109" s="7"/>
      <c r="C109" s="75"/>
      <c r="D109" s="7"/>
      <c r="E109" s="7"/>
      <c r="F109" s="7"/>
      <c r="G109" s="7"/>
      <c r="H109" s="7"/>
      <c r="I109" s="7"/>
      <c r="J109" s="7"/>
      <c r="K109" s="7"/>
      <c r="L109" s="61"/>
      <c r="M109" s="61"/>
      <c r="N109" s="61"/>
      <c r="O109" s="61"/>
      <c r="P109" s="61"/>
      <c r="Q109" s="61"/>
      <c r="R109" s="61"/>
      <c r="S109" s="61"/>
      <c r="T109" s="61"/>
      <c r="U109" s="61"/>
    </row>
    <row r="110" spans="1:23" outlineLevel="1">
      <c r="A110" s="59"/>
      <c r="B110" s="75"/>
      <c r="C110" s="78"/>
      <c r="D110" s="79"/>
      <c r="E110" s="79"/>
      <c r="F110" s="79"/>
      <c r="G110" s="79"/>
      <c r="H110" s="79"/>
      <c r="I110" s="79"/>
      <c r="J110" s="79"/>
      <c r="K110" s="79"/>
      <c r="L110" s="61"/>
      <c r="M110" s="61"/>
      <c r="N110" s="61"/>
      <c r="O110" s="61"/>
      <c r="P110" s="61"/>
      <c r="Q110" s="61"/>
      <c r="R110" s="61"/>
      <c r="S110" s="61"/>
      <c r="T110" s="61"/>
      <c r="U110" s="61"/>
    </row>
    <row r="111" spans="1:23" outlineLevel="1">
      <c r="A111" s="59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61"/>
      <c r="M111" s="61"/>
      <c r="N111" s="61"/>
      <c r="O111" s="61"/>
      <c r="P111" s="61"/>
      <c r="Q111" s="61"/>
      <c r="R111" s="61"/>
      <c r="S111" s="61"/>
      <c r="T111" s="61"/>
      <c r="U111" s="61"/>
    </row>
    <row r="112" spans="1:23" outlineLevel="1">
      <c r="A112" s="7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61"/>
      <c r="M112" s="61"/>
      <c r="N112" s="61"/>
      <c r="O112" s="61"/>
      <c r="P112" s="61"/>
      <c r="Q112" s="61"/>
      <c r="R112" s="61"/>
      <c r="S112" s="61"/>
      <c r="T112" s="61"/>
      <c r="U112" s="61"/>
    </row>
    <row r="113" spans="1:21" outlineLevel="1">
      <c r="A113" s="7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61"/>
      <c r="M113" s="61"/>
      <c r="N113" s="61"/>
      <c r="O113" s="61"/>
      <c r="P113" s="61"/>
      <c r="Q113" s="61"/>
      <c r="R113" s="61"/>
      <c r="S113" s="61"/>
      <c r="T113" s="61"/>
      <c r="U113" s="61"/>
    </row>
    <row r="114" spans="1:21" outlineLevel="1">
      <c r="A114" s="7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61"/>
      <c r="M114" s="61"/>
      <c r="N114" s="61"/>
      <c r="O114" s="61"/>
      <c r="P114" s="61"/>
      <c r="Q114" s="61"/>
      <c r="R114" s="61"/>
      <c r="S114" s="61"/>
      <c r="T114" s="61"/>
      <c r="U114" s="61"/>
    </row>
    <row r="115" spans="1:21" outlineLevel="1">
      <c r="A115" s="7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61"/>
      <c r="M115" s="61"/>
      <c r="N115" s="61"/>
      <c r="O115" s="61"/>
      <c r="P115" s="61"/>
      <c r="Q115" s="61"/>
      <c r="R115" s="61"/>
      <c r="S115" s="61"/>
      <c r="T115" s="61"/>
      <c r="U115" s="61"/>
    </row>
    <row r="116" spans="1:21" outlineLevel="1">
      <c r="A116" s="59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61"/>
      <c r="M116" s="61"/>
      <c r="N116" s="61"/>
      <c r="O116" s="61"/>
      <c r="P116" s="61"/>
      <c r="Q116" s="61"/>
      <c r="R116" s="61"/>
      <c r="S116" s="61"/>
      <c r="T116" s="61"/>
      <c r="U116" s="61"/>
    </row>
    <row r="117" spans="1:21" outlineLevel="1">
      <c r="A117" s="5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61"/>
      <c r="M117" s="61"/>
      <c r="N117" s="61"/>
      <c r="O117" s="61"/>
      <c r="P117" s="61"/>
      <c r="Q117" s="61"/>
      <c r="R117" s="61"/>
      <c r="S117" s="61"/>
      <c r="T117" s="61"/>
      <c r="U117" s="61"/>
    </row>
    <row r="118" spans="1:21" outlineLevel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61"/>
      <c r="M118" s="61"/>
      <c r="N118" s="61"/>
      <c r="O118" s="61"/>
      <c r="P118" s="61"/>
      <c r="Q118" s="61"/>
      <c r="R118" s="61"/>
      <c r="S118" s="61"/>
      <c r="T118" s="61"/>
      <c r="U118" s="61"/>
    </row>
    <row r="119" spans="1:21" outlineLevel="1">
      <c r="A119" s="7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61"/>
      <c r="M119" s="61"/>
      <c r="N119" s="61"/>
      <c r="O119" s="61"/>
      <c r="P119" s="61"/>
      <c r="Q119" s="61"/>
      <c r="R119" s="61"/>
      <c r="S119" s="61"/>
      <c r="T119" s="61"/>
      <c r="U119" s="61"/>
    </row>
    <row r="120" spans="1:21" ht="14.25" outlineLevel="1">
      <c r="A120" s="77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61"/>
      <c r="M120" s="61"/>
      <c r="N120" s="61"/>
      <c r="O120" s="61"/>
      <c r="P120" s="61"/>
      <c r="Q120" s="61"/>
      <c r="R120" s="61"/>
      <c r="S120" s="61"/>
      <c r="T120" s="61"/>
      <c r="U120" s="61"/>
    </row>
    <row r="121" spans="1:21" outlineLevel="1">
      <c r="A121" s="80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</row>
    <row r="122" spans="1:21" outlineLevel="1">
      <c r="A122" s="8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</row>
    <row r="123" spans="1:21" outlineLevel="1">
      <c r="A123" s="8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</row>
    <row r="124" spans="1:21" outlineLevel="1">
      <c r="A124" s="8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</row>
    <row r="125" spans="1:21" outlineLevel="1">
      <c r="A125" s="8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</row>
    <row r="126" spans="1:21" outlineLevel="1">
      <c r="A126" s="8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</row>
    <row r="127" spans="1:21" outlineLevel="1">
      <c r="A127" s="8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</row>
    <row r="128" spans="1:21" outlineLevel="1">
      <c r="A128" s="8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</row>
    <row r="129" spans="1:21" outlineLevel="1">
      <c r="A129" s="82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</row>
    <row r="130" spans="1:21" outlineLevel="1">
      <c r="A130" s="83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</row>
    <row r="131" spans="1:21" outlineLevel="1">
      <c r="A131" s="8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</row>
    <row r="132" spans="1:21" outlineLevel="1">
      <c r="A132" s="8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</row>
    <row r="133" spans="1:21" outlineLevel="1">
      <c r="A133" s="84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</row>
    <row r="134" spans="1:21" outlineLevel="1">
      <c r="A134" s="84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</row>
    <row r="135" spans="1:21" outlineLevel="1">
      <c r="A135" s="8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</row>
    <row r="136" spans="1:21" outlineLevel="1">
      <c r="A136" s="84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</row>
    <row r="137" spans="1:21" outlineLevel="1">
      <c r="A137" s="8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</row>
    <row r="138" spans="1:21" outlineLevel="1">
      <c r="A138" s="8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</row>
    <row r="139" spans="1:21" outlineLevel="1">
      <c r="A139" s="8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</row>
    <row r="140" spans="1:21" outlineLevel="1">
      <c r="A140" s="84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</row>
    <row r="141" spans="1:21" outlineLevel="1">
      <c r="A141" s="80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</row>
    <row r="142" spans="1:21" outlineLevel="1">
      <c r="A142" s="82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</row>
    <row r="143" spans="1:21" outlineLevel="1">
      <c r="A143" s="82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</row>
    <row r="144" spans="1:21" ht="15" customHeight="1" outlineLevel="1">
      <c r="A144" s="82"/>
      <c r="B144" s="71"/>
      <c r="C144" s="7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</row>
    <row r="145" spans="1:21" outlineLevel="1">
      <c r="A145" s="82"/>
      <c r="B145" s="71"/>
      <c r="C145" s="7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</row>
    <row r="146" spans="1:21" ht="14.25" customHeight="1" outlineLevel="1">
      <c r="A146" s="82"/>
      <c r="B146" s="71"/>
      <c r="C146" s="7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</row>
    <row r="147" spans="1:21" outlineLevel="1">
      <c r="A147" s="82"/>
      <c r="B147" s="71"/>
      <c r="C147" s="7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</row>
    <row r="148" spans="1:21" outlineLevel="1">
      <c r="A148" s="82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1:21" outlineLevel="1">
      <c r="A149" s="85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1:21" outlineLevel="1">
      <c r="A150" s="85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1:21" outlineLevel="1">
      <c r="A151" s="85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1:21" outlineLevel="1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1:21" outlineLevel="1">
      <c r="A153" s="7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1:21" outlineLevel="1">
      <c r="A154" s="7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1:21" outlineLevel="1">
      <c r="A155" s="7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1:21" ht="18.75" outlineLevel="1">
      <c r="A156" s="86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</row>
    <row r="157" spans="1:21" outlineLevel="1">
      <c r="A157" s="59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</row>
    <row r="158" spans="1:21" outlineLevel="1">
      <c r="A158" s="59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</row>
    <row r="159" spans="1:21" outlineLevel="1">
      <c r="A159" s="7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</row>
    <row r="160" spans="1:21" outlineLevel="1">
      <c r="A160" s="7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</row>
    <row r="161" spans="1:21" outlineLevel="1">
      <c r="A161" s="2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</row>
    <row r="162" spans="1:21" outlineLevel="1">
      <c r="A162" s="82"/>
      <c r="B162" s="71"/>
      <c r="C162" s="7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</row>
    <row r="163" spans="1:21" outlineLevel="1">
      <c r="A163" s="81"/>
      <c r="B163" s="71"/>
      <c r="C163" s="7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</row>
    <row r="164" spans="1:21" outlineLevel="1">
      <c r="A164" s="81"/>
      <c r="B164" s="71"/>
      <c r="C164" s="7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</row>
    <row r="165" spans="1:21" outlineLevel="1">
      <c r="A165" s="80"/>
      <c r="B165" s="71"/>
      <c r="C165" s="7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</row>
    <row r="166" spans="1:21" outlineLevel="1">
      <c r="A166" s="71"/>
      <c r="B166" s="71"/>
      <c r="C166" s="7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</row>
    <row r="167" spans="1:21" outlineLevel="1">
      <c r="A167" s="82"/>
      <c r="B167" s="71"/>
      <c r="C167" s="7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</row>
    <row r="168" spans="1:21" outlineLevel="1">
      <c r="A168" s="81"/>
      <c r="B168" s="71"/>
      <c r="C168" s="7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</row>
    <row r="169" spans="1:21" outlineLevel="1">
      <c r="A169" s="81"/>
      <c r="B169" s="71"/>
      <c r="C169" s="7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</row>
    <row r="170" spans="1:21" outlineLevel="1">
      <c r="A170" s="81"/>
      <c r="B170" s="71"/>
      <c r="C170" s="7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</row>
    <row r="171" spans="1:21" outlineLevel="1">
      <c r="A171" s="81"/>
      <c r="B171" s="71"/>
      <c r="C171" s="7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</row>
    <row r="172" spans="1:21" outlineLevel="1">
      <c r="A172" s="71"/>
      <c r="B172" s="71"/>
      <c r="C172" s="7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</row>
    <row r="173" spans="1:21" outlineLevel="1">
      <c r="A173" s="82"/>
      <c r="B173" s="71"/>
      <c r="C173" s="7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</row>
    <row r="174" spans="1:21" outlineLevel="1">
      <c r="A174" s="71"/>
      <c r="B174" s="71"/>
      <c r="C174" s="7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</row>
    <row r="175" spans="1:21" outlineLevel="1">
      <c r="A175" s="82"/>
      <c r="B175" s="71"/>
      <c r="C175" s="7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</row>
    <row r="176" spans="1:21" outlineLevel="1">
      <c r="A176" s="81"/>
      <c r="B176" s="71"/>
      <c r="C176" s="7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</row>
    <row r="177" spans="1:21" outlineLevel="1">
      <c r="A177" s="82"/>
      <c r="B177" s="71"/>
      <c r="C177" s="7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</row>
    <row r="178" spans="1:21" outlineLevel="1">
      <c r="A178" s="84"/>
      <c r="B178" s="71"/>
      <c r="C178" s="7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</row>
    <row r="179" spans="1:21" outlineLevel="1">
      <c r="A179" s="81"/>
      <c r="B179" s="71"/>
      <c r="C179" s="7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</row>
    <row r="180" spans="1:21" outlineLevel="1">
      <c r="A180" s="80"/>
      <c r="B180" s="71"/>
      <c r="C180" s="7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</row>
    <row r="181" spans="1:21" outlineLevel="1">
      <c r="A181" s="81"/>
      <c r="B181" s="71"/>
      <c r="C181" s="7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</row>
    <row r="182" spans="1:21" outlineLevel="1">
      <c r="A182" s="80"/>
      <c r="B182" s="71"/>
      <c r="C182" s="7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</row>
    <row r="183" spans="1:21" outlineLevel="1">
      <c r="A183" s="81"/>
      <c r="B183" s="71"/>
      <c r="C183" s="7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</row>
    <row r="184" spans="1:21" outlineLevel="1">
      <c r="A184" s="81"/>
      <c r="B184" s="71"/>
      <c r="C184" s="7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</row>
    <row r="185" spans="1:21" outlineLevel="1">
      <c r="A185" s="81"/>
      <c r="B185" s="71"/>
      <c r="C185" s="7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</row>
    <row r="186" spans="1:21" outlineLevel="1">
      <c r="A186" s="81"/>
      <c r="B186" s="71"/>
      <c r="C186" s="7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</row>
    <row r="187" spans="1:21" outlineLevel="1">
      <c r="A187" s="81"/>
      <c r="B187" s="71"/>
      <c r="C187" s="7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</row>
    <row r="188" spans="1:21" outlineLevel="1">
      <c r="A188" s="81"/>
      <c r="B188" s="71"/>
      <c r="C188" s="7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</row>
    <row r="189" spans="1:21" outlineLevel="1">
      <c r="A189" s="82"/>
      <c r="B189" s="71"/>
      <c r="C189" s="7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</row>
    <row r="190" spans="1:21" outlineLevel="1">
      <c r="A190" s="83"/>
      <c r="B190" s="71"/>
      <c r="C190" s="7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</row>
    <row r="191" spans="1:21" outlineLevel="1">
      <c r="A191" s="81"/>
      <c r="B191" s="71"/>
      <c r="C191" s="7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</row>
    <row r="192" spans="1:21" outlineLevel="1">
      <c r="A192" s="84"/>
      <c r="B192" s="71"/>
      <c r="C192" s="7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</row>
    <row r="193" spans="1:21" outlineLevel="1">
      <c r="A193" s="84"/>
      <c r="B193" s="71"/>
      <c r="C193" s="7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</row>
    <row r="194" spans="1:21" outlineLevel="1">
      <c r="A194" s="81"/>
      <c r="B194" s="71"/>
      <c r="C194" s="7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</row>
    <row r="195" spans="1:21" outlineLevel="1">
      <c r="A195" s="81"/>
      <c r="B195" s="71"/>
      <c r="C195" s="7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</row>
    <row r="196" spans="1:21" outlineLevel="1">
      <c r="A196" s="80"/>
      <c r="B196" s="71"/>
      <c r="C196" s="7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</row>
    <row r="197" spans="1:21" outlineLevel="1">
      <c r="A197" s="82"/>
      <c r="B197" s="71"/>
      <c r="C197" s="7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</row>
    <row r="198" spans="1:21" outlineLevel="1">
      <c r="A198" s="82"/>
      <c r="B198" s="71"/>
      <c r="C198" s="7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</row>
    <row r="199" spans="1:21" outlineLevel="1">
      <c r="A199" s="82"/>
      <c r="B199" s="71"/>
      <c r="C199" s="7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</row>
    <row r="200" spans="1:21" outlineLevel="1">
      <c r="A200" s="82"/>
      <c r="B200" s="71"/>
      <c r="C200" s="7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</row>
    <row r="201" spans="1:21" outlineLevel="1">
      <c r="A201" s="82"/>
      <c r="B201" s="71"/>
      <c r="C201" s="7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</row>
    <row r="202" spans="1:21" outlineLevel="1">
      <c r="A202" s="82"/>
      <c r="B202" s="71"/>
      <c r="C202" s="7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</row>
    <row r="203" spans="1:21" outlineLevel="1">
      <c r="A203" s="82"/>
      <c r="B203" s="71"/>
      <c r="C203" s="7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</row>
    <row r="204" spans="1:21" outlineLevel="1">
      <c r="A204" s="7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</row>
    <row r="205" spans="1:21" outlineLevel="1">
      <c r="A205" s="7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</row>
    <row r="206" spans="1:21" outlineLevel="1">
      <c r="A206" s="7"/>
      <c r="B206" s="7"/>
      <c r="C206" s="7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</row>
    <row r="207" spans="1:21" ht="18.75" outlineLevel="1">
      <c r="A207" s="8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5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5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2"/>
      <c r="B211" s="9"/>
      <c r="C211" s="9"/>
      <c r="D211" s="9"/>
      <c r="E211" s="9"/>
      <c r="F211" s="9"/>
      <c r="G211" s="9"/>
      <c r="H211" s="9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5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88"/>
      <c r="B213" s="89"/>
      <c r="C213" s="89"/>
      <c r="D213" s="89"/>
      <c r="E213" s="89"/>
      <c r="F213" s="89"/>
      <c r="G213" s="89"/>
      <c r="H213" s="89"/>
      <c r="I213" s="7"/>
      <c r="J213" s="89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8"/>
      <c r="B214" s="89"/>
      <c r="C214" s="89"/>
      <c r="D214" s="89"/>
      <c r="E214" s="89"/>
      <c r="F214" s="89"/>
      <c r="G214" s="89"/>
      <c r="H214" s="89"/>
      <c r="I214" s="7"/>
      <c r="J214" s="89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8"/>
      <c r="B215" s="89"/>
      <c r="C215" s="89"/>
      <c r="D215" s="89"/>
      <c r="E215" s="89"/>
      <c r="F215" s="89"/>
      <c r="G215" s="89"/>
      <c r="H215" s="89"/>
      <c r="I215" s="7"/>
      <c r="J215" s="89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8"/>
      <c r="B216" s="89"/>
      <c r="C216" s="89"/>
      <c r="D216" s="89"/>
      <c r="E216" s="89"/>
      <c r="F216" s="89"/>
      <c r="G216" s="89"/>
      <c r="H216" s="89"/>
      <c r="I216" s="7"/>
      <c r="J216" s="89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8"/>
      <c r="B217" s="89"/>
      <c r="C217" s="89"/>
      <c r="D217" s="89"/>
      <c r="E217" s="89"/>
      <c r="F217" s="89"/>
      <c r="G217" s="89"/>
      <c r="H217" s="89"/>
      <c r="I217" s="7"/>
      <c r="J217" s="89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7"/>
      <c r="B218" s="89"/>
      <c r="C218" s="89"/>
      <c r="D218" s="89"/>
      <c r="E218" s="89"/>
      <c r="F218" s="89"/>
      <c r="G218" s="89"/>
      <c r="H218" s="89"/>
      <c r="I218" s="7"/>
      <c r="J218" s="89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59"/>
      <c r="B219" s="89"/>
      <c r="C219" s="89"/>
      <c r="D219" s="89"/>
      <c r="E219" s="89"/>
      <c r="F219" s="89"/>
      <c r="G219" s="89"/>
      <c r="H219" s="89"/>
      <c r="I219" s="7"/>
      <c r="J219" s="89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88"/>
      <c r="B220" s="89"/>
      <c r="C220" s="89"/>
      <c r="D220" s="89"/>
      <c r="E220" s="89"/>
      <c r="F220" s="89"/>
      <c r="G220" s="89"/>
      <c r="H220" s="89"/>
      <c r="I220" s="7"/>
      <c r="J220" s="89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8"/>
      <c r="B221" s="89"/>
      <c r="C221" s="89"/>
      <c r="D221" s="89"/>
      <c r="E221" s="89"/>
      <c r="F221" s="89"/>
      <c r="G221" s="89"/>
      <c r="H221" s="89"/>
      <c r="I221" s="7"/>
      <c r="J221" s="89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8"/>
      <c r="B222" s="89"/>
      <c r="C222" s="89"/>
      <c r="D222" s="89"/>
      <c r="E222" s="89"/>
      <c r="F222" s="89"/>
      <c r="G222" s="89"/>
      <c r="H222" s="89"/>
      <c r="I222" s="7"/>
      <c r="J222" s="89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88"/>
      <c r="B223" s="89"/>
      <c r="C223" s="89"/>
      <c r="D223" s="89"/>
      <c r="E223" s="89"/>
      <c r="F223" s="89"/>
      <c r="G223" s="89"/>
      <c r="H223" s="89"/>
      <c r="I223" s="7"/>
      <c r="J223" s="89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88"/>
      <c r="B224" s="89"/>
      <c r="C224" s="89"/>
      <c r="D224" s="89"/>
      <c r="E224" s="89"/>
      <c r="F224" s="89"/>
      <c r="G224" s="89"/>
      <c r="H224" s="89"/>
      <c r="I224" s="7"/>
      <c r="J224" s="89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8"/>
      <c r="B225" s="89"/>
      <c r="C225" s="89"/>
      <c r="D225" s="89"/>
      <c r="E225" s="89"/>
      <c r="F225" s="89"/>
      <c r="G225" s="89"/>
      <c r="H225" s="89"/>
      <c r="I225" s="7"/>
      <c r="J225" s="89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88"/>
      <c r="B226" s="89"/>
      <c r="C226" s="89"/>
      <c r="D226" s="89"/>
      <c r="E226" s="89"/>
      <c r="F226" s="89"/>
      <c r="G226" s="89"/>
      <c r="H226" s="89"/>
      <c r="I226" s="7"/>
      <c r="J226" s="89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88"/>
      <c r="B227" s="89"/>
      <c r="C227" s="89"/>
      <c r="D227" s="89"/>
      <c r="E227" s="89"/>
      <c r="F227" s="89"/>
      <c r="G227" s="89"/>
      <c r="H227" s="89"/>
      <c r="I227" s="7"/>
      <c r="J227" s="89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88"/>
      <c r="B228" s="89"/>
      <c r="C228" s="89"/>
      <c r="D228" s="89"/>
      <c r="E228" s="89"/>
      <c r="F228" s="89"/>
      <c r="G228" s="89"/>
      <c r="H228" s="89"/>
      <c r="I228" s="7"/>
      <c r="J228" s="89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88"/>
      <c r="B229" s="89"/>
      <c r="C229" s="89"/>
      <c r="D229" s="89"/>
      <c r="E229" s="89"/>
      <c r="F229" s="89"/>
      <c r="G229" s="89"/>
      <c r="H229" s="89"/>
      <c r="I229" s="7"/>
      <c r="J229" s="89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88"/>
      <c r="B230" s="89"/>
      <c r="C230" s="89"/>
      <c r="D230" s="89"/>
      <c r="E230" s="89"/>
      <c r="F230" s="89"/>
      <c r="G230" s="89"/>
      <c r="H230" s="89"/>
      <c r="I230" s="7"/>
      <c r="J230" s="89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59"/>
      <c r="B231" s="89"/>
      <c r="C231" s="89"/>
      <c r="D231" s="89"/>
      <c r="E231" s="89"/>
      <c r="F231" s="89"/>
      <c r="G231" s="89"/>
      <c r="H231" s="89"/>
      <c r="I231" s="7"/>
      <c r="J231" s="89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88"/>
      <c r="B232" s="89"/>
      <c r="C232" s="89"/>
      <c r="D232" s="89"/>
      <c r="E232" s="89"/>
      <c r="F232" s="89"/>
      <c r="G232" s="89"/>
      <c r="H232" s="89"/>
      <c r="I232" s="7"/>
      <c r="J232" s="89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88"/>
      <c r="B233" s="89"/>
      <c r="C233" s="89"/>
      <c r="D233" s="89"/>
      <c r="E233" s="89"/>
      <c r="F233" s="89"/>
      <c r="G233" s="89"/>
      <c r="H233" s="89"/>
      <c r="I233" s="7"/>
      <c r="J233" s="89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59"/>
      <c r="B234" s="89"/>
      <c r="C234" s="89"/>
      <c r="D234" s="89"/>
      <c r="E234" s="89"/>
      <c r="F234" s="89"/>
      <c r="G234" s="89"/>
      <c r="H234" s="89"/>
      <c r="I234" s="7"/>
      <c r="J234" s="89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9"/>
      <c r="B235" s="89"/>
      <c r="C235" s="89"/>
      <c r="D235" s="89"/>
      <c r="E235" s="89"/>
      <c r="F235" s="89"/>
      <c r="G235" s="89"/>
      <c r="H235" s="89"/>
      <c r="I235" s="7"/>
      <c r="J235" s="89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7"/>
      <c r="B236" s="89"/>
      <c r="C236" s="89"/>
      <c r="D236" s="89"/>
      <c r="E236" s="89"/>
      <c r="F236" s="89"/>
      <c r="G236" s="89"/>
      <c r="H236" s="89"/>
      <c r="I236" s="7"/>
      <c r="J236" s="89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7"/>
      <c r="B237" s="89"/>
      <c r="C237" s="89"/>
      <c r="D237" s="89"/>
      <c r="E237" s="89"/>
      <c r="F237" s="89"/>
      <c r="G237" s="89"/>
      <c r="H237" s="89"/>
      <c r="I237" s="7"/>
      <c r="J237" s="89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59"/>
      <c r="B238" s="89"/>
      <c r="C238" s="89"/>
      <c r="D238" s="89"/>
      <c r="E238" s="89"/>
      <c r="F238" s="89"/>
      <c r="G238" s="89"/>
      <c r="H238" s="89"/>
      <c r="I238" s="7"/>
      <c r="J238" s="89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88"/>
      <c r="B239" s="89"/>
      <c r="C239" s="89"/>
      <c r="D239" s="89"/>
      <c r="E239" s="89"/>
      <c r="F239" s="89"/>
      <c r="G239" s="89"/>
      <c r="H239" s="89"/>
      <c r="I239" s="7"/>
      <c r="J239" s="89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59"/>
      <c r="B240" s="89"/>
      <c r="C240" s="89"/>
      <c r="D240" s="89"/>
      <c r="E240" s="89"/>
      <c r="F240" s="89"/>
      <c r="G240" s="89"/>
      <c r="H240" s="89"/>
      <c r="I240" s="7"/>
      <c r="J240" s="89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7"/>
      <c r="B241" s="89"/>
      <c r="C241" s="89"/>
      <c r="D241" s="89"/>
      <c r="E241" s="89"/>
      <c r="F241" s="89"/>
      <c r="G241" s="89"/>
      <c r="H241" s="89"/>
      <c r="I241" s="7"/>
      <c r="J241" s="89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59"/>
      <c r="B242" s="89"/>
      <c r="C242" s="89"/>
      <c r="D242" s="89"/>
      <c r="E242" s="89"/>
      <c r="F242" s="89"/>
      <c r="G242" s="89"/>
      <c r="H242" s="89"/>
      <c r="I242" s="7"/>
      <c r="J242" s="89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88"/>
      <c r="B243" s="89"/>
      <c r="C243" s="89"/>
      <c r="D243" s="89"/>
      <c r="E243" s="89"/>
      <c r="F243" s="89"/>
      <c r="G243" s="89"/>
      <c r="H243" s="89"/>
      <c r="I243" s="7"/>
      <c r="J243" s="89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88"/>
      <c r="B244" s="89"/>
      <c r="C244" s="89"/>
      <c r="D244" s="89"/>
      <c r="E244" s="89"/>
      <c r="F244" s="89"/>
      <c r="G244" s="89"/>
      <c r="H244" s="89"/>
      <c r="I244" s="7"/>
      <c r="J244" s="89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88"/>
      <c r="B245" s="89"/>
      <c r="C245" s="89"/>
      <c r="D245" s="89"/>
      <c r="E245" s="89"/>
      <c r="F245" s="89"/>
      <c r="G245" s="89"/>
      <c r="H245" s="89"/>
      <c r="I245" s="7"/>
      <c r="J245" s="89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88"/>
      <c r="B246" s="89"/>
      <c r="C246" s="89"/>
      <c r="D246" s="89"/>
      <c r="E246" s="89"/>
      <c r="F246" s="89"/>
      <c r="G246" s="89"/>
      <c r="H246" s="89"/>
      <c r="I246" s="7"/>
      <c r="J246" s="89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88"/>
      <c r="B247" s="89"/>
      <c r="C247" s="89"/>
      <c r="D247" s="89"/>
      <c r="E247" s="89"/>
      <c r="F247" s="89"/>
      <c r="G247" s="89"/>
      <c r="H247" s="89"/>
      <c r="I247" s="7"/>
      <c r="J247" s="89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88"/>
      <c r="B248" s="89"/>
      <c r="C248" s="89"/>
      <c r="D248" s="89"/>
      <c r="E248" s="89"/>
      <c r="F248" s="89"/>
      <c r="G248" s="89"/>
      <c r="H248" s="89"/>
      <c r="I248" s="7"/>
      <c r="J248" s="89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9"/>
      <c r="B249" s="89"/>
      <c r="C249" s="89"/>
      <c r="D249" s="89"/>
      <c r="E249" s="89"/>
      <c r="F249" s="89"/>
      <c r="G249" s="89"/>
      <c r="H249" s="89"/>
      <c r="I249" s="7"/>
      <c r="J249" s="89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59"/>
      <c r="B250" s="89"/>
      <c r="C250" s="89"/>
      <c r="D250" s="89"/>
      <c r="E250" s="89"/>
      <c r="F250" s="89"/>
      <c r="G250" s="89"/>
      <c r="H250" s="89"/>
      <c r="I250" s="7"/>
      <c r="J250" s="89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7"/>
      <c r="B251" s="89"/>
      <c r="C251" s="89"/>
      <c r="D251" s="89"/>
      <c r="E251" s="89"/>
      <c r="F251" s="89"/>
      <c r="G251" s="89"/>
      <c r="H251" s="89"/>
      <c r="I251" s="7"/>
      <c r="J251" s="89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59"/>
      <c r="B252" s="89"/>
      <c r="C252" s="89"/>
      <c r="D252" s="89"/>
      <c r="E252" s="89"/>
      <c r="F252" s="89"/>
      <c r="G252" s="89"/>
      <c r="H252" s="89"/>
      <c r="I252" s="7"/>
      <c r="J252" s="89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59"/>
      <c r="B253" s="89"/>
      <c r="C253" s="89"/>
      <c r="D253" s="89"/>
      <c r="E253" s="89"/>
      <c r="F253" s="89"/>
      <c r="G253" s="89"/>
      <c r="H253" s="89"/>
      <c r="I253" s="7"/>
      <c r="J253" s="89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59"/>
      <c r="B255" s="7"/>
      <c r="C255" s="61"/>
      <c r="D255" s="61"/>
      <c r="E255" s="61"/>
      <c r="F255" s="61"/>
      <c r="G255" s="61"/>
      <c r="H255" s="61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59"/>
      <c r="B256" s="7"/>
      <c r="C256" s="61"/>
      <c r="D256" s="61"/>
      <c r="E256" s="61"/>
      <c r="F256" s="61"/>
      <c r="G256" s="61"/>
      <c r="H256" s="61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59"/>
      <c r="B257" s="7"/>
      <c r="C257" s="61"/>
      <c r="D257" s="61"/>
      <c r="E257" s="61"/>
      <c r="F257" s="61"/>
      <c r="G257" s="61"/>
      <c r="H257" s="61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59"/>
      <c r="B258" s="7"/>
      <c r="C258" s="61"/>
      <c r="D258" s="61"/>
      <c r="E258" s="61"/>
      <c r="F258" s="61"/>
      <c r="G258" s="61"/>
      <c r="H258" s="61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ht="18.75" outlineLevel="1">
      <c r="A260" s="86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59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s="92" customFormat="1" outlineLevel="1">
      <c r="A264" s="91"/>
    </row>
    <row r="265" spans="1:21" outlineLevel="1">
      <c r="A265" s="5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59"/>
      <c r="B266" s="7"/>
      <c r="C266" s="93"/>
      <c r="D266" s="93"/>
      <c r="E266" s="93"/>
      <c r="F266" s="93"/>
      <c r="G266" s="93"/>
      <c r="H266" s="93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59"/>
      <c r="B267" s="7"/>
      <c r="C267" s="93"/>
      <c r="D267" s="93"/>
      <c r="E267" s="93"/>
      <c r="F267" s="93"/>
      <c r="G267" s="93"/>
      <c r="H267" s="93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7"/>
      <c r="B268" s="7"/>
      <c r="C268" s="95"/>
      <c r="D268" s="95"/>
      <c r="E268" s="95"/>
      <c r="F268" s="95"/>
      <c r="G268" s="95"/>
      <c r="H268" s="95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59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91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96"/>
      <c r="B271" s="7"/>
      <c r="C271" s="61"/>
      <c r="D271" s="61"/>
      <c r="E271" s="61"/>
      <c r="F271" s="61"/>
      <c r="G271" s="61"/>
      <c r="H271" s="61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6"/>
      <c r="B272" s="7"/>
      <c r="C272" s="61"/>
      <c r="D272" s="61"/>
      <c r="E272" s="61"/>
      <c r="F272" s="61"/>
      <c r="G272" s="61"/>
      <c r="H272" s="61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6"/>
      <c r="B273" s="7"/>
      <c r="C273" s="61"/>
      <c r="D273" s="61"/>
      <c r="E273" s="61"/>
      <c r="F273" s="61"/>
      <c r="G273" s="61"/>
      <c r="H273" s="61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6"/>
      <c r="B274" s="7"/>
      <c r="C274" s="61"/>
      <c r="D274" s="61"/>
      <c r="E274" s="61"/>
      <c r="F274" s="61"/>
      <c r="G274" s="61"/>
      <c r="H274" s="61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96"/>
      <c r="B275" s="7"/>
      <c r="C275" s="93"/>
      <c r="D275" s="93"/>
      <c r="E275" s="93"/>
      <c r="F275" s="93"/>
      <c r="G275" s="93"/>
      <c r="H275" s="93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59"/>
      <c r="B276" s="7"/>
      <c r="C276" s="97"/>
      <c r="D276" s="97"/>
      <c r="E276" s="97"/>
      <c r="F276" s="97"/>
      <c r="G276" s="97"/>
      <c r="H276" s="9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96"/>
      <c r="B277" s="7"/>
      <c r="C277" s="98"/>
      <c r="D277" s="98"/>
      <c r="E277" s="98"/>
      <c r="F277" s="98"/>
      <c r="G277" s="98"/>
      <c r="H277" s="98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96"/>
      <c r="B278" s="7"/>
      <c r="C278" s="98"/>
      <c r="D278" s="98"/>
      <c r="E278" s="98"/>
      <c r="F278" s="98"/>
      <c r="G278" s="98"/>
      <c r="H278" s="98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96"/>
      <c r="B279" s="7"/>
      <c r="C279" s="98"/>
      <c r="D279" s="98"/>
      <c r="E279" s="98"/>
      <c r="F279" s="98"/>
      <c r="G279" s="98"/>
      <c r="H279" s="98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96"/>
      <c r="B280" s="7"/>
      <c r="C280" s="98"/>
      <c r="D280" s="98"/>
      <c r="E280" s="98"/>
      <c r="F280" s="98"/>
      <c r="G280" s="98"/>
      <c r="H280" s="98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96"/>
      <c r="B281" s="7"/>
      <c r="C281" s="97"/>
      <c r="D281" s="97"/>
      <c r="E281" s="97"/>
      <c r="F281" s="97"/>
      <c r="G281" s="97"/>
      <c r="H281" s="9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59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7"/>
      <c r="B283" s="7"/>
      <c r="C283" s="61"/>
      <c r="D283" s="61"/>
      <c r="E283" s="61"/>
      <c r="F283" s="61"/>
      <c r="G283" s="61"/>
      <c r="H283" s="61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7"/>
      <c r="B284" s="7"/>
      <c r="C284" s="61"/>
      <c r="D284" s="61"/>
      <c r="E284" s="61"/>
      <c r="F284" s="61"/>
      <c r="G284" s="61"/>
      <c r="H284" s="6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7"/>
      <c r="B285" s="7"/>
      <c r="C285" s="61"/>
      <c r="D285" s="61"/>
      <c r="E285" s="61"/>
      <c r="F285" s="61"/>
      <c r="G285" s="61"/>
      <c r="H285" s="61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7"/>
      <c r="B286" s="99"/>
      <c r="C286" s="61"/>
      <c r="D286" s="61"/>
      <c r="E286" s="61"/>
      <c r="F286" s="61"/>
      <c r="G286" s="61"/>
      <c r="H286" s="61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59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93"/>
      <c r="D289" s="93"/>
      <c r="E289" s="93"/>
      <c r="F289" s="93"/>
      <c r="G289" s="93"/>
      <c r="H289" s="93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96"/>
      <c r="B290" s="7"/>
      <c r="C290" s="93"/>
      <c r="D290" s="93"/>
      <c r="E290" s="93"/>
      <c r="F290" s="93"/>
      <c r="G290" s="93"/>
      <c r="H290" s="93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96"/>
      <c r="B291" s="7"/>
      <c r="C291" s="93"/>
      <c r="D291" s="93"/>
      <c r="E291" s="93"/>
      <c r="F291" s="93"/>
      <c r="G291" s="93"/>
      <c r="H291" s="93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96"/>
      <c r="B292" s="99"/>
      <c r="C292" s="93"/>
      <c r="D292" s="93"/>
      <c r="E292" s="93"/>
      <c r="F292" s="93"/>
      <c r="G292" s="93"/>
      <c r="H292" s="93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7"/>
      <c r="B293" s="7"/>
      <c r="C293" s="93"/>
      <c r="D293" s="93"/>
      <c r="E293" s="93"/>
      <c r="F293" s="93"/>
      <c r="G293" s="93"/>
      <c r="H293" s="93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7"/>
      <c r="B294" s="7"/>
      <c r="C294" s="93"/>
      <c r="D294" s="93"/>
      <c r="E294" s="93"/>
      <c r="F294" s="93"/>
      <c r="G294" s="93"/>
      <c r="H294" s="93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7"/>
      <c r="B295" s="7"/>
      <c r="C295" s="93"/>
      <c r="D295" s="93"/>
      <c r="E295" s="93"/>
      <c r="F295" s="93"/>
      <c r="G295" s="93"/>
      <c r="H295" s="93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7"/>
      <c r="B296" s="7"/>
      <c r="C296" s="93"/>
      <c r="D296" s="93"/>
      <c r="E296" s="93"/>
      <c r="F296" s="93"/>
      <c r="G296" s="93"/>
      <c r="H296" s="93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7"/>
      <c r="B297" s="7"/>
      <c r="C297" s="93"/>
      <c r="D297" s="93"/>
      <c r="E297" s="93"/>
      <c r="F297" s="93"/>
      <c r="G297" s="93"/>
      <c r="H297" s="93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7"/>
      <c r="B298" s="7"/>
      <c r="C298" s="93"/>
      <c r="D298" s="93"/>
      <c r="E298" s="93"/>
      <c r="F298" s="93"/>
      <c r="G298" s="93"/>
      <c r="H298" s="93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59"/>
      <c r="B300" s="100"/>
      <c r="C300" s="100"/>
      <c r="D300" s="100"/>
      <c r="E300" s="100"/>
      <c r="F300" s="100"/>
      <c r="G300" s="100"/>
      <c r="H300" s="100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59"/>
      <c r="B301" s="99"/>
      <c r="C301" s="100"/>
      <c r="D301" s="100"/>
      <c r="E301" s="100"/>
      <c r="F301" s="100"/>
      <c r="G301" s="100"/>
      <c r="H301" s="100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outlineLevel="1">
      <c r="A302" s="59"/>
      <c r="B302" s="100"/>
      <c r="C302" s="100"/>
      <c r="D302" s="100"/>
      <c r="E302" s="100"/>
      <c r="F302" s="100"/>
      <c r="G302" s="100"/>
      <c r="H302" s="100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59"/>
      <c r="B303" s="7"/>
      <c r="C303" s="100"/>
      <c r="D303" s="100"/>
      <c r="E303" s="100"/>
      <c r="F303" s="100"/>
      <c r="G303" s="100"/>
      <c r="H303" s="100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outlineLevel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outlineLevel="1">
      <c r="A305" s="59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outlineLevel="1">
      <c r="A306" s="59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outlineLevel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outlineLevel="1">
      <c r="A308" s="7"/>
      <c r="B308" s="7"/>
      <c r="C308" s="89"/>
      <c r="D308" s="89"/>
      <c r="E308" s="89"/>
      <c r="F308" s="89"/>
      <c r="G308" s="89"/>
      <c r="H308" s="89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outlineLevel="1">
      <c r="A309" s="7"/>
      <c r="B309" s="7"/>
      <c r="C309" s="100"/>
      <c r="D309" s="100"/>
      <c r="E309" s="100"/>
      <c r="F309" s="100"/>
      <c r="G309" s="100"/>
      <c r="H309" s="100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outlineLevel="1">
      <c r="A310" s="7"/>
      <c r="B310" s="7"/>
      <c r="C310" s="101"/>
      <c r="D310" s="101"/>
      <c r="E310" s="101"/>
      <c r="F310" s="101"/>
      <c r="G310" s="101"/>
      <c r="H310" s="101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 outlineLevel="1">
      <c r="A311" s="7"/>
      <c r="B311" s="7"/>
      <c r="C311" s="89"/>
      <c r="D311" s="89"/>
      <c r="E311" s="89"/>
      <c r="F311" s="89"/>
      <c r="G311" s="89"/>
      <c r="H311" s="89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outlineLevel="1">
      <c r="A312" s="7"/>
      <c r="B312" s="7"/>
      <c r="C312" s="101"/>
      <c r="D312" s="101"/>
      <c r="E312" s="101"/>
      <c r="F312" s="101"/>
      <c r="G312" s="101"/>
      <c r="H312" s="101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 outlineLevel="1">
      <c r="A313" s="7"/>
      <c r="B313" s="7"/>
      <c r="C313" s="102"/>
      <c r="D313" s="102"/>
      <c r="E313" s="102"/>
      <c r="F313" s="102"/>
      <c r="G313" s="102"/>
      <c r="H313" s="102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 outlineLevel="1">
      <c r="A314" s="7"/>
      <c r="B314" s="7"/>
      <c r="C314" s="102"/>
      <c r="D314" s="102"/>
      <c r="E314" s="102"/>
      <c r="F314" s="102"/>
      <c r="G314" s="102"/>
      <c r="H314" s="102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 ht="18.75" outlineLevel="2">
      <c r="A315" s="86"/>
      <c r="B315" s="7"/>
      <c r="C315" s="102"/>
      <c r="D315" s="102"/>
      <c r="E315" s="102"/>
      <c r="F315" s="102"/>
      <c r="G315" s="102"/>
      <c r="H315" s="102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 outlineLevel="2">
      <c r="A316" s="59"/>
      <c r="B316" s="7"/>
      <c r="C316" s="102"/>
      <c r="D316" s="102"/>
      <c r="E316" s="102"/>
      <c r="F316" s="102"/>
      <c r="G316" s="102"/>
      <c r="H316" s="102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 outlineLevel="2">
      <c r="A317" s="7"/>
      <c r="B317" s="7"/>
      <c r="C317" s="102"/>
      <c r="D317" s="102"/>
      <c r="E317" s="102"/>
      <c r="F317" s="102"/>
      <c r="G317" s="102"/>
      <c r="H317" s="102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 outlineLevel="2">
      <c r="A318" s="59"/>
      <c r="B318" s="11"/>
      <c r="C318" s="11"/>
      <c r="D318" s="10"/>
      <c r="E318" s="10"/>
      <c r="F318" s="11"/>
      <c r="G318" s="11"/>
      <c r="H318" s="10"/>
      <c r="I318" s="11"/>
      <c r="J318" s="11"/>
      <c r="K318" s="11"/>
      <c r="L318" s="10"/>
      <c r="M318" s="11"/>
      <c r="N318" s="11"/>
      <c r="O318" s="7"/>
      <c r="P318" s="7"/>
      <c r="Q318" s="7"/>
      <c r="R318" s="7"/>
      <c r="S318" s="7"/>
      <c r="T318" s="11"/>
      <c r="U318" s="7"/>
    </row>
    <row r="319" spans="1:21" outlineLevel="2">
      <c r="A319" s="59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 outlineLevel="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6" outlineLevel="2">
      <c r="A321" s="7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7"/>
      <c r="P321" s="7"/>
      <c r="Q321" s="7"/>
      <c r="R321" s="7"/>
      <c r="S321" s="7"/>
      <c r="T321" s="89"/>
      <c r="U321" s="7"/>
    </row>
    <row r="322" spans="1:26" outlineLevel="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6" outlineLevel="2">
      <c r="A323" s="7"/>
      <c r="B323" s="100"/>
      <c r="C323" s="100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7"/>
      <c r="P323" s="7"/>
      <c r="Q323" s="7"/>
      <c r="R323" s="7"/>
      <c r="S323" s="7"/>
      <c r="T323" s="89"/>
      <c r="U323" s="7"/>
    </row>
    <row r="324" spans="1:26" outlineLevel="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6" outlineLevel="2">
      <c r="A325" s="7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7"/>
      <c r="P325" s="7"/>
      <c r="Q325" s="7"/>
      <c r="R325" s="7"/>
      <c r="S325" s="7"/>
      <c r="T325" s="89"/>
      <c r="U325" s="89"/>
      <c r="V325" s="89"/>
      <c r="W325" s="89"/>
      <c r="X325" s="89"/>
      <c r="Y325" s="89"/>
      <c r="Z325" s="89"/>
    </row>
    <row r="326" spans="1:26" outlineLevel="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6" outlineLevel="2">
      <c r="A327" s="7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7"/>
      <c r="P327" s="7"/>
      <c r="Q327" s="7"/>
      <c r="R327" s="7"/>
      <c r="S327" s="7"/>
      <c r="T327" s="89"/>
      <c r="U327" s="7"/>
    </row>
    <row r="328" spans="1:26" outlineLevel="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6" outlineLevel="2">
      <c r="A329" s="7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7"/>
      <c r="P329" s="7"/>
      <c r="Q329" s="7"/>
      <c r="R329" s="7"/>
      <c r="S329" s="7"/>
      <c r="T329" s="89"/>
      <c r="U329" s="89"/>
    </row>
    <row r="330" spans="1:26" outlineLevel="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6" outlineLevel="2">
      <c r="A331" s="7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7"/>
      <c r="P331" s="7"/>
      <c r="Q331" s="7"/>
      <c r="R331" s="7"/>
      <c r="S331" s="7"/>
      <c r="T331" s="89"/>
      <c r="U331" s="89"/>
    </row>
    <row r="332" spans="1:26" outlineLevel="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6" outlineLevel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6" outlineLevel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6" outlineLevel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6" ht="18.75" outlineLevel="1">
      <c r="A336" s="8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outlineLevel="1">
      <c r="A337" s="59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outlineLevel="1">
      <c r="A338" s="59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outlineLevel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outlineLevel="1">
      <c r="A340" s="2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</row>
    <row r="341" spans="1:21" outlineLevel="1">
      <c r="A341" s="59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outlineLevel="1">
      <c r="A342" s="88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</row>
    <row r="343" spans="1:21" outlineLevel="1">
      <c r="A343" s="88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</row>
    <row r="344" spans="1:21" outlineLevel="1">
      <c r="A344" s="88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</row>
    <row r="345" spans="1:21" outlineLevel="1">
      <c r="A345" s="88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</row>
    <row r="346" spans="1:21" outlineLevel="1">
      <c r="A346" s="88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</row>
    <row r="347" spans="1:21" outlineLevel="1">
      <c r="A347" s="7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</row>
    <row r="348" spans="1:21" outlineLevel="1">
      <c r="A348" s="5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</row>
    <row r="349" spans="1:21" outlineLevel="1">
      <c r="A349" s="88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</row>
    <row r="350" spans="1:21" outlineLevel="1">
      <c r="A350" s="88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</row>
    <row r="351" spans="1:21" outlineLevel="1">
      <c r="A351" s="88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</row>
    <row r="352" spans="1:21" outlineLevel="1">
      <c r="A352" s="88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</row>
    <row r="353" spans="1:21" outlineLevel="1">
      <c r="A353" s="88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</row>
    <row r="354" spans="1:21" outlineLevel="1">
      <c r="A354" s="88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</row>
    <row r="355" spans="1:21" outlineLevel="1">
      <c r="A355" s="88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</row>
    <row r="356" spans="1:21" outlineLevel="1">
      <c r="A356" s="88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</row>
    <row r="357" spans="1:21" outlineLevel="1">
      <c r="A357" s="88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</row>
    <row r="358" spans="1:21" outlineLevel="1">
      <c r="A358" s="88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</row>
    <row r="359" spans="1:21" outlineLevel="1">
      <c r="A359" s="88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</row>
    <row r="360" spans="1:21" outlineLevel="1">
      <c r="A360" s="5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</row>
    <row r="361" spans="1:21" outlineLevel="1">
      <c r="A361" s="88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</row>
    <row r="362" spans="1:21" outlineLevel="1">
      <c r="A362" s="5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</row>
    <row r="363" spans="1:21" outlineLevel="1">
      <c r="A363" s="88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</row>
    <row r="364" spans="1:21" outlineLevel="1">
      <c r="A364" s="5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</row>
    <row r="365" spans="1:21" outlineLevel="1">
      <c r="A365" s="7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</row>
    <row r="366" spans="1:21" outlineLevel="1">
      <c r="A366" s="5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</row>
    <row r="367" spans="1:21" outlineLevel="1">
      <c r="A367" s="88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</row>
    <row r="368" spans="1:21" outlineLevel="1">
      <c r="A368" s="88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</row>
    <row r="369" spans="1:21" outlineLevel="1">
      <c r="A369" s="88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</row>
    <row r="370" spans="1:21" outlineLevel="1">
      <c r="A370" s="88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</row>
    <row r="371" spans="1:21" outlineLevel="1">
      <c r="A371" s="5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</row>
    <row r="372" spans="1:21" outlineLevel="1">
      <c r="A372" s="5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</row>
    <row r="373" spans="1:21" outlineLevel="1">
      <c r="A373" s="88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</row>
    <row r="374" spans="1:21" outlineLevel="1">
      <c r="A374" s="88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</row>
    <row r="375" spans="1:21" outlineLevel="1">
      <c r="A375" s="88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</row>
    <row r="376" spans="1:21" outlineLevel="1">
      <c r="A376" s="88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</row>
    <row r="377" spans="1:21" outlineLevel="1">
      <c r="A377" s="88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</row>
    <row r="378" spans="1:21" outlineLevel="1">
      <c r="A378" s="2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</row>
    <row r="379" spans="1:21" outlineLevel="1">
      <c r="A379" s="5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</row>
    <row r="380" spans="1:21" outlineLevel="1">
      <c r="A380" s="7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</row>
    <row r="381" spans="1:21" outlineLevel="1">
      <c r="A381" s="5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</row>
    <row r="382" spans="1:21" outlineLevel="1">
      <c r="A382" s="5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</row>
    <row r="383" spans="1:21" outlineLevel="1">
      <c r="A383" s="5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</row>
    <row r="384" spans="1:21" outlineLevel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outlineLevel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 ht="18.75" outlineLevel="1">
      <c r="A386" s="8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outlineLevel="1">
      <c r="A387" s="59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 outlineLevel="1">
      <c r="A388" s="59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 outlineLevel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 outlineLevel="1">
      <c r="A390" s="2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7"/>
      <c r="P390" s="7"/>
      <c r="Q390" s="7"/>
      <c r="R390" s="7"/>
      <c r="S390" s="7"/>
      <c r="T390" s="7"/>
      <c r="U390" s="7"/>
    </row>
    <row r="391" spans="1:21" outlineLevel="1">
      <c r="A391" s="59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 outlineLevel="1">
      <c r="A392" s="88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7"/>
      <c r="P392" s="7"/>
      <c r="Q392" s="7"/>
      <c r="R392" s="7"/>
      <c r="S392" s="7"/>
      <c r="T392" s="7"/>
      <c r="U392" s="7"/>
    </row>
    <row r="393" spans="1:21" outlineLevel="1">
      <c r="A393" s="88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7"/>
      <c r="P393" s="7"/>
      <c r="Q393" s="7"/>
      <c r="R393" s="7"/>
      <c r="S393" s="7"/>
      <c r="T393" s="7"/>
      <c r="U393" s="7"/>
    </row>
    <row r="394" spans="1:21" outlineLevel="1">
      <c r="A394" s="88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7"/>
      <c r="P394" s="7"/>
      <c r="Q394" s="7"/>
      <c r="R394" s="7"/>
      <c r="S394" s="7"/>
      <c r="T394" s="7"/>
      <c r="U394" s="7"/>
    </row>
    <row r="395" spans="1:21" outlineLevel="1">
      <c r="A395" s="88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7"/>
      <c r="P395" s="7"/>
      <c r="Q395" s="7"/>
      <c r="R395" s="7"/>
      <c r="S395" s="7"/>
      <c r="T395" s="7"/>
      <c r="U395" s="7"/>
    </row>
    <row r="396" spans="1:21" outlineLevel="1">
      <c r="A396" s="88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7"/>
      <c r="P396" s="7"/>
      <c r="Q396" s="7"/>
      <c r="R396" s="7"/>
      <c r="S396" s="7"/>
      <c r="T396" s="7"/>
      <c r="U396" s="7"/>
    </row>
    <row r="397" spans="1:21" outlineLevel="1">
      <c r="A397" s="88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7"/>
      <c r="P397" s="7"/>
      <c r="Q397" s="7"/>
      <c r="R397" s="7"/>
      <c r="S397" s="7"/>
      <c r="T397" s="7"/>
      <c r="U397" s="7"/>
    </row>
    <row r="398" spans="1:21" outlineLevel="1">
      <c r="A398" s="59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7"/>
      <c r="P398" s="7"/>
      <c r="Q398" s="7"/>
      <c r="R398" s="7"/>
      <c r="S398" s="7"/>
      <c r="T398" s="7"/>
      <c r="U398" s="7"/>
    </row>
    <row r="399" spans="1:21" outlineLevel="1">
      <c r="A399" s="88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7"/>
      <c r="P399" s="7"/>
      <c r="Q399" s="7"/>
      <c r="R399" s="7"/>
      <c r="S399" s="7"/>
      <c r="T399" s="7"/>
      <c r="U399" s="7"/>
    </row>
    <row r="400" spans="1:21" outlineLevel="1">
      <c r="A400" s="88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7"/>
      <c r="P400" s="7"/>
      <c r="Q400" s="7"/>
      <c r="R400" s="7"/>
      <c r="S400" s="7"/>
      <c r="T400" s="7"/>
      <c r="U400" s="7"/>
    </row>
    <row r="401" spans="1:21" outlineLevel="1">
      <c r="A401" s="88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7"/>
      <c r="P401" s="7"/>
      <c r="Q401" s="7"/>
      <c r="R401" s="7"/>
      <c r="S401" s="7"/>
      <c r="T401" s="7"/>
      <c r="U401" s="7"/>
    </row>
    <row r="402" spans="1:21" outlineLevel="1">
      <c r="A402" s="88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7"/>
      <c r="P402" s="7"/>
      <c r="Q402" s="7"/>
      <c r="R402" s="7"/>
      <c r="S402" s="7"/>
      <c r="T402" s="7"/>
      <c r="U402" s="7"/>
    </row>
    <row r="403" spans="1:21" outlineLevel="1">
      <c r="A403" s="88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7"/>
      <c r="P403" s="7"/>
      <c r="Q403" s="7"/>
      <c r="R403" s="7"/>
      <c r="S403" s="7"/>
      <c r="T403" s="7"/>
      <c r="U403" s="7"/>
    </row>
    <row r="404" spans="1:21" outlineLevel="1">
      <c r="A404" s="88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7"/>
      <c r="P404" s="7"/>
      <c r="Q404" s="7"/>
      <c r="R404" s="7"/>
      <c r="S404" s="7"/>
      <c r="T404" s="7"/>
      <c r="U404" s="7"/>
    </row>
    <row r="405" spans="1:21" outlineLevel="1">
      <c r="A405" s="88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7"/>
      <c r="P405" s="7"/>
      <c r="Q405" s="7"/>
      <c r="R405" s="7"/>
      <c r="S405" s="7"/>
      <c r="T405" s="7"/>
      <c r="U405" s="7"/>
    </row>
    <row r="406" spans="1:21" outlineLevel="1">
      <c r="A406" s="88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7"/>
      <c r="P406" s="7"/>
      <c r="Q406" s="7"/>
      <c r="R406" s="7"/>
      <c r="S406" s="7"/>
      <c r="T406" s="7"/>
      <c r="U406" s="7"/>
    </row>
    <row r="407" spans="1:21" outlineLevel="1">
      <c r="A407" s="88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7"/>
      <c r="P407" s="7"/>
      <c r="Q407" s="7"/>
      <c r="R407" s="7"/>
      <c r="S407" s="7"/>
      <c r="T407" s="7"/>
      <c r="U407" s="7"/>
    </row>
    <row r="408" spans="1:21" outlineLevel="1">
      <c r="A408" s="88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7"/>
      <c r="P408" s="7"/>
      <c r="Q408" s="7"/>
      <c r="R408" s="7"/>
      <c r="S408" s="7"/>
      <c r="T408" s="7"/>
      <c r="U408" s="7"/>
    </row>
    <row r="409" spans="1:21" outlineLevel="1">
      <c r="A409" s="88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7"/>
      <c r="P409" s="7"/>
      <c r="Q409" s="7"/>
      <c r="R409" s="7"/>
      <c r="S409" s="7"/>
      <c r="T409" s="7"/>
      <c r="U409" s="7"/>
    </row>
    <row r="410" spans="1:21" outlineLevel="1">
      <c r="A410" s="88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7"/>
      <c r="P410" s="7"/>
      <c r="Q410" s="7"/>
      <c r="R410" s="7"/>
      <c r="S410" s="7"/>
      <c r="T410" s="7"/>
      <c r="U410" s="7"/>
    </row>
    <row r="411" spans="1:21" outlineLevel="1">
      <c r="A411" s="59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7"/>
      <c r="P411" s="7"/>
      <c r="Q411" s="7"/>
      <c r="R411" s="7"/>
      <c r="S411" s="7"/>
      <c r="T411" s="7"/>
      <c r="U411" s="7"/>
    </row>
    <row r="412" spans="1:21" outlineLevel="1">
      <c r="A412" s="7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7"/>
      <c r="P412" s="7"/>
      <c r="Q412" s="7"/>
      <c r="R412" s="7"/>
      <c r="S412" s="7"/>
      <c r="T412" s="7"/>
      <c r="U412" s="7"/>
    </row>
    <row r="413" spans="1:21" outlineLevel="1">
      <c r="A413" s="88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7"/>
      <c r="P413" s="7"/>
      <c r="Q413" s="7"/>
      <c r="R413" s="7"/>
      <c r="S413" s="7"/>
      <c r="T413" s="7"/>
      <c r="U413" s="7"/>
    </row>
    <row r="414" spans="1:21" outlineLevel="1">
      <c r="A414" s="59"/>
      <c r="B414" s="103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7"/>
      <c r="P414" s="7"/>
      <c r="Q414" s="7"/>
      <c r="R414" s="7"/>
      <c r="S414" s="7"/>
      <c r="T414" s="7"/>
      <c r="U414" s="7"/>
    </row>
    <row r="415" spans="1:21" outlineLevel="1">
      <c r="A415" s="88"/>
      <c r="B415" s="103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7"/>
      <c r="P415" s="7"/>
      <c r="Q415" s="7"/>
      <c r="R415" s="7"/>
      <c r="S415" s="7"/>
      <c r="T415" s="7"/>
      <c r="U415" s="7"/>
    </row>
    <row r="416" spans="1:21" outlineLevel="1">
      <c r="A416" s="59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7"/>
      <c r="P416" s="7"/>
      <c r="Q416" s="7"/>
      <c r="R416" s="7"/>
      <c r="S416" s="7"/>
      <c r="T416" s="7"/>
      <c r="U416" s="7"/>
    </row>
    <row r="417" spans="1:21" outlineLevel="1">
      <c r="A417" s="59"/>
      <c r="B417" s="103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7"/>
      <c r="P417" s="7"/>
      <c r="Q417" s="7"/>
      <c r="R417" s="7"/>
      <c r="S417" s="7"/>
      <c r="T417" s="7"/>
      <c r="U417" s="7"/>
    </row>
    <row r="418" spans="1:21" outlineLevel="1">
      <c r="A418" s="59"/>
      <c r="B418" s="103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7"/>
      <c r="P418" s="7"/>
      <c r="Q418" s="7"/>
      <c r="R418" s="7"/>
      <c r="S418" s="7"/>
      <c r="T418" s="7"/>
      <c r="U418" s="7"/>
    </row>
    <row r="419" spans="1:21" outlineLevel="1">
      <c r="A419" s="59"/>
      <c r="B419" s="103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7"/>
      <c r="P419" s="7"/>
      <c r="Q419" s="7"/>
      <c r="R419" s="7"/>
      <c r="S419" s="7"/>
      <c r="T419" s="7"/>
      <c r="U419" s="7"/>
    </row>
    <row r="420" spans="1:21" outlineLevel="1">
      <c r="A420" s="59"/>
      <c r="B420" s="103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7"/>
      <c r="P420" s="7"/>
      <c r="Q420" s="7"/>
      <c r="R420" s="7"/>
      <c r="S420" s="7"/>
      <c r="T420" s="7"/>
      <c r="U420" s="7"/>
    </row>
    <row r="421" spans="1:21" outlineLevel="1">
      <c r="A421" s="59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7"/>
      <c r="P421" s="7"/>
      <c r="Q421" s="7"/>
      <c r="R421" s="7"/>
      <c r="S421" s="7"/>
      <c r="T421" s="7"/>
      <c r="U421" s="7"/>
    </row>
    <row r="422" spans="1:21" outlineLevel="1">
      <c r="A422" s="59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7"/>
      <c r="P422" s="7"/>
      <c r="Q422" s="7"/>
      <c r="R422" s="7"/>
      <c r="S422" s="7"/>
      <c r="T422" s="7"/>
      <c r="U422" s="7"/>
    </row>
    <row r="423" spans="1:21" outlineLevel="1">
      <c r="A423" s="59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7"/>
      <c r="P423" s="7"/>
      <c r="Q423" s="7"/>
      <c r="R423" s="7"/>
      <c r="S423" s="7"/>
      <c r="T423" s="7"/>
      <c r="U423" s="7"/>
    </row>
    <row r="424" spans="1:21" outlineLevel="1">
      <c r="A424" s="7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</row>
    <row r="425" spans="1:21" outlineLevel="1">
      <c r="A425" s="7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</row>
    <row r="426" spans="1:21" outlineLevel="1">
      <c r="A426" s="7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</row>
    <row r="427" spans="1:21" outlineLevel="1">
      <c r="A427" s="7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</row>
    <row r="428" spans="1:21" outlineLevel="1">
      <c r="A428" s="7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</row>
    <row r="429" spans="1:21" outlineLevel="1">
      <c r="A429" s="7"/>
      <c r="B429" s="103"/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</row>
    <row r="430" spans="1:21" outlineLevel="1">
      <c r="A430" s="59"/>
      <c r="B430" s="103"/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</row>
    <row r="431" spans="1:21" outlineLevel="1">
      <c r="A431" s="7"/>
      <c r="B431" s="103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</row>
    <row r="432" spans="1:21" outlineLevel="1">
      <c r="A432" s="7"/>
      <c r="B432" s="103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</row>
    <row r="433" spans="1:21" outlineLevel="1">
      <c r="A433" s="59"/>
      <c r="B433" s="103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</row>
    <row r="434" spans="1:21" outlineLevel="1">
      <c r="A434" s="59"/>
      <c r="B434" s="103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</row>
    <row r="435" spans="1:21" outlineLevel="1">
      <c r="A435" s="7"/>
      <c r="B435" s="103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</row>
    <row r="436" spans="1:21" outlineLevel="1">
      <c r="A436" s="7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</row>
    <row r="437" spans="1:21" outlineLevel="1">
      <c r="A437" s="7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</row>
    <row r="438" spans="1:21" outlineLevel="1">
      <c r="A438" s="7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</row>
    <row r="439" spans="1:21" outlineLevel="1">
      <c r="A439" s="7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</row>
    <row r="440" spans="1:21" outlineLevel="1">
      <c r="A440" s="7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</row>
    <row r="441" spans="1:21" outlineLevel="1">
      <c r="A441" s="7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</row>
    <row r="442" spans="1:21" outlineLevel="1">
      <c r="A442" s="7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7"/>
      <c r="P442" s="7"/>
      <c r="Q442" s="7"/>
      <c r="R442" s="7"/>
      <c r="S442" s="7"/>
      <c r="T442" s="7"/>
      <c r="U442" s="7"/>
    </row>
    <row r="443" spans="1:21" outlineLevel="1">
      <c r="A443" s="59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7"/>
      <c r="P443" s="7"/>
      <c r="Q443" s="7"/>
      <c r="R443" s="7"/>
      <c r="S443" s="7"/>
      <c r="T443" s="7"/>
      <c r="U443" s="7"/>
    </row>
    <row r="444" spans="1:21" outlineLevel="1">
      <c r="A444" s="59"/>
      <c r="B444" s="103"/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7"/>
      <c r="P444" s="7"/>
      <c r="Q444" s="7"/>
      <c r="R444" s="7"/>
      <c r="S444" s="7"/>
      <c r="T444" s="7"/>
      <c r="U444" s="7"/>
    </row>
    <row r="445" spans="1:21" outlineLevel="1">
      <c r="A445" s="59"/>
      <c r="B445" s="103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7"/>
      <c r="P445" s="7"/>
      <c r="Q445" s="7"/>
      <c r="R445" s="7"/>
      <c r="S445" s="7"/>
      <c r="T445" s="7"/>
      <c r="U445" s="7"/>
    </row>
    <row r="446" spans="1:21" outlineLevel="1">
      <c r="A446" s="59"/>
      <c r="B446" s="103"/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7"/>
      <c r="P446" s="7"/>
      <c r="Q446" s="7"/>
      <c r="R446" s="7"/>
      <c r="S446" s="7"/>
      <c r="T446" s="7"/>
      <c r="U446" s="7"/>
    </row>
    <row r="447" spans="1:21" outlineLevel="1">
      <c r="A447" s="59"/>
      <c r="B447" s="104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7"/>
      <c r="P447" s="7"/>
      <c r="Q447" s="7"/>
      <c r="R447" s="7"/>
      <c r="S447" s="7"/>
      <c r="T447" s="7"/>
      <c r="U447" s="7"/>
    </row>
    <row r="448" spans="1:21" outlineLevel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 ht="18.75" outlineLevel="1">
      <c r="A449" s="86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outlineLevel="1">
      <c r="A450" s="59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outlineLevel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outlineLevel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outlineLevel="1">
      <c r="A453" s="2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</row>
    <row r="454" spans="1:21" outlineLevel="1">
      <c r="A454" s="7"/>
      <c r="B454" s="7"/>
      <c r="C454" s="75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 outlineLevel="1">
      <c r="A455" s="59"/>
      <c r="B455" s="7"/>
      <c r="C455" s="75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7"/>
      <c r="P455" s="7"/>
      <c r="Q455" s="7"/>
      <c r="R455" s="7"/>
      <c r="S455" s="7"/>
      <c r="T455" s="7"/>
      <c r="U455" s="7"/>
    </row>
    <row r="456" spans="1:21" outlineLevel="1">
      <c r="A456" s="7"/>
      <c r="B456" s="7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"/>
      <c r="P456" s="7"/>
      <c r="Q456" s="7"/>
      <c r="R456" s="7"/>
      <c r="S456" s="7"/>
      <c r="T456" s="7"/>
      <c r="U456" s="7"/>
    </row>
    <row r="457" spans="1:21" outlineLevel="1">
      <c r="A457" s="7"/>
      <c r="B457" s="7"/>
      <c r="C457" s="75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7"/>
      <c r="P457" s="7"/>
      <c r="Q457" s="7"/>
      <c r="R457" s="7"/>
      <c r="S457" s="7"/>
      <c r="T457" s="7"/>
      <c r="U457" s="7"/>
    </row>
    <row r="458" spans="1:21" outlineLevel="1">
      <c r="A458" s="7"/>
      <c r="B458" s="7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"/>
      <c r="P458" s="7"/>
      <c r="Q458" s="7"/>
      <c r="R458" s="7"/>
      <c r="S458" s="7"/>
      <c r="T458" s="7"/>
      <c r="U458" s="7"/>
    </row>
    <row r="459" spans="1:21" outlineLevel="1">
      <c r="A459" s="7"/>
      <c r="B459" s="7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"/>
      <c r="P459" s="7"/>
      <c r="Q459" s="7"/>
      <c r="R459" s="7"/>
      <c r="S459" s="7"/>
      <c r="T459" s="7"/>
      <c r="U459" s="7"/>
    </row>
    <row r="460" spans="1:21" outlineLevel="1">
      <c r="A460" s="96"/>
      <c r="B460" s="7"/>
      <c r="C460" s="75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7"/>
      <c r="P460" s="7"/>
      <c r="Q460" s="7"/>
      <c r="R460" s="7"/>
      <c r="S460" s="7"/>
      <c r="T460" s="7"/>
      <c r="U460" s="7"/>
    </row>
    <row r="461" spans="1:21" outlineLevel="1">
      <c r="A461" s="96"/>
      <c r="B461" s="7"/>
      <c r="C461" s="75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7"/>
      <c r="P461" s="7"/>
      <c r="Q461" s="7"/>
      <c r="R461" s="7"/>
      <c r="S461" s="7"/>
      <c r="T461" s="7"/>
      <c r="U461" s="7"/>
    </row>
    <row r="462" spans="1:21" outlineLevel="1">
      <c r="A462" s="59"/>
      <c r="B462" s="7"/>
      <c r="C462" s="75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outlineLevel="1">
      <c r="A463" s="7"/>
      <c r="B463" s="104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7"/>
      <c r="P463" s="7"/>
      <c r="Q463" s="7"/>
      <c r="R463" s="7"/>
      <c r="S463" s="7"/>
      <c r="T463" s="7"/>
      <c r="U463" s="7"/>
    </row>
    <row r="464" spans="1:21" outlineLevel="1">
      <c r="A464" s="7"/>
      <c r="B464" s="7"/>
      <c r="C464" s="75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outlineLevel="1">
      <c r="A465" s="59"/>
      <c r="B465" s="7"/>
      <c r="C465" s="75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7"/>
      <c r="P465" s="7"/>
      <c r="Q465" s="7"/>
      <c r="R465" s="7"/>
      <c r="S465" s="7"/>
      <c r="T465" s="7"/>
      <c r="U465" s="7"/>
    </row>
    <row r="466" spans="1:21" outlineLevel="1">
      <c r="A466" s="7"/>
      <c r="B466" s="7"/>
      <c r="C466" s="75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7"/>
      <c r="P466" s="7"/>
      <c r="Q466" s="7"/>
      <c r="R466" s="7"/>
      <c r="S466" s="7"/>
      <c r="T466" s="7"/>
      <c r="U466" s="7"/>
    </row>
    <row r="467" spans="1:21" outlineLevel="1">
      <c r="A467" s="59"/>
      <c r="B467" s="7"/>
      <c r="C467" s="75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7"/>
      <c r="P467" s="7"/>
      <c r="Q467" s="7"/>
      <c r="R467" s="7"/>
      <c r="S467" s="7"/>
      <c r="T467" s="7"/>
      <c r="U467" s="7"/>
    </row>
    <row r="468" spans="1:21" outlineLevel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 outlineLevel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1:21" s="108" customFormat="1" ht="18.75" outlineLevel="1">
      <c r="A470" s="106"/>
      <c r="B470" s="107"/>
      <c r="C470" s="107"/>
    </row>
    <row r="471" spans="1:21" s="108" customFormat="1" outlineLevel="1">
      <c r="A471" s="107"/>
      <c r="B471" s="109"/>
      <c r="C471" s="110"/>
      <c r="D471" s="107"/>
      <c r="E471" s="111"/>
    </row>
    <row r="472" spans="1:21" s="108" customFormat="1" outlineLevel="1">
      <c r="A472" s="107"/>
      <c r="B472" s="112"/>
      <c r="C472" s="90"/>
      <c r="D472" s="90"/>
      <c r="E472" s="111"/>
    </row>
    <row r="473" spans="1:21" s="108" customFormat="1" outlineLevel="1">
      <c r="A473" s="107"/>
      <c r="B473" s="90"/>
      <c r="C473" s="111"/>
      <c r="D473" s="90"/>
      <c r="E473" s="112"/>
    </row>
    <row r="474" spans="1:21" s="108" customFormat="1" outlineLevel="1">
      <c r="A474" s="113"/>
      <c r="B474" s="109"/>
      <c r="C474" s="109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</row>
    <row r="475" spans="1:21" s="108" customFormat="1" outlineLevel="1">
      <c r="A475" s="82"/>
      <c r="B475" s="107"/>
      <c r="C475" s="114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</row>
    <row r="476" spans="1:21" s="108" customFormat="1" outlineLevel="1">
      <c r="A476" s="81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</row>
    <row r="477" spans="1:21" s="108" customFormat="1" outlineLevel="1">
      <c r="A477" s="81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</row>
    <row r="478" spans="1:21" s="108" customFormat="1" outlineLevel="1">
      <c r="A478" s="81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</row>
    <row r="479" spans="1:21" s="108" customFormat="1" outlineLevel="1">
      <c r="A479" s="80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</row>
    <row r="480" spans="1:21" s="108" customFormat="1" outlineLevel="1">
      <c r="A480" s="71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</row>
    <row r="481" spans="1:21" s="108" customFormat="1" outlineLevel="1">
      <c r="A481" s="82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</row>
    <row r="482" spans="1:21" s="108" customFormat="1" outlineLevel="1">
      <c r="A482" s="115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</row>
    <row r="483" spans="1:21" s="108" customFormat="1" outlineLevel="1">
      <c r="A483" s="115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</row>
    <row r="484" spans="1:21" s="108" customFormat="1" outlineLevel="1">
      <c r="A484" s="115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</row>
    <row r="485" spans="1:21" s="108" customFormat="1" outlineLevel="1">
      <c r="A485" s="115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</row>
    <row r="486" spans="1:21" s="108" customFormat="1" outlineLevel="1">
      <c r="A486" s="115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</row>
    <row r="487" spans="1:21" s="108" customFormat="1" outlineLevel="1">
      <c r="A487" s="85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</row>
    <row r="488" spans="1:21" s="108" customFormat="1" outlineLevel="1">
      <c r="A488" s="115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</row>
    <row r="489" spans="1:21" s="108" customFormat="1" outlineLevel="1">
      <c r="A489" s="115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</row>
    <row r="490" spans="1:21" s="108" customFormat="1" outlineLevel="1">
      <c r="A490" s="115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</row>
    <row r="491" spans="1:21" s="108" customFormat="1" outlineLevel="1">
      <c r="A491" s="115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</row>
    <row r="492" spans="1:21" s="108" customFormat="1" outlineLevel="1">
      <c r="A492" s="115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</row>
    <row r="493" spans="1:21" s="108" customFormat="1" outlineLevel="1">
      <c r="A493" s="82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</row>
    <row r="494" spans="1:21" s="108" customFormat="1" outlineLevel="1">
      <c r="A494" s="82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</row>
    <row r="495" spans="1:21" s="108" customFormat="1" outlineLevel="1">
      <c r="A495" s="82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</row>
    <row r="496" spans="1:21" s="108" customFormat="1" outlineLevel="1">
      <c r="A496" s="82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</row>
    <row r="497" spans="1:21" s="108" customFormat="1" outlineLevel="1">
      <c r="A497" s="81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</row>
    <row r="498" spans="1:21" s="108" customFormat="1" outlineLevel="1">
      <c r="A498" s="81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</row>
    <row r="499" spans="1:21" s="108" customFormat="1" outlineLevel="1">
      <c r="A499" s="82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</row>
    <row r="500" spans="1:21" s="108" customFormat="1" outlineLevel="1">
      <c r="A500" s="84"/>
      <c r="B500" s="116"/>
      <c r="C500" s="116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</row>
    <row r="501" spans="1:21" s="108" customFormat="1" outlineLevel="1">
      <c r="A501" s="81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</row>
    <row r="502" spans="1:21" s="108" customFormat="1" ht="13.9" customHeight="1" outlineLevel="1">
      <c r="A502" s="80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</row>
    <row r="503" spans="1:21" s="118" customFormat="1" outlineLevel="1">
      <c r="A503" s="117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</row>
    <row r="504" spans="1:21" s="108" customFormat="1" outlineLevel="1">
      <c r="A504" s="80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</row>
    <row r="505" spans="1:21" s="108" customFormat="1" outlineLevel="1">
      <c r="A505" s="81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</row>
    <row r="506" spans="1:21" s="108" customFormat="1" outlineLevel="1">
      <c r="A506" s="81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</row>
    <row r="507" spans="1:21" s="108" customFormat="1" outlineLevel="1">
      <c r="A507" s="81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</row>
    <row r="508" spans="1:21" s="108" customFormat="1" outlineLevel="1">
      <c r="A508" s="81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</row>
    <row r="509" spans="1:21" s="108" customFormat="1" outlineLevel="1">
      <c r="A509" s="82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</row>
    <row r="510" spans="1:21" s="118" customFormat="1" outlineLevel="1">
      <c r="A510" s="119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</row>
    <row r="511" spans="1:21" s="108" customFormat="1" outlineLevel="1">
      <c r="A511" s="81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</row>
    <row r="512" spans="1:21" s="108" customFormat="1" outlineLevel="1">
      <c r="A512" s="84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</row>
    <row r="513" spans="1:21" s="108" customFormat="1" outlineLevel="1">
      <c r="A513" s="84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</row>
    <row r="514" spans="1:21" s="108" customFormat="1" outlineLevel="1">
      <c r="A514" s="84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</row>
    <row r="515" spans="1:21" s="108" customFormat="1" outlineLevel="1">
      <c r="A515" s="81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</row>
    <row r="516" spans="1:21" s="118" customFormat="1" outlineLevel="1">
      <c r="A516" s="117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</row>
    <row r="517" spans="1:21" s="108" customFormat="1" outlineLevel="1">
      <c r="A517" s="81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</row>
    <row r="518" spans="1:21" s="108" customFormat="1" outlineLevel="1">
      <c r="A518" s="84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</row>
    <row r="519" spans="1:21" s="108" customFormat="1" outlineLevel="1">
      <c r="A519" s="80"/>
      <c r="B519" s="114"/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</row>
    <row r="520" spans="1:21" s="118" customFormat="1" outlineLevel="1">
      <c r="A520" s="119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</row>
    <row r="521" spans="1:21" s="108" customFormat="1" outlineLevel="1">
      <c r="A521" s="82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</row>
    <row r="522" spans="1:21" s="118" customFormat="1" outlineLevel="1">
      <c r="A522" s="119"/>
      <c r="B522" s="114"/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</row>
    <row r="523" spans="1:21" s="108" customFormat="1" outlineLevel="1">
      <c r="A523" s="82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</row>
    <row r="524" spans="1:21" s="108" customFormat="1" outlineLevel="1">
      <c r="A524" s="82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</row>
    <row r="525" spans="1:21" s="108" customFormat="1" outlineLevel="1">
      <c r="A525" s="82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</row>
    <row r="526" spans="1:21" outlineLevel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outlineLevel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outlineLevel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t="18.75" outlineLevel="1">
      <c r="A529" s="8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outlineLevel="1">
      <c r="A530" s="59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outlineLevel="1">
      <c r="A531" s="120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7"/>
      <c r="N531" s="7"/>
      <c r="O531" s="7"/>
      <c r="P531" s="7"/>
      <c r="Q531" s="7"/>
      <c r="R531" s="7"/>
      <c r="S531" s="7"/>
      <c r="T531" s="7"/>
      <c r="U531" s="7"/>
    </row>
    <row r="532" spans="1:21" outlineLevel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outlineLevel="1">
      <c r="A533" s="2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7"/>
      <c r="N533" s="7"/>
      <c r="O533" s="7"/>
      <c r="P533" s="7"/>
      <c r="Q533" s="7"/>
      <c r="R533" s="7"/>
      <c r="S533" s="7"/>
      <c r="T533" s="7"/>
      <c r="U533" s="7"/>
    </row>
    <row r="534" spans="1:21" outlineLevel="2">
      <c r="A534" s="59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outlineLevel="2">
      <c r="A535" s="88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7"/>
      <c r="N535" s="7"/>
      <c r="O535" s="7"/>
      <c r="P535" s="7"/>
      <c r="Q535" s="7"/>
      <c r="R535" s="7"/>
      <c r="S535" s="7"/>
      <c r="T535" s="7"/>
      <c r="U535" s="7"/>
    </row>
    <row r="536" spans="1:21" outlineLevel="2">
      <c r="A536" s="88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7"/>
      <c r="N536" s="7"/>
      <c r="O536" s="7"/>
      <c r="P536" s="7"/>
      <c r="Q536" s="7"/>
      <c r="R536" s="7"/>
      <c r="S536" s="7"/>
      <c r="T536" s="7"/>
      <c r="U536" s="7"/>
    </row>
    <row r="537" spans="1:21" outlineLevel="2">
      <c r="A537" s="121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7"/>
      <c r="N537" s="7"/>
      <c r="O537" s="7"/>
      <c r="P537" s="7"/>
      <c r="Q537" s="7"/>
      <c r="R537" s="7"/>
      <c r="S537" s="7"/>
      <c r="T537" s="7"/>
      <c r="U537" s="7"/>
    </row>
    <row r="538" spans="1:21" outlineLevel="2">
      <c r="A538" s="88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7"/>
      <c r="N538" s="7"/>
      <c r="O538" s="7"/>
      <c r="P538" s="7"/>
      <c r="Q538" s="7"/>
      <c r="R538" s="7"/>
      <c r="S538" s="7"/>
      <c r="T538" s="7"/>
      <c r="U538" s="7"/>
    </row>
    <row r="539" spans="1:21" outlineLevel="2">
      <c r="A539" s="7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7"/>
      <c r="N539" s="7"/>
      <c r="O539" s="7"/>
      <c r="P539" s="7"/>
      <c r="Q539" s="7"/>
      <c r="R539" s="7"/>
      <c r="S539" s="7"/>
      <c r="T539" s="7"/>
      <c r="U539" s="7"/>
    </row>
    <row r="540" spans="1:21" outlineLevel="2">
      <c r="A540" s="5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7"/>
      <c r="N540" s="7"/>
      <c r="O540" s="7"/>
      <c r="P540" s="7"/>
      <c r="Q540" s="7"/>
      <c r="R540" s="7"/>
      <c r="S540" s="7"/>
      <c r="T540" s="7"/>
      <c r="U540" s="7"/>
    </row>
    <row r="541" spans="1:21" outlineLevel="2">
      <c r="A541" s="88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7"/>
      <c r="N541" s="7"/>
      <c r="O541" s="7"/>
      <c r="P541" s="7"/>
      <c r="Q541" s="7"/>
      <c r="R541" s="7"/>
      <c r="S541" s="7"/>
      <c r="T541" s="7"/>
      <c r="U541" s="7"/>
    </row>
    <row r="542" spans="1:21" outlineLevel="2">
      <c r="A542" s="88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7"/>
      <c r="N542" s="7"/>
      <c r="O542" s="7"/>
      <c r="P542" s="7"/>
      <c r="Q542" s="7"/>
      <c r="R542" s="7"/>
      <c r="S542" s="7"/>
      <c r="T542" s="7"/>
      <c r="U542" s="7"/>
    </row>
    <row r="543" spans="1:21" outlineLevel="2">
      <c r="A543" s="88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7"/>
      <c r="N543" s="7"/>
      <c r="O543" s="7"/>
      <c r="P543" s="7"/>
      <c r="Q543" s="7"/>
      <c r="R543" s="7"/>
      <c r="S543" s="7"/>
      <c r="T543" s="7"/>
      <c r="U543" s="7"/>
    </row>
    <row r="544" spans="1:21" outlineLevel="2">
      <c r="A544" s="88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7"/>
      <c r="N544" s="7"/>
      <c r="O544" s="7"/>
      <c r="P544" s="7"/>
      <c r="Q544" s="7"/>
      <c r="R544" s="7"/>
      <c r="S544" s="7"/>
      <c r="T544" s="7"/>
      <c r="U544" s="7"/>
    </row>
    <row r="545" spans="1:21" outlineLevel="2">
      <c r="A545" s="88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7"/>
      <c r="N545" s="7"/>
      <c r="O545" s="7"/>
      <c r="P545" s="7"/>
      <c r="Q545" s="7"/>
      <c r="R545" s="7"/>
      <c r="S545" s="7"/>
      <c r="T545" s="7"/>
      <c r="U545" s="7"/>
    </row>
    <row r="546" spans="1:21" outlineLevel="2">
      <c r="A546" s="88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7"/>
      <c r="N546" s="7"/>
      <c r="O546" s="7"/>
      <c r="P546" s="7"/>
      <c r="Q546" s="7"/>
      <c r="R546" s="7"/>
      <c r="S546" s="7"/>
      <c r="T546" s="7"/>
      <c r="U546" s="7"/>
    </row>
    <row r="547" spans="1:21" outlineLevel="2">
      <c r="A547" s="88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7"/>
      <c r="N547" s="7"/>
      <c r="O547" s="7"/>
      <c r="P547" s="7"/>
      <c r="Q547" s="7"/>
      <c r="R547" s="7"/>
      <c r="S547" s="7"/>
      <c r="T547" s="7"/>
      <c r="U547" s="7"/>
    </row>
    <row r="548" spans="1:21" outlineLevel="2">
      <c r="A548" s="88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7"/>
      <c r="N548" s="7"/>
      <c r="O548" s="7"/>
      <c r="P548" s="7"/>
      <c r="Q548" s="7"/>
      <c r="R548" s="7"/>
      <c r="S548" s="7"/>
      <c r="T548" s="7"/>
      <c r="U548" s="7"/>
    </row>
    <row r="549" spans="1:21" outlineLevel="2">
      <c r="A549" s="88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7"/>
      <c r="N549" s="7"/>
      <c r="O549" s="7"/>
      <c r="P549" s="7"/>
      <c r="Q549" s="7"/>
      <c r="R549" s="7"/>
      <c r="S549" s="7"/>
      <c r="T549" s="7"/>
      <c r="U549" s="7"/>
    </row>
    <row r="550" spans="1:21" outlineLevel="2">
      <c r="A550" s="88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7"/>
      <c r="N550" s="7"/>
      <c r="O550" s="7"/>
      <c r="P550" s="7"/>
      <c r="Q550" s="7"/>
      <c r="R550" s="7"/>
      <c r="S550" s="7"/>
      <c r="T550" s="7"/>
      <c r="U550" s="7"/>
    </row>
    <row r="551" spans="1:21" outlineLevel="2">
      <c r="A551" s="7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7"/>
      <c r="N551" s="7"/>
      <c r="O551" s="7"/>
      <c r="P551" s="7"/>
      <c r="Q551" s="7"/>
      <c r="R551" s="7"/>
      <c r="S551" s="7"/>
      <c r="T551" s="7"/>
      <c r="U551" s="7"/>
    </row>
    <row r="552" spans="1:21" outlineLevel="2">
      <c r="A552" s="7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7"/>
      <c r="N552" s="7"/>
      <c r="O552" s="7"/>
      <c r="P552" s="7"/>
      <c r="Q552" s="7"/>
      <c r="R552" s="7"/>
      <c r="S552" s="7"/>
      <c r="T552" s="7"/>
      <c r="U552" s="7"/>
    </row>
    <row r="553" spans="1:21" outlineLevel="2">
      <c r="A553" s="7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7"/>
      <c r="N553" s="7"/>
      <c r="O553" s="7"/>
      <c r="P553" s="7"/>
      <c r="Q553" s="7"/>
      <c r="R553" s="7"/>
      <c r="S553" s="7"/>
      <c r="T553" s="7"/>
      <c r="U553" s="7"/>
    </row>
    <row r="554" spans="1:21" outlineLevel="2">
      <c r="A554" s="88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7"/>
      <c r="N554" s="7"/>
      <c r="O554" s="7"/>
      <c r="P554" s="7"/>
      <c r="Q554" s="7"/>
      <c r="R554" s="7"/>
      <c r="S554" s="7"/>
      <c r="T554" s="7"/>
      <c r="U554" s="7"/>
    </row>
    <row r="555" spans="1:21" outlineLevel="2">
      <c r="A555" s="7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7"/>
      <c r="N555" s="7"/>
      <c r="O555" s="7"/>
      <c r="P555" s="7"/>
      <c r="Q555" s="7"/>
      <c r="R555" s="7"/>
      <c r="S555" s="7"/>
      <c r="T555" s="7"/>
      <c r="U555" s="7"/>
    </row>
    <row r="556" spans="1:21" outlineLevel="2">
      <c r="A556" s="7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7"/>
      <c r="N556" s="7"/>
      <c r="O556" s="7"/>
      <c r="P556" s="7"/>
      <c r="Q556" s="7"/>
      <c r="R556" s="7"/>
      <c r="S556" s="7"/>
      <c r="T556" s="7"/>
      <c r="U556" s="7"/>
    </row>
    <row r="557" spans="1:21" outlineLevel="2">
      <c r="A557" s="5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7"/>
      <c r="N557" s="7"/>
      <c r="O557" s="7"/>
      <c r="P557" s="7"/>
      <c r="Q557" s="7"/>
      <c r="R557" s="7"/>
      <c r="S557" s="7"/>
      <c r="T557" s="7"/>
      <c r="U557" s="7"/>
    </row>
    <row r="558" spans="1:21" outlineLevel="2">
      <c r="A558" s="88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7"/>
      <c r="N558" s="7"/>
      <c r="O558" s="7"/>
      <c r="P558" s="7"/>
      <c r="Q558" s="7"/>
      <c r="R558" s="7"/>
      <c r="S558" s="7"/>
      <c r="T558" s="7"/>
      <c r="U558" s="7"/>
    </row>
    <row r="559" spans="1:21" outlineLevel="1">
      <c r="A559" s="5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7"/>
      <c r="N559" s="7"/>
      <c r="O559" s="7"/>
      <c r="P559" s="7"/>
      <c r="Q559" s="7"/>
      <c r="R559" s="7"/>
      <c r="S559" s="7"/>
      <c r="T559" s="7"/>
      <c r="U559" s="7"/>
    </row>
    <row r="560" spans="1:21" outlineLevel="1">
      <c r="A560" s="5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7"/>
      <c r="N560" s="7"/>
      <c r="O560" s="7"/>
      <c r="P560" s="7"/>
      <c r="Q560" s="7"/>
      <c r="R560" s="7"/>
      <c r="S560" s="7"/>
      <c r="T560" s="7"/>
      <c r="U560" s="7"/>
    </row>
    <row r="561" spans="1:21" outlineLevel="1">
      <c r="A561" s="5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7"/>
      <c r="N561" s="7"/>
      <c r="O561" s="7"/>
      <c r="P561" s="7"/>
      <c r="Q561" s="7"/>
      <c r="R561" s="7"/>
      <c r="S561" s="7"/>
      <c r="T561" s="7"/>
      <c r="U561" s="7"/>
    </row>
    <row r="562" spans="1:21" outlineLevel="1">
      <c r="A562" s="7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7"/>
      <c r="N562" s="7"/>
      <c r="O562" s="7"/>
      <c r="P562" s="7"/>
      <c r="Q562" s="7"/>
      <c r="R562" s="7"/>
      <c r="S562" s="7"/>
      <c r="T562" s="7"/>
      <c r="U562" s="7"/>
    </row>
    <row r="563" spans="1:21" outlineLevel="1">
      <c r="A563" s="7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7"/>
      <c r="N563" s="7"/>
      <c r="O563" s="7"/>
      <c r="P563" s="7"/>
      <c r="Q563" s="7"/>
      <c r="R563" s="7"/>
      <c r="S563" s="7"/>
      <c r="T563" s="7"/>
      <c r="U563" s="7"/>
    </row>
    <row r="564" spans="1:21" outlineLevel="1">
      <c r="A564" s="5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7"/>
      <c r="N564" s="7"/>
      <c r="O564" s="7"/>
      <c r="P564" s="7"/>
      <c r="Q564" s="7"/>
      <c r="R564" s="7"/>
      <c r="S564" s="7"/>
      <c r="T564" s="7"/>
      <c r="U564" s="7"/>
    </row>
    <row r="565" spans="1:21" outlineLevel="1">
      <c r="A565" s="5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7"/>
      <c r="N565" s="7"/>
      <c r="O565" s="7"/>
      <c r="P565" s="7"/>
      <c r="Q565" s="7"/>
      <c r="R565" s="7"/>
      <c r="S565" s="7"/>
      <c r="T565" s="7"/>
      <c r="U565" s="7"/>
    </row>
    <row r="566" spans="1:21" outlineLevel="1">
      <c r="A566" s="5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7"/>
      <c r="N566" s="7"/>
      <c r="O566" s="7"/>
      <c r="P566" s="7"/>
      <c r="Q566" s="7"/>
      <c r="R566" s="7"/>
      <c r="S566" s="7"/>
      <c r="T566" s="7"/>
      <c r="U566" s="7"/>
    </row>
    <row r="567" spans="1:21" outlineLevel="1">
      <c r="A567" s="5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89"/>
      <c r="E568" s="89"/>
      <c r="F568" s="89"/>
      <c r="G568" s="89"/>
      <c r="H568" s="89"/>
      <c r="I568" s="89"/>
      <c r="J568" s="89"/>
      <c r="K568" s="89"/>
      <c r="L568" s="89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89"/>
      <c r="E569" s="89"/>
      <c r="F569" s="89"/>
      <c r="G569" s="89"/>
      <c r="H569" s="89"/>
      <c r="I569" s="89"/>
      <c r="J569" s="89"/>
      <c r="K569" s="89"/>
      <c r="L569" s="89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89"/>
      <c r="E570" s="89"/>
      <c r="F570" s="89"/>
      <c r="G570" s="89"/>
      <c r="H570" s="89"/>
      <c r="I570" s="89"/>
      <c r="J570" s="89"/>
      <c r="K570" s="89"/>
      <c r="L570" s="89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89"/>
      <c r="E571" s="89"/>
      <c r="F571" s="89"/>
      <c r="G571" s="89"/>
      <c r="H571" s="89"/>
      <c r="I571" s="89"/>
      <c r="J571" s="89"/>
      <c r="K571" s="89"/>
      <c r="L571" s="89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89"/>
      <c r="E572" s="89"/>
      <c r="F572" s="89"/>
      <c r="G572" s="89"/>
      <c r="H572" s="89"/>
      <c r="I572" s="89"/>
      <c r="J572" s="89"/>
      <c r="K572" s="89"/>
      <c r="L572" s="89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  <row r="741" s="7" customFormat="1"/>
    <row r="742" s="7" customFormat="1"/>
    <row r="743" s="7" customFormat="1"/>
    <row r="744" s="7" customFormat="1"/>
    <row r="745" s="7" customFormat="1"/>
    <row r="746" s="7" customFormat="1"/>
    <row r="747" s="7" customFormat="1"/>
    <row r="748" s="7" customFormat="1"/>
    <row r="749" s="7" customFormat="1"/>
    <row r="750" s="7" customFormat="1"/>
    <row r="751" s="7" customFormat="1"/>
    <row r="752" s="7" customFormat="1"/>
    <row r="753" s="7" customFormat="1"/>
    <row r="754" s="7" customFormat="1"/>
    <row r="755" s="7" customFormat="1"/>
    <row r="756" s="7" customFormat="1"/>
    <row r="757" s="7" customFormat="1"/>
    <row r="758" s="7" customFormat="1"/>
    <row r="759" s="7" customFormat="1"/>
    <row r="760" s="7" customFormat="1"/>
    <row r="761" s="7" customFormat="1"/>
    <row r="762" s="7" customFormat="1"/>
    <row r="763" s="7" customFormat="1"/>
    <row r="764" s="7" customFormat="1"/>
    <row r="765" s="7" customFormat="1"/>
    <row r="766" s="7" customFormat="1"/>
    <row r="767" s="7" customFormat="1"/>
    <row r="768" s="7" customFormat="1"/>
    <row r="769" s="7" customFormat="1"/>
    <row r="770" s="7" customFormat="1"/>
    <row r="771" s="7" customFormat="1"/>
    <row r="772" s="7" customFormat="1"/>
    <row r="773" s="7" customFormat="1"/>
    <row r="774" s="7" customFormat="1"/>
    <row r="775" s="7" customFormat="1"/>
    <row r="776" s="7" customFormat="1"/>
    <row r="777" s="7" customFormat="1"/>
    <row r="778" s="7" customFormat="1"/>
    <row r="779" s="7" customFormat="1"/>
    <row r="780" s="7" customFormat="1"/>
    <row r="781" s="7" customFormat="1"/>
  </sheetData>
  <pageMargins left="0.18" right="0.17" top="0.37" bottom="0.4" header="0.17" footer="0.21"/>
  <pageSetup scale="54" orientation="landscape" r:id="rId1"/>
  <headerFooter alignWithMargins="0">
    <oddHeader>&amp;L&amp;12Enron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2:BC772"/>
  <sheetViews>
    <sheetView zoomScale="75" zoomScaleNormal="75" workbookViewId="0"/>
  </sheetViews>
  <sheetFormatPr defaultRowHeight="12.75" outlineLevelRow="2" outlineLevelCol="1"/>
  <cols>
    <col min="1" max="1" width="40.57031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2.28515625" style="7" bestFit="1" customWidth="1"/>
    <col min="24" max="16384" width="9.140625" style="7"/>
  </cols>
  <sheetData>
    <row r="2" spans="1:55" ht="18.75">
      <c r="A2" s="54" t="s">
        <v>209</v>
      </c>
      <c r="B2" s="413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</row>
    <row r="5" spans="1:55" ht="13.5" thickBot="1">
      <c r="A5" s="202" t="s">
        <v>83</v>
      </c>
      <c r="B5" s="8">
        <f>Brownsville!$B$5</f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  <c r="Y5" s="547">
        <f>SUM(Z5:AS5)-SUM(Z6:AS6)</f>
        <v>0</v>
      </c>
      <c r="Z5" s="548">
        <f>B11+B12</f>
        <v>1068.5992500000002</v>
      </c>
      <c r="AA5" s="548">
        <f>C11+C12</f>
        <v>1100.6572275000003</v>
      </c>
      <c r="AB5" s="548">
        <f>D11+D12</f>
        <v>1133.6769443250002</v>
      </c>
      <c r="AC5" s="548">
        <f t="shared" ref="AC5:AS5" si="1">E16</f>
        <v>898.69120981915501</v>
      </c>
      <c r="AD5" s="548">
        <f t="shared" si="1"/>
        <v>925.65194611372954</v>
      </c>
      <c r="AE5" s="548">
        <f t="shared" si="1"/>
        <v>953.42150449714154</v>
      </c>
      <c r="AF5" s="548">
        <f t="shared" si="1"/>
        <v>982.02414963205581</v>
      </c>
      <c r="AG5" s="548">
        <f t="shared" si="1"/>
        <v>1011.4848741210174</v>
      </c>
      <c r="AH5" s="548">
        <f t="shared" si="1"/>
        <v>1041.8294203446478</v>
      </c>
      <c r="AI5" s="548">
        <f t="shared" si="1"/>
        <v>1073.0843029549874</v>
      </c>
      <c r="AJ5" s="548">
        <f t="shared" si="1"/>
        <v>1105.2768320436371</v>
      </c>
      <c r="AK5" s="548">
        <f t="shared" si="1"/>
        <v>1138.4351370049458</v>
      </c>
      <c r="AL5" s="548">
        <f t="shared" si="1"/>
        <v>1172.5881911150941</v>
      </c>
      <c r="AM5" s="548">
        <f t="shared" si="1"/>
        <v>1207.7658368485472</v>
      </c>
      <c r="AN5" s="548">
        <f t="shared" si="1"/>
        <v>1243.9988119540037</v>
      </c>
      <c r="AO5" s="548">
        <f t="shared" si="1"/>
        <v>1281.3187763126234</v>
      </c>
      <c r="AP5" s="548">
        <f t="shared" si="1"/>
        <v>1319.7583396020025</v>
      </c>
      <c r="AQ5" s="548">
        <f t="shared" si="1"/>
        <v>1359.3510897900621</v>
      </c>
      <c r="AR5" s="548">
        <f t="shared" si="1"/>
        <v>1400.1316224837642</v>
      </c>
      <c r="AS5" s="548">
        <f t="shared" si="1"/>
        <v>1442.1355711582769</v>
      </c>
    </row>
    <row r="6" spans="1:55">
      <c r="A6" s="2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Y6" s="547">
        <v>0</v>
      </c>
      <c r="Z6" s="549">
        <f>B24+B25</f>
        <v>1068.5992500000002</v>
      </c>
      <c r="AA6" s="549">
        <f>C24+C25</f>
        <v>1100.6572275000003</v>
      </c>
      <c r="AB6" s="549">
        <f>D24+D25</f>
        <v>1133.6769443250002</v>
      </c>
      <c r="AC6" s="549">
        <f t="shared" ref="AC6:AS6" si="2">E24+1/3*E25</f>
        <v>898.69120981915501</v>
      </c>
      <c r="AD6" s="549">
        <f t="shared" si="2"/>
        <v>925.65194611372965</v>
      </c>
      <c r="AE6" s="549">
        <f t="shared" si="2"/>
        <v>953.42150449714154</v>
      </c>
      <c r="AF6" s="549">
        <f t="shared" si="2"/>
        <v>982.02414963205581</v>
      </c>
      <c r="AG6" s="549">
        <f t="shared" si="2"/>
        <v>1011.4848741210176</v>
      </c>
      <c r="AH6" s="549">
        <f t="shared" si="2"/>
        <v>1041.829420344648</v>
      </c>
      <c r="AI6" s="549">
        <f t="shared" si="2"/>
        <v>1073.0843029549876</v>
      </c>
      <c r="AJ6" s="549">
        <f t="shared" si="2"/>
        <v>1105.2768320436371</v>
      </c>
      <c r="AK6" s="549">
        <f t="shared" si="2"/>
        <v>1138.4351370049465</v>
      </c>
      <c r="AL6" s="549">
        <f t="shared" si="2"/>
        <v>1172.5881911150948</v>
      </c>
      <c r="AM6" s="549">
        <f t="shared" si="2"/>
        <v>1207.7658368485477</v>
      </c>
      <c r="AN6" s="549">
        <f t="shared" si="2"/>
        <v>1243.9988119540042</v>
      </c>
      <c r="AO6" s="549">
        <f t="shared" si="2"/>
        <v>1281.3187763126243</v>
      </c>
      <c r="AP6" s="549">
        <f t="shared" si="2"/>
        <v>1319.7583396020032</v>
      </c>
      <c r="AQ6" s="549">
        <f t="shared" si="2"/>
        <v>1359.3510897900633</v>
      </c>
      <c r="AR6" s="549">
        <f t="shared" si="2"/>
        <v>1400.1316224837651</v>
      </c>
      <c r="AS6" s="549">
        <f t="shared" si="2"/>
        <v>1442.135571158278</v>
      </c>
    </row>
    <row r="7" spans="1:55">
      <c r="A7" s="2"/>
      <c r="B7" s="477"/>
      <c r="C7" s="477"/>
      <c r="D7" s="477"/>
      <c r="E7" s="477"/>
      <c r="F7" s="477"/>
      <c r="G7" s="477"/>
      <c r="H7" s="477"/>
      <c r="I7" s="477"/>
      <c r="J7" s="477"/>
      <c r="K7" s="477"/>
      <c r="L7" s="477"/>
      <c r="M7" s="477"/>
      <c r="N7" s="477"/>
      <c r="O7" s="477"/>
      <c r="P7" s="477"/>
      <c r="Q7" s="477"/>
      <c r="R7" s="477"/>
      <c r="S7" s="477"/>
      <c r="T7" s="477"/>
      <c r="U7" s="477"/>
    </row>
    <row r="8" spans="1:55">
      <c r="A8" s="1" t="s">
        <v>84</v>
      </c>
      <c r="B8" s="478"/>
      <c r="C8" s="478"/>
      <c r="D8" s="478"/>
      <c r="E8" s="478"/>
      <c r="F8" s="478"/>
      <c r="G8" s="478"/>
      <c r="H8" s="478"/>
      <c r="I8" s="478"/>
      <c r="J8" s="478"/>
      <c r="K8" s="478"/>
      <c r="L8" s="478"/>
      <c r="M8" s="478"/>
      <c r="N8" s="478"/>
      <c r="O8" s="478"/>
      <c r="P8" s="478"/>
      <c r="Q8" s="478"/>
      <c r="R8" s="478"/>
      <c r="S8" s="478"/>
      <c r="T8" s="478"/>
      <c r="U8" s="478"/>
      <c r="V8" s="60"/>
      <c r="W8" s="60"/>
      <c r="X8" s="60"/>
    </row>
    <row r="9" spans="1:55">
      <c r="A9" s="385" t="s">
        <v>198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60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55">
      <c r="A10" s="3" t="s">
        <v>85</v>
      </c>
      <c r="B10" s="58">
        <f>'Power Price Assumption'!E32*12*Summary!$G$11</f>
        <v>24480</v>
      </c>
      <c r="C10" s="58">
        <f>'Power Price Assumption'!F32*12*Summary!$G$11</f>
        <v>24480</v>
      </c>
      <c r="D10" s="58">
        <f>'Power Price Assumption'!G32*12*Summary!$G$11</f>
        <v>24480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60"/>
      <c r="W10" s="93">
        <f>SUM(B10:U10)</f>
        <v>73440</v>
      </c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1:55">
      <c r="A11" s="3" t="s">
        <v>317</v>
      </c>
      <c r="B11" s="58">
        <f>Summary!G24*Summary!G26/1000*(1+Summary!$G$48)</f>
        <v>720.9742500000001</v>
      </c>
      <c r="C11" s="58">
        <f>B11*(1+Summary!$G$48)</f>
        <v>742.60347750000017</v>
      </c>
      <c r="D11" s="58">
        <f>C11*(1+Summary!$G$48)</f>
        <v>764.88158182500024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60"/>
      <c r="W11" s="93">
        <f>SUM(B11:U11)</f>
        <v>2228.4593093250005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1:55">
      <c r="A12" s="3" t="s">
        <v>213</v>
      </c>
      <c r="B12" s="129">
        <f>Summary!$G$25*Summary!$G$14*Summary!$G$9/1000*(1+Summary!$G$48)</f>
        <v>347.625</v>
      </c>
      <c r="C12" s="93">
        <f>B12*(1+Summary!$G$48)</f>
        <v>358.05375000000004</v>
      </c>
      <c r="D12" s="93">
        <f>C12*(1+Summary!$G$48)</f>
        <v>368.79536250000007</v>
      </c>
      <c r="E12" s="58"/>
      <c r="F12" s="58"/>
      <c r="G12" s="58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0"/>
      <c r="W12" s="93">
        <f>SUM(B12:U12)</f>
        <v>1074.4741125</v>
      </c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</row>
    <row r="13" spans="1:55">
      <c r="A13" s="1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60"/>
      <c r="W13" s="93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</row>
    <row r="14" spans="1:55">
      <c r="A14" s="385" t="s">
        <v>233</v>
      </c>
      <c r="W14" s="93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</row>
    <row r="15" spans="1:55" s="64" customFormat="1" ht="12" customHeight="1">
      <c r="A15" s="3" t="s">
        <v>85</v>
      </c>
      <c r="B15" s="21">
        <v>0</v>
      </c>
      <c r="C15" s="21">
        <v>0</v>
      </c>
      <c r="D15" s="21">
        <v>0</v>
      </c>
      <c r="E15" s="21">
        <f>'Power Price Assumption'!H32*Summary!$G$11*12*(1-Summary!$G$29)</f>
        <v>36284.670138555797</v>
      </c>
      <c r="F15" s="21">
        <f>'Power Price Assumption'!I32*Summary!$G$11*12*(1-Summary!$G$29)</f>
        <v>38110.839392239701</v>
      </c>
      <c r="G15" s="21">
        <f>'Power Price Assumption'!J32*Summary!$G$11*12*(1-Summary!$G$29)</f>
        <v>38621.032887329362</v>
      </c>
      <c r="H15" s="21">
        <f>'Power Price Assumption'!K32*Summary!$G$11*12*(1-Summary!$G$29)</f>
        <v>39062.325672943589</v>
      </c>
      <c r="I15" s="21">
        <f>'Power Price Assumption'!L32*Summary!$G$11*12*(1-Summary!$G$29)</f>
        <v>39562.506036735715</v>
      </c>
      <c r="J15" s="21">
        <f>'Power Price Assumption'!M32*Summary!$G$11*12*(1-Summary!$G$29)</f>
        <v>40126.725138108515</v>
      </c>
      <c r="K15" s="21">
        <f>'Power Price Assumption'!N32*Summary!$G$11*12*(1-Summary!$G$29)</f>
        <v>40617.931601006043</v>
      </c>
      <c r="L15" s="21">
        <f>'Power Price Assumption'!O32*Summary!$G$11*12*(1-Summary!$G$29)</f>
        <v>41396.085659046366</v>
      </c>
      <c r="M15" s="21">
        <f>'Power Price Assumption'!P32*Summary!$G$11*12*(1-Summary!$G$29)</f>
        <v>42184.372822128207</v>
      </c>
      <c r="N15" s="21">
        <f>'Power Price Assumption'!Q32*Summary!$G$11*12*(1-Summary!$G$29)</f>
        <v>42982.700737901825</v>
      </c>
      <c r="O15" s="21">
        <f>'Power Price Assumption'!R32*Summary!$G$11*12*(1-Summary!$G$29)</f>
        <v>43790.962393081922</v>
      </c>
      <c r="P15" s="21">
        <f>'Power Price Assumption'!S32*Summary!$G$11*12*(1-Summary!$G$29)</f>
        <v>44609.035316908732</v>
      </c>
      <c r="Q15" s="21">
        <f>'Power Price Assumption'!T32*Summary!$G$11*12*(1-Summary!$G$29)</f>
        <v>45266.605541209829</v>
      </c>
      <c r="R15" s="21">
        <f>'Power Price Assumption'!U32*Summary!$G$11*12*(1-Summary!$G$29)</f>
        <v>45923.481847183779</v>
      </c>
      <c r="S15" s="21">
        <f>'Power Price Assumption'!V32*Summary!$G$11*12*(1-Summary!$G$29)</f>
        <v>46579.030786529074</v>
      </c>
      <c r="T15" s="21">
        <f>'Power Price Assumption'!W32*Summary!$G$11*12*(1-Summary!$G$29)</f>
        <v>47232.581528572606</v>
      </c>
      <c r="U15" s="21">
        <f>'Power Price Assumption'!X32*Summary!$G$11*12*(1-Summary!$G$29)</f>
        <v>47883.424187430901</v>
      </c>
      <c r="W15" s="93">
        <f t="shared" ref="W15:W20" si="3">SUM(B15:U15)</f>
        <v>720234.31168691197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 spans="1:55" s="64" customFormat="1" ht="12" customHeight="1">
      <c r="A16" s="3" t="s">
        <v>86</v>
      </c>
      <c r="B16" s="21">
        <v>0</v>
      </c>
      <c r="C16" s="21">
        <v>0</v>
      </c>
      <c r="D16" s="21">
        <v>0</v>
      </c>
      <c r="E16" s="129">
        <f>1/3*Summary!$G$25*Summary!$G$14*Summary!$G$9/1000*(1+Summary!$G$48)^(E5-2000)+Summary!$G$31*Summary!$G$24*(1+Summary!$G$48)^(E5-2000)/1000</f>
        <v>898.69120981915501</v>
      </c>
      <c r="F16" s="129">
        <f>1/3*Summary!$G$25*Summary!$G$14*Summary!$G$9/1000*(1+Summary!$G$48)^(F5-2000)+Summary!$G$31*Summary!$G$24*(1+Summary!$G$48)^(F5-2000)/1000</f>
        <v>925.65194611372954</v>
      </c>
      <c r="G16" s="129">
        <f>1/3*Summary!$G$25*Summary!$G$14*Summary!$G$9/1000*(1+Summary!$G$48)^(G5-2000)+Summary!$G$31*Summary!$G$24*(1+Summary!$G$48)^(G5-2000)/1000</f>
        <v>953.42150449714154</v>
      </c>
      <c r="H16" s="129">
        <f>1/3*Summary!$G$25*Summary!$G$14*Summary!$G$9/1000*(1+Summary!$G$48)^(H5-2000)+Summary!$G$31*Summary!$G$24*(1+Summary!$G$48)^(H5-2000)/1000</f>
        <v>982.02414963205581</v>
      </c>
      <c r="I16" s="129">
        <f>1/3*Summary!$G$25*Summary!$G$14*Summary!$G$9/1000*(1+Summary!$G$48)^(I5-2000)+Summary!$G$31*Summary!$G$24*(1+Summary!$G$48)^(I5-2000)/1000</f>
        <v>1011.4848741210174</v>
      </c>
      <c r="J16" s="129">
        <f>1/3*Summary!$G$25*Summary!$G$14*Summary!$G$9/1000*(1+Summary!$G$48)^(J5-2000)+Summary!$G$31*Summary!$G$24*(1+Summary!$G$48)^(J5-2000)/1000</f>
        <v>1041.8294203446478</v>
      </c>
      <c r="K16" s="129">
        <f>1/3*Summary!$G$25*Summary!$G$14*Summary!$G$9/1000*(1+Summary!$G$48)^(K5-2000)+Summary!$G$31*Summary!$G$24*(1+Summary!$G$48)^(K5-2000)/1000</f>
        <v>1073.0843029549874</v>
      </c>
      <c r="L16" s="129">
        <f>1/3*Summary!$G$25*Summary!$G$14*Summary!$G$9/1000*(1+Summary!$G$48)^(L5-2000)+Summary!$G$31*Summary!$G$24*(1+Summary!$G$48)^(L5-2000)/1000</f>
        <v>1105.2768320436371</v>
      </c>
      <c r="M16" s="129">
        <f>1/3*Summary!$G$25*Summary!$G$14*Summary!$G$9/1000*(1+Summary!$G$48)^(M5-2000)+Summary!$G$31*Summary!$G$24*(1+Summary!$G$48)^(M5-2000)/1000</f>
        <v>1138.4351370049458</v>
      </c>
      <c r="N16" s="129">
        <f>1/3*Summary!$G$25*Summary!$G$14*Summary!$G$9/1000*(1+Summary!$G$48)^(N5-2000)+Summary!$G$31*Summary!$G$24*(1+Summary!$G$48)^(N5-2000)/1000</f>
        <v>1172.5881911150941</v>
      </c>
      <c r="O16" s="129">
        <f>1/3*Summary!$G$25*Summary!$G$14*Summary!$G$9/1000*(1+Summary!$G$48)^(O5-2000)+Summary!$G$31*Summary!$G$24*(1+Summary!$G$48)^(O5-2000)/1000</f>
        <v>1207.7658368485472</v>
      </c>
      <c r="P16" s="129">
        <f>1/3*Summary!$G$25*Summary!$G$14*Summary!$G$9/1000*(1+Summary!$G$48)^(P5-2000)+Summary!$G$31*Summary!$G$24*(1+Summary!$G$48)^(P5-2000)/1000</f>
        <v>1243.9988119540037</v>
      </c>
      <c r="Q16" s="129">
        <f>1/3*Summary!$G$25*Summary!$G$14*Summary!$G$9/1000*(1+Summary!$G$48)^(Q5-2000)+Summary!$G$31*Summary!$G$24*(1+Summary!$G$48)^(Q5-2000)/1000</f>
        <v>1281.3187763126234</v>
      </c>
      <c r="R16" s="129">
        <f>1/3*Summary!$G$25*Summary!$G$14*Summary!$G$9/1000*(1+Summary!$G$48)^(R5-2000)+Summary!$G$31*Summary!$G$24*(1+Summary!$G$48)^(R5-2000)/1000</f>
        <v>1319.7583396020025</v>
      </c>
      <c r="S16" s="129">
        <f>1/3*Summary!$G$25*Summary!$G$14*Summary!$G$9/1000*(1+Summary!$G$48)^(S5-2000)+Summary!$G$31*Summary!$G$24*(1+Summary!$G$48)^(S5-2000)/1000</f>
        <v>1359.3510897900621</v>
      </c>
      <c r="T16" s="129">
        <f>1/3*Summary!$G$25*Summary!$G$14*Summary!$G$9/1000*(1+Summary!$G$48)^(T5-2000)+Summary!$G$31*Summary!$G$24*(1+Summary!$G$48)^(T5-2000)/1000</f>
        <v>1400.1316224837642</v>
      </c>
      <c r="U16" s="129">
        <f>1/3*Summary!$G$25*Summary!$G$14*Summary!$G$9/1000*(1+Summary!$G$48)^(U5-2000)+Summary!$G$31*Summary!$G$24*(1+Summary!$G$48)^(U5-2000)/1000</f>
        <v>1442.1355711582769</v>
      </c>
      <c r="W16" s="93">
        <f t="shared" si="3"/>
        <v>19556.947615795689</v>
      </c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 spans="1:55" s="64" customFormat="1" ht="12" customHeight="1">
      <c r="A17" s="3" t="s">
        <v>87</v>
      </c>
      <c r="B17" s="21">
        <v>0</v>
      </c>
      <c r="C17" s="21">
        <v>0</v>
      </c>
      <c r="D17" s="21">
        <v>0</v>
      </c>
      <c r="E17" s="21">
        <f>Summary!$G$11*Summary!$G$29*Summary!$G$30*Summary!$G$15/1000</f>
        <v>9.333000000000002</v>
      </c>
      <c r="F17" s="21">
        <f>Summary!$G$11*Summary!$G$29*Summary!$G$30*Summary!$G$15/1000</f>
        <v>9.333000000000002</v>
      </c>
      <c r="G17" s="21">
        <f>Summary!$G$11*Summary!$G$29*Summary!$G$30*Summary!$G$15/1000</f>
        <v>9.333000000000002</v>
      </c>
      <c r="H17" s="21">
        <f>Summary!$G$11*Summary!$G$29*Summary!$G$30*Summary!$G$15/1000</f>
        <v>9.333000000000002</v>
      </c>
      <c r="I17" s="21">
        <f>Summary!$G$11*Summary!$G$29*Summary!$G$30*Summary!$G$15/1000</f>
        <v>9.333000000000002</v>
      </c>
      <c r="J17" s="21">
        <f>Summary!$G$11*Summary!$G$29*Summary!$G$30*Summary!$G$15/1000</f>
        <v>9.333000000000002</v>
      </c>
      <c r="K17" s="21">
        <f>Summary!$G$11*Summary!$G$29*Summary!$G$30*Summary!$G$15/1000</f>
        <v>9.333000000000002</v>
      </c>
      <c r="L17" s="21">
        <f>Summary!$G$11*Summary!$G$29*Summary!$G$30*Summary!$G$15/1000</f>
        <v>9.333000000000002</v>
      </c>
      <c r="M17" s="21">
        <f>Summary!$G$11*Summary!$G$29*Summary!$G$30*Summary!$G$15/1000</f>
        <v>9.333000000000002</v>
      </c>
      <c r="N17" s="21">
        <f>Summary!$G$11*Summary!$G$29*Summary!$G$30*Summary!$G$15/1000</f>
        <v>9.333000000000002</v>
      </c>
      <c r="O17" s="21">
        <f>Summary!$G$11*Summary!$G$29*Summary!$G$30*Summary!$G$15/1000</f>
        <v>9.333000000000002</v>
      </c>
      <c r="P17" s="21">
        <f>Summary!$G$11*Summary!$G$29*Summary!$G$30*Summary!$G$15/1000</f>
        <v>9.333000000000002</v>
      </c>
      <c r="Q17" s="21">
        <f>Summary!$G$11*Summary!$G$29*Summary!$G$30*Summary!$G$15/1000</f>
        <v>9.333000000000002</v>
      </c>
      <c r="R17" s="21">
        <f>Summary!$G$11*Summary!$G$29*Summary!$G$30*Summary!$G$15/1000</f>
        <v>9.333000000000002</v>
      </c>
      <c r="S17" s="21">
        <f>Summary!$G$11*Summary!$G$29*Summary!$G$30*Summary!$G$15/1000</f>
        <v>9.333000000000002</v>
      </c>
      <c r="T17" s="21">
        <f>Summary!$G$11*Summary!$G$29*Summary!$G$30*Summary!$G$15/1000</f>
        <v>9.333000000000002</v>
      </c>
      <c r="U17" s="21">
        <f>Summary!$G$11*Summary!$G$29*Summary!$G$30*Summary!$G$15/1000</f>
        <v>9.333000000000002</v>
      </c>
      <c r="W17" s="93">
        <f t="shared" si="3"/>
        <v>158.661</v>
      </c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 spans="1:55" s="64" customFormat="1" ht="12" customHeight="1">
      <c r="A18" s="3"/>
      <c r="W18" s="93">
        <f t="shared" si="3"/>
        <v>0</v>
      </c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</row>
    <row r="19" spans="1:55" s="64" customFormat="1" ht="12" customHeight="1">
      <c r="A19" s="3" t="s">
        <v>254</v>
      </c>
      <c r="B19" s="206">
        <f>(SUM(B10:B17)-SUM(B23:B32))*Assumptions!$B$32/4</f>
        <v>269.05521811703164</v>
      </c>
      <c r="C19" s="206">
        <f>(SUM(C10:C17)-SUM(C23:C32))*Assumptions!$B$32/4</f>
        <v>266.34251892602896</v>
      </c>
      <c r="D19" s="206">
        <f>(SUM(D10:D17)-SUM(D23:D32))*Assumptions!$B$32/4</f>
        <v>264.70706333071206</v>
      </c>
      <c r="E19" s="206">
        <f>(SUM(E10:E17)-SUM(E23:E32))*Assumptions!$B$32/4</f>
        <v>403.57615266059616</v>
      </c>
      <c r="F19" s="206">
        <f>(SUM(F10:F17)-SUM(F23:F32))*Assumptions!$B$32/4</f>
        <v>425.53701773721451</v>
      </c>
      <c r="G19" s="206">
        <f>(SUM(G10:G17)-SUM(G23:G32))*Assumptions!$B$32/4</f>
        <v>429.83050575175344</v>
      </c>
      <c r="H19" s="206">
        <f>(SUM(H10:H17)-SUM(H23:H32))*Assumptions!$B$32/4</f>
        <v>434.19864364151493</v>
      </c>
      <c r="I19" s="206">
        <f>(SUM(I10:I17)-SUM(I23:I32))*Assumptions!$B$32/4</f>
        <v>439.27995899345001</v>
      </c>
      <c r="J19" s="206">
        <f>(SUM(J10:J17)-SUM(J23:J32))*Assumptions!$B$32/4</f>
        <v>445.12348815635642</v>
      </c>
      <c r="K19" s="206">
        <f>(SUM(K10:K17)-SUM(K23:K32))*Assumptions!$B$32/4</f>
        <v>450.02070623050918</v>
      </c>
      <c r="L19" s="206">
        <f>(SUM(L10:L17)-SUM(L23:L32))*Assumptions!$B$32/4</f>
        <v>458.59160270896257</v>
      </c>
      <c r="M19" s="206">
        <f>(SUM(M10:M17)-SUM(M23:M32))*Assumptions!$B$32/4</f>
        <v>467.27132789254495</v>
      </c>
      <c r="N19" s="206">
        <f>(SUM(N10:N17)-SUM(N23:N32))*Assumptions!$B$32/4</f>
        <v>471.70540373606286</v>
      </c>
      <c r="O19" s="206">
        <f>(SUM(O10:O17)-SUM(O23:O32))*Assumptions!$B$32/4</f>
        <v>480.58986266670513</v>
      </c>
      <c r="P19" s="206">
        <f>(SUM(P10:P17)-SUM(P23:P32))*Assumptions!$B$32/4</f>
        <v>484.14988565725798</v>
      </c>
      <c r="Q19" s="206">
        <f>(SUM(Q10:Q17)-SUM(Q23:Q32))*Assumptions!$B$32/4</f>
        <v>498.08432148218503</v>
      </c>
      <c r="R19" s="206">
        <f>(SUM(R10:R17)-SUM(R23:R32))*Assumptions!$B$32/4</f>
        <v>504.7996358012233</v>
      </c>
      <c r="S19" s="206">
        <f>(SUM(S10:S17)-SUM(S23:S32))*Assumptions!$B$32/4</f>
        <v>511.54003540636768</v>
      </c>
      <c r="T19" s="206">
        <f>(SUM(T10:T17)-SUM(T23:T32))*Assumptions!$B$32/4</f>
        <v>518.24140197531221</v>
      </c>
      <c r="U19" s="206">
        <f>(SUM(U10:U17)-SUM(U23:U32))*Assumptions!$B$32/4</f>
        <v>524.89714080725298</v>
      </c>
      <c r="W19" s="93">
        <f t="shared" si="3"/>
        <v>8747.5418916790404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 spans="1:55" s="64" customFormat="1" ht="12" customHeight="1">
      <c r="A20" s="3" t="s">
        <v>88</v>
      </c>
      <c r="B20" s="58">
        <f>SUM(B10:B19)</f>
        <v>25817.654468117031</v>
      </c>
      <c r="C20" s="58">
        <f t="shared" ref="C20:U20" si="4">SUM(C10:C19)</f>
        <v>25846.99974642603</v>
      </c>
      <c r="D20" s="58">
        <f t="shared" si="4"/>
        <v>25878.384007655714</v>
      </c>
      <c r="E20" s="58">
        <f t="shared" si="4"/>
        <v>37596.270501035542</v>
      </c>
      <c r="F20" s="58">
        <f t="shared" si="4"/>
        <v>39471.361356090645</v>
      </c>
      <c r="G20" s="58">
        <f t="shared" si="4"/>
        <v>40013.617897578253</v>
      </c>
      <c r="H20" s="58">
        <f t="shared" si="4"/>
        <v>40487.881466217157</v>
      </c>
      <c r="I20" s="58">
        <f t="shared" si="4"/>
        <v>41022.60386985018</v>
      </c>
      <c r="J20" s="58">
        <f t="shared" si="4"/>
        <v>41623.011046609521</v>
      </c>
      <c r="K20" s="58">
        <f t="shared" si="4"/>
        <v>42150.369610191541</v>
      </c>
      <c r="L20" s="58">
        <f t="shared" si="4"/>
        <v>42969.287093798965</v>
      </c>
      <c r="M20" s="58">
        <f t="shared" si="4"/>
        <v>43799.412287025698</v>
      </c>
      <c r="N20" s="58">
        <f t="shared" si="4"/>
        <v>44636.327332752982</v>
      </c>
      <c r="O20" s="58">
        <f t="shared" si="4"/>
        <v>45488.651092597174</v>
      </c>
      <c r="P20" s="58">
        <f t="shared" si="4"/>
        <v>46346.517014519995</v>
      </c>
      <c r="Q20" s="58">
        <f t="shared" si="4"/>
        <v>47055.34163900464</v>
      </c>
      <c r="R20" s="58">
        <f t="shared" si="4"/>
        <v>47757.372822587007</v>
      </c>
      <c r="S20" s="58">
        <f t="shared" si="4"/>
        <v>48459.254911725504</v>
      </c>
      <c r="T20" s="58">
        <f t="shared" si="4"/>
        <v>49160.287553031681</v>
      </c>
      <c r="U20" s="58">
        <f t="shared" si="4"/>
        <v>49859.789899396434</v>
      </c>
      <c r="W20" s="93">
        <f t="shared" si="3"/>
        <v>825440.39561621181</v>
      </c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</row>
    <row r="21" spans="1:55" s="64" customFormat="1" ht="12" customHeight="1">
      <c r="A21" s="4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W21" s="93"/>
    </row>
    <row r="22" spans="1:55">
      <c r="A22" s="1" t="s">
        <v>89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W22" s="93"/>
    </row>
    <row r="23" spans="1:55">
      <c r="A23" s="3" t="s">
        <v>63</v>
      </c>
      <c r="B23" s="129">
        <f>Summary!G51*(1+Summary!$G$48)</f>
        <v>1279.7561657142855</v>
      </c>
      <c r="C23" s="93">
        <f>B23*(1+Summary!$G$48)</f>
        <v>1318.1488506857143</v>
      </c>
      <c r="D23" s="93">
        <f>C23*(1+Summary!$G$48)</f>
        <v>1357.6933162062858</v>
      </c>
      <c r="E23" s="93">
        <f>D23*(1+Summary!$G$48)</f>
        <v>1398.4241156924743</v>
      </c>
      <c r="F23" s="93">
        <f>E23*(1+Summary!$G$48)</f>
        <v>1440.3768391632486</v>
      </c>
      <c r="G23" s="93">
        <f>F23*(1+Summary!$G$48)</f>
        <v>1483.5881443381461</v>
      </c>
      <c r="H23" s="93">
        <f>G23*(1+Summary!$G$48)</f>
        <v>1528.0957886682904</v>
      </c>
      <c r="I23" s="93">
        <f>H23*(1+Summary!$G$48)</f>
        <v>1573.9386623283392</v>
      </c>
      <c r="J23" s="93">
        <f>I23*(1+Summary!$G$48)</f>
        <v>1621.1568221981895</v>
      </c>
      <c r="K23" s="93">
        <f>J23*(1+Summary!$G$48)</f>
        <v>1669.7915268641352</v>
      </c>
      <c r="L23" s="93">
        <f>K23*(1+Summary!$G$48)</f>
        <v>1719.8852726700593</v>
      </c>
      <c r="M23" s="93">
        <f>L23*(1+Summary!$G$48)</f>
        <v>1771.481830850161</v>
      </c>
      <c r="N23" s="93">
        <f>M23*(1+Summary!$G$48)</f>
        <v>1824.626285775666</v>
      </c>
      <c r="O23" s="93">
        <f>N23*(1+Summary!$G$48)</f>
        <v>1879.3650743489361</v>
      </c>
      <c r="P23" s="93">
        <f>O23*(1+Summary!$G$48)</f>
        <v>1935.7460265794043</v>
      </c>
      <c r="Q23" s="93">
        <f>P23*(1+Summary!$G$48)</f>
        <v>1993.8184073767866</v>
      </c>
      <c r="R23" s="93">
        <f>Q23*(1+Summary!$G$48)</f>
        <v>2053.6329595980901</v>
      </c>
      <c r="S23" s="93">
        <f>R23*(1+Summary!$G$48)</f>
        <v>2115.2419483860331</v>
      </c>
      <c r="T23" s="93">
        <f>S23*(1+Summary!$G$48)</f>
        <v>2178.6992068376139</v>
      </c>
      <c r="U23" s="93">
        <f>T23*(1+Summary!$G$48)</f>
        <v>2244.0601830427422</v>
      </c>
      <c r="W23" s="93">
        <f t="shared" ref="W23:W33" si="5">SUM(B23:U23)</f>
        <v>34387.527427324596</v>
      </c>
    </row>
    <row r="24" spans="1:55">
      <c r="A24" s="3" t="s">
        <v>64</v>
      </c>
      <c r="B24" s="129">
        <f>Summary!G52*(1+Summary!$G$48)</f>
        <v>720.9742500000001</v>
      </c>
      <c r="C24" s="93">
        <f>B24*(1+Summary!$G$48)</f>
        <v>742.60347750000017</v>
      </c>
      <c r="D24" s="93">
        <f>C24*(1+Summary!$G$48)</f>
        <v>764.88158182500024</v>
      </c>
      <c r="E24" s="129">
        <f>Summary!$G$31*Summary!$G$45*(1+Summary!$G$48)^(E5-2000)/1000</f>
        <v>772.07146869415499</v>
      </c>
      <c r="F24" s="93">
        <f>E24*(1+Summary!$G$48)</f>
        <v>795.23361275497962</v>
      </c>
      <c r="G24" s="93">
        <f>F24*(1+Summary!$G$48)</f>
        <v>819.090621137629</v>
      </c>
      <c r="H24" s="93">
        <f>G24*(1+Summary!$G$48)</f>
        <v>843.66333977175793</v>
      </c>
      <c r="I24" s="93">
        <f>H24*(1+Summary!$G$48)</f>
        <v>868.9732399649107</v>
      </c>
      <c r="J24" s="93">
        <f>I24*(1+Summary!$G$48)</f>
        <v>895.04243716385804</v>
      </c>
      <c r="K24" s="93">
        <f>J24*(1+Summary!$G$48)</f>
        <v>921.89371027877382</v>
      </c>
      <c r="L24" s="93">
        <f>K24*(1+Summary!$G$48)</f>
        <v>949.55052158713704</v>
      </c>
      <c r="M24" s="93">
        <f>L24*(1+Summary!$G$48)</f>
        <v>978.03703723475121</v>
      </c>
      <c r="N24" s="93">
        <f>M24*(1+Summary!$G$48)</f>
        <v>1007.3781483517938</v>
      </c>
      <c r="O24" s="93">
        <f>N24*(1+Summary!$G$48)</f>
        <v>1037.5994928023476</v>
      </c>
      <c r="P24" s="93">
        <f>O24*(1+Summary!$G$48)</f>
        <v>1068.727477586418</v>
      </c>
      <c r="Q24" s="93">
        <f>P24*(1+Summary!$G$48)</f>
        <v>1100.7893019140106</v>
      </c>
      <c r="R24" s="93">
        <f>Q24*(1+Summary!$G$48)</f>
        <v>1133.812980971431</v>
      </c>
      <c r="S24" s="93">
        <f>R24*(1+Summary!$G$48)</f>
        <v>1167.827370400574</v>
      </c>
      <c r="T24" s="93">
        <f>S24*(1+Summary!$G$48)</f>
        <v>1202.8621915125912</v>
      </c>
      <c r="U24" s="93">
        <f>T24*(1+Summary!$G$48)</f>
        <v>1238.9480572579689</v>
      </c>
      <c r="W24" s="93">
        <f t="shared" si="5"/>
        <v>19029.960318710091</v>
      </c>
    </row>
    <row r="25" spans="1:55">
      <c r="A25" s="3" t="s">
        <v>65</v>
      </c>
      <c r="B25" s="129">
        <f>Summary!$G$53*Summary!$G$14*Summary!$G$9/1000*(1+Summary!$G$48)</f>
        <v>347.625</v>
      </c>
      <c r="C25" s="93">
        <f>B25*(1+Summary!$G$48)</f>
        <v>358.05375000000004</v>
      </c>
      <c r="D25" s="93">
        <f>C25*(1+Summary!$G$48)</f>
        <v>368.79536250000007</v>
      </c>
      <c r="E25" s="93">
        <f>D25*(1+Summary!$G$48)</f>
        <v>379.85922337500006</v>
      </c>
      <c r="F25" s="93">
        <f>E25*(1+Summary!$G$48)</f>
        <v>391.25500007625004</v>
      </c>
      <c r="G25" s="93">
        <f>F25*(1+Summary!$G$48)</f>
        <v>402.99265007853757</v>
      </c>
      <c r="H25" s="93">
        <f>G25*(1+Summary!$G$48)</f>
        <v>415.08242958089369</v>
      </c>
      <c r="I25" s="93">
        <f>H25*(1+Summary!$G$48)</f>
        <v>427.53490246832052</v>
      </c>
      <c r="J25" s="93">
        <f>I25*(1+Summary!$G$48)</f>
        <v>440.36094954237018</v>
      </c>
      <c r="K25" s="93">
        <f>J25*(1+Summary!$G$48)</f>
        <v>453.57177802864129</v>
      </c>
      <c r="L25" s="93">
        <f>K25*(1+Summary!$G$48)</f>
        <v>467.17893136950056</v>
      </c>
      <c r="M25" s="93">
        <f>L25*(1+Summary!$G$48)</f>
        <v>481.19429931058556</v>
      </c>
      <c r="N25" s="93">
        <f>M25*(1+Summary!$G$48)</f>
        <v>495.63012828990315</v>
      </c>
      <c r="O25" s="93">
        <f>N25*(1+Summary!$G$48)</f>
        <v>510.49903213860028</v>
      </c>
      <c r="P25" s="93">
        <f>O25*(1+Summary!$G$48)</f>
        <v>525.81400310275831</v>
      </c>
      <c r="Q25" s="93">
        <f>P25*(1+Summary!$G$48)</f>
        <v>541.58842319584107</v>
      </c>
      <c r="R25" s="93">
        <f>Q25*(1+Summary!$G$48)</f>
        <v>557.83607589171629</v>
      </c>
      <c r="S25" s="93">
        <f>R25*(1+Summary!$G$48)</f>
        <v>574.57115816846783</v>
      </c>
      <c r="T25" s="93">
        <f>S25*(1+Summary!$G$48)</f>
        <v>591.80829291352188</v>
      </c>
      <c r="U25" s="93">
        <f>T25*(1+Summary!$G$48)</f>
        <v>609.56254170092757</v>
      </c>
      <c r="W25" s="93">
        <f t="shared" si="5"/>
        <v>9340.8139317318364</v>
      </c>
    </row>
    <row r="26" spans="1:55">
      <c r="A26" s="3" t="s">
        <v>158</v>
      </c>
      <c r="B26" s="129">
        <f>Summary!G54*(1+Summary!$G$48)</f>
        <v>353.14285714285717</v>
      </c>
      <c r="C26" s="93">
        <f>B26*(1+Summary!$G$48)</f>
        <v>363.73714285714289</v>
      </c>
      <c r="D26" s="93">
        <f>C26*(1+Summary!$G$48)</f>
        <v>374.64925714285721</v>
      </c>
      <c r="E26" s="93">
        <f>D26*(1+Summary!$G$48)</f>
        <v>385.88873485714294</v>
      </c>
      <c r="F26" s="93">
        <f>E26*(1+Summary!$G$48)</f>
        <v>397.46539690285721</v>
      </c>
      <c r="G26" s="93">
        <f>F26*(1+Summary!$G$48)</f>
        <v>409.38935880994296</v>
      </c>
      <c r="H26" s="93">
        <f>G26*(1+Summary!$G$48)</f>
        <v>421.67103957424126</v>
      </c>
      <c r="I26" s="93">
        <f>H26*(1+Summary!$G$48)</f>
        <v>434.32117076146852</v>
      </c>
      <c r="J26" s="93">
        <f>I26*(1+Summary!$G$48)</f>
        <v>447.35080588431259</v>
      </c>
      <c r="K26" s="93">
        <f>J26*(1+Summary!$G$48)</f>
        <v>460.77133006084199</v>
      </c>
      <c r="L26" s="93">
        <f>K26*(1+Summary!$G$48)</f>
        <v>474.59446996266729</v>
      </c>
      <c r="M26" s="93">
        <f>L26*(1+Summary!$G$48)</f>
        <v>488.83230406154735</v>
      </c>
      <c r="N26" s="93">
        <f>M26*(1+Summary!$G$48)</f>
        <v>503.49727318339376</v>
      </c>
      <c r="O26" s="93">
        <f>N26*(1+Summary!$G$48)</f>
        <v>518.60219137889555</v>
      </c>
      <c r="P26" s="93">
        <f>O26*(1+Summary!$G$48)</f>
        <v>534.16025712026249</v>
      </c>
      <c r="Q26" s="93">
        <f>P26*(1+Summary!$G$48)</f>
        <v>550.18506483387034</v>
      </c>
      <c r="R26" s="93">
        <f>Q26*(1+Summary!$G$48)</f>
        <v>566.69061677888646</v>
      </c>
      <c r="S26" s="93">
        <f>R26*(1+Summary!$G$48)</f>
        <v>583.69133528225302</v>
      </c>
      <c r="T26" s="93">
        <f>S26*(1+Summary!$G$48)</f>
        <v>601.20207534072063</v>
      </c>
      <c r="U26" s="93">
        <f>T26*(1+Summary!$G$48)</f>
        <v>619.23813760094231</v>
      </c>
      <c r="W26" s="93">
        <f t="shared" si="5"/>
        <v>9489.0808195371064</v>
      </c>
    </row>
    <row r="27" spans="1:55">
      <c r="A27" s="3" t="s">
        <v>159</v>
      </c>
      <c r="B27" s="129">
        <f>Summary!G55*(1+Summary!$G$48)</f>
        <v>331.91867714285718</v>
      </c>
      <c r="C27" s="93">
        <f>B27*(1+Summary!$G$48)</f>
        <v>341.87623745714291</v>
      </c>
      <c r="D27" s="93">
        <f>C27*(1+Summary!$G$48)</f>
        <v>352.13252458085719</v>
      </c>
      <c r="E27" s="93">
        <f>D27*(1+Summary!$G$48)</f>
        <v>362.69650031828292</v>
      </c>
      <c r="F27" s="93">
        <f>E27*(1+Summary!$G$48)</f>
        <v>373.57739532783143</v>
      </c>
      <c r="G27" s="93">
        <f>F27*(1+Summary!$G$48)</f>
        <v>384.78471718766639</v>
      </c>
      <c r="H27" s="93">
        <f>G27*(1+Summary!$G$48)</f>
        <v>396.3282587032964</v>
      </c>
      <c r="I27" s="93">
        <f>H27*(1+Summary!$G$48)</f>
        <v>408.21810646439531</v>
      </c>
      <c r="J27" s="93">
        <f>I27*(1+Summary!$G$48)</f>
        <v>420.46464965832718</v>
      </c>
      <c r="K27" s="93">
        <f>J27*(1+Summary!$G$48)</f>
        <v>433.07858914807701</v>
      </c>
      <c r="L27" s="93">
        <f>K27*(1+Summary!$G$48)</f>
        <v>446.07094682251932</v>
      </c>
      <c r="M27" s="93">
        <f>L27*(1+Summary!$G$48)</f>
        <v>459.45307522719492</v>
      </c>
      <c r="N27" s="93">
        <f>M27*(1+Summary!$G$48)</f>
        <v>473.23666748401075</v>
      </c>
      <c r="O27" s="93">
        <f>N27*(1+Summary!$G$48)</f>
        <v>487.4337675085311</v>
      </c>
      <c r="P27" s="93">
        <f>O27*(1+Summary!$G$48)</f>
        <v>502.05678053378705</v>
      </c>
      <c r="Q27" s="93">
        <f>P27*(1+Summary!$G$48)</f>
        <v>517.11848394980063</v>
      </c>
      <c r="R27" s="93">
        <f>Q27*(1+Summary!$G$48)</f>
        <v>532.6320384682947</v>
      </c>
      <c r="S27" s="93">
        <f>R27*(1+Summary!$G$48)</f>
        <v>548.61099962234357</v>
      </c>
      <c r="T27" s="93">
        <f>S27*(1+Summary!$G$48)</f>
        <v>565.06932961101393</v>
      </c>
      <c r="U27" s="93">
        <f>T27*(1+Summary!$G$48)</f>
        <v>582.02140949934437</v>
      </c>
      <c r="W27" s="93">
        <f t="shared" si="5"/>
        <v>8918.7791547155739</v>
      </c>
    </row>
    <row r="28" spans="1:55">
      <c r="A28" s="3" t="s">
        <v>289</v>
      </c>
      <c r="B28" s="527">
        <v>174.46</v>
      </c>
      <c r="C28" s="527">
        <v>348.92</v>
      </c>
      <c r="D28" s="527">
        <v>436.15</v>
      </c>
      <c r="E28" s="527">
        <v>436.15</v>
      </c>
      <c r="F28" s="527">
        <v>436.15</v>
      </c>
      <c r="G28" s="527">
        <v>523.38</v>
      </c>
      <c r="H28" s="527">
        <v>523.38</v>
      </c>
      <c r="I28" s="527">
        <v>523.38</v>
      </c>
      <c r="J28" s="527">
        <v>523.38</v>
      </c>
      <c r="K28" s="527">
        <v>523.38</v>
      </c>
      <c r="L28" s="527">
        <v>523.38</v>
      </c>
      <c r="M28" s="527">
        <v>523.38</v>
      </c>
      <c r="N28" s="527">
        <v>872.3</v>
      </c>
      <c r="O28" s="527">
        <v>872.3</v>
      </c>
      <c r="P28" s="527">
        <v>1308.45</v>
      </c>
      <c r="Q28" s="527">
        <v>743.93104499999993</v>
      </c>
      <c r="R28" s="527">
        <v>758.80966589999991</v>
      </c>
      <c r="S28" s="527">
        <v>773.98585921799997</v>
      </c>
      <c r="T28" s="527">
        <v>789.46557640235994</v>
      </c>
      <c r="U28" s="527">
        <v>805.25488793040722</v>
      </c>
      <c r="W28" s="93">
        <f t="shared" si="5"/>
        <v>12419.987034450767</v>
      </c>
    </row>
    <row r="29" spans="1:55">
      <c r="A29" s="3" t="s">
        <v>66</v>
      </c>
      <c r="B29" s="129">
        <f>Summary!G57*(1+Summary!$G$48)</f>
        <v>0</v>
      </c>
      <c r="C29" s="93">
        <f>B29*(1+Summary!$G$48)</f>
        <v>0</v>
      </c>
      <c r="D29" s="93">
        <f>C29*(1+Summary!$G$48)</f>
        <v>0</v>
      </c>
      <c r="E29" s="93">
        <f>D29*(1+Summary!$G$48)</f>
        <v>0</v>
      </c>
      <c r="F29" s="93">
        <f>E29*(1+Summary!$G$48)</f>
        <v>0</v>
      </c>
      <c r="G29" s="93">
        <f>F29*(1+Summary!$G$48)</f>
        <v>0</v>
      </c>
      <c r="H29" s="93">
        <f>G29*(1+Summary!$G$48)</f>
        <v>0</v>
      </c>
      <c r="I29" s="93">
        <f>H29*(1+Summary!$G$48)</f>
        <v>0</v>
      </c>
      <c r="J29" s="93">
        <f>I29*(1+Summary!$G$48)</f>
        <v>0</v>
      </c>
      <c r="K29" s="93">
        <f>J29*(1+Summary!$G$48)</f>
        <v>0</v>
      </c>
      <c r="L29" s="93">
        <f>K29*(1+Summary!$G$48)</f>
        <v>0</v>
      </c>
      <c r="M29" s="93">
        <f>L29*(1+Summary!$G$48)</f>
        <v>0</v>
      </c>
      <c r="N29" s="93">
        <f>M29*(1+Summary!$G$48)</f>
        <v>0</v>
      </c>
      <c r="O29" s="93">
        <f>N29*(1+Summary!$G$48)</f>
        <v>0</v>
      </c>
      <c r="P29" s="93">
        <f>O29*(1+Summary!$G$48)</f>
        <v>0</v>
      </c>
      <c r="Q29" s="93">
        <f>P29*(1+Summary!$G$48)</f>
        <v>0</v>
      </c>
      <c r="R29" s="93">
        <f>Q29*(1+Summary!$G$48)</f>
        <v>0</v>
      </c>
      <c r="S29" s="93">
        <f>R29*(1+Summary!$G$48)</f>
        <v>0</v>
      </c>
      <c r="T29" s="93">
        <f>S29*(1+Summary!$G$48)</f>
        <v>0</v>
      </c>
      <c r="U29" s="93">
        <f>T29*(1+Summary!$G$48)</f>
        <v>0</v>
      </c>
      <c r="W29" s="93">
        <f t="shared" si="5"/>
        <v>0</v>
      </c>
    </row>
    <row r="30" spans="1:55" s="18" customFormat="1">
      <c r="A30" s="3" t="s">
        <v>214</v>
      </c>
      <c r="B30" s="129">
        <v>0</v>
      </c>
      <c r="C30" s="93">
        <v>0</v>
      </c>
      <c r="D30" s="93">
        <v>0</v>
      </c>
      <c r="E30" s="93">
        <f>Summary!G46*Summary!G11*12</f>
        <v>428.40000000000003</v>
      </c>
      <c r="F30" s="93">
        <f>E30*(1+Summary!$G$48)</f>
        <v>441.25200000000007</v>
      </c>
      <c r="G30" s="93">
        <f>F30*(1+Summary!$G$48)</f>
        <v>454.4895600000001</v>
      </c>
      <c r="H30" s="93">
        <f>G30*(1+Summary!$G$48)</f>
        <v>468.12424680000009</v>
      </c>
      <c r="I30" s="93">
        <f>H30*(1+Summary!$G$48)</f>
        <v>482.16797420400013</v>
      </c>
      <c r="J30" s="93">
        <f>I30*(1+Summary!$G$48)</f>
        <v>496.63301343012017</v>
      </c>
      <c r="K30" s="93">
        <f>J30*(1+Summary!$G$48)</f>
        <v>511.53200383302379</v>
      </c>
      <c r="L30" s="93">
        <f>K30*(1+Summary!$G$48)</f>
        <v>526.87796394801455</v>
      </c>
      <c r="M30" s="93">
        <f>L30*(1+Summary!$G$48)</f>
        <v>542.68430286645503</v>
      </c>
      <c r="N30" s="93">
        <f>M30*(1+Summary!$G$48)</f>
        <v>558.96483195244866</v>
      </c>
      <c r="O30" s="93">
        <f>N30*(1+Summary!$G$48)</f>
        <v>575.73377691102212</v>
      </c>
      <c r="P30" s="93">
        <f>O30*(1+Summary!$G$48)</f>
        <v>593.00579021835279</v>
      </c>
      <c r="Q30" s="93">
        <f>P30*(1+Summary!$G$48)</f>
        <v>610.79596392490339</v>
      </c>
      <c r="R30" s="93">
        <f>Q30*(1+Summary!$G$48)</f>
        <v>629.11984284265054</v>
      </c>
      <c r="S30" s="93">
        <f>R30*(1+Summary!$G$48)</f>
        <v>647.99343812793006</v>
      </c>
      <c r="T30" s="93">
        <f>S30*(1+Summary!$G$48)</f>
        <v>667.433241271768</v>
      </c>
      <c r="U30" s="93">
        <f>T30*(1+Summary!$G$48)</f>
        <v>687.45623850992104</v>
      </c>
      <c r="V30" s="93"/>
      <c r="W30" s="93">
        <f t="shared" si="5"/>
        <v>9322.6641888406102</v>
      </c>
    </row>
    <row r="31" spans="1:55" s="18" customFormat="1">
      <c r="A31" s="3" t="s">
        <v>37</v>
      </c>
      <c r="B31" s="148">
        <f>IS!B31*Allocation!$F$12</f>
        <v>313.21702010657953</v>
      </c>
      <c r="C31" s="148">
        <f>IS!C31*Allocation!$F$12</f>
        <v>312.38784182589438</v>
      </c>
      <c r="D31" s="148">
        <f>IS!D31*Allocation!$F$12</f>
        <v>310.84083996034718</v>
      </c>
      <c r="E31" s="148">
        <f>IS!E31*Allocation!$F$12</f>
        <v>286.7025143766096</v>
      </c>
      <c r="F31" s="148">
        <f>IS!F31*Allocation!$F$12</f>
        <v>286.7025143766096</v>
      </c>
      <c r="G31" s="148">
        <f>IS!G31*Allocation!$F$12</f>
        <v>286.7025143766096</v>
      </c>
      <c r="H31" s="148">
        <f>IS!H31*Allocation!$F$12</f>
        <v>286.7025143766096</v>
      </c>
      <c r="I31" s="148">
        <f>IS!I31*Allocation!$F$12</f>
        <v>286.7025143766096</v>
      </c>
      <c r="J31" s="148">
        <f>IS!J31*Allocation!$F$12</f>
        <v>286.7025143766096</v>
      </c>
      <c r="K31" s="148">
        <f>IS!K31*Allocation!$F$12</f>
        <v>286.7025143766096</v>
      </c>
      <c r="L31" s="148">
        <f>IS!L31*Allocation!$F$12</f>
        <v>286.7025143766096</v>
      </c>
      <c r="M31" s="148">
        <f>IS!M31*Allocation!$F$12</f>
        <v>286.7025143766096</v>
      </c>
      <c r="N31" s="148">
        <f>IS!N31*Allocation!$F$12</f>
        <v>286.7025143766096</v>
      </c>
      <c r="O31" s="148">
        <f>IS!O31*Allocation!$F$12</f>
        <v>286.7025143766096</v>
      </c>
      <c r="P31" s="148">
        <f>IS!P31*Allocation!$F$12</f>
        <v>286.7025143766096</v>
      </c>
      <c r="Q31" s="148">
        <f>IS!Q31*Allocation!$F$12</f>
        <v>286.7025143766096</v>
      </c>
      <c r="R31" s="148">
        <f>IS!R31*Allocation!$F$12</f>
        <v>286.7025143766096</v>
      </c>
      <c r="S31" s="148">
        <f>IS!S31*Allocation!$F$12</f>
        <v>286.7025143766096</v>
      </c>
      <c r="T31" s="148">
        <f>IS!T31*Allocation!$F$12</f>
        <v>286.7025143766096</v>
      </c>
      <c r="U31" s="148">
        <f>IS!U31*Allocation!$F$12</f>
        <v>286.7025143766096</v>
      </c>
      <c r="V31" s="93"/>
      <c r="W31" s="93">
        <f t="shared" si="5"/>
        <v>5810.3884462951837</v>
      </c>
    </row>
    <row r="32" spans="1:55" s="18" customFormat="1">
      <c r="A32" s="3" t="s">
        <v>283</v>
      </c>
      <c r="B32" s="149">
        <f>B93</f>
        <v>503.0878305308907</v>
      </c>
      <c r="C32" s="149">
        <f t="shared" ref="C32:U32" si="6">C93</f>
        <v>487.52841309179104</v>
      </c>
      <c r="D32" s="149">
        <f t="shared" si="6"/>
        <v>471.96899565269132</v>
      </c>
      <c r="E32" s="149">
        <f t="shared" si="6"/>
        <v>456.4095782135916</v>
      </c>
      <c r="F32" s="149">
        <f t="shared" si="6"/>
        <v>440.85016077449188</v>
      </c>
      <c r="G32" s="149">
        <f t="shared" si="6"/>
        <v>432.92936575769875</v>
      </c>
      <c r="H32" s="149">
        <f t="shared" si="6"/>
        <v>434.74371377935853</v>
      </c>
      <c r="I32" s="149">
        <f t="shared" si="6"/>
        <v>435.69062081268385</v>
      </c>
      <c r="J32" s="149">
        <f t="shared" si="6"/>
        <v>436.91731369086614</v>
      </c>
      <c r="K32" s="149">
        <f t="shared" si="6"/>
        <v>437.97095293019368</v>
      </c>
      <c r="L32" s="149">
        <f t="shared" si="6"/>
        <v>429.12665363649171</v>
      </c>
      <c r="M32" s="149">
        <f t="shared" si="6"/>
        <v>418.66936380225815</v>
      </c>
      <c r="N32" s="149">
        <f t="shared" si="6"/>
        <v>405.85378071806423</v>
      </c>
      <c r="O32" s="149">
        <f t="shared" si="6"/>
        <v>392.63636712911847</v>
      </c>
      <c r="P32" s="149">
        <f t="shared" si="6"/>
        <v>375.71342676450513</v>
      </c>
      <c r="Q32" s="149">
        <f t="shared" si="6"/>
        <v>365.58239437582989</v>
      </c>
      <c r="R32" s="149">
        <f t="shared" si="6"/>
        <v>349.36562786023569</v>
      </c>
      <c r="S32" s="149">
        <f t="shared" si="6"/>
        <v>325.88742022751313</v>
      </c>
      <c r="T32" s="149">
        <f t="shared" si="6"/>
        <v>299.49156476519698</v>
      </c>
      <c r="U32" s="149">
        <f t="shared" si="6"/>
        <v>269.87752409007766</v>
      </c>
      <c r="V32" s="93"/>
      <c r="W32" s="93">
        <f t="shared" si="5"/>
        <v>8170.3010686035477</v>
      </c>
    </row>
    <row r="33" spans="1:23">
      <c r="A33" s="3" t="s">
        <v>90</v>
      </c>
      <c r="B33" s="129">
        <f>SUM(B23:B32)</f>
        <v>4024.1818006374706</v>
      </c>
      <c r="C33" s="129">
        <f t="shared" ref="C33:U33" si="7">SUM(C23:C32)</f>
        <v>4273.255713417685</v>
      </c>
      <c r="D33" s="129">
        <f t="shared" si="7"/>
        <v>4437.1118778680393</v>
      </c>
      <c r="E33" s="129">
        <f t="shared" si="7"/>
        <v>4906.6021355272569</v>
      </c>
      <c r="F33" s="129">
        <f t="shared" si="7"/>
        <v>5002.8629193762681</v>
      </c>
      <c r="G33" s="129">
        <f t="shared" si="7"/>
        <v>5197.3469316862311</v>
      </c>
      <c r="H33" s="129">
        <f t="shared" si="7"/>
        <v>5317.7913312544479</v>
      </c>
      <c r="I33" s="129">
        <f t="shared" si="7"/>
        <v>5440.9271913807288</v>
      </c>
      <c r="J33" s="129">
        <f t="shared" si="7"/>
        <v>5568.0085059446528</v>
      </c>
      <c r="K33" s="129">
        <f t="shared" si="7"/>
        <v>5698.6924055202962</v>
      </c>
      <c r="L33" s="129">
        <f t="shared" si="7"/>
        <v>5823.3672743729994</v>
      </c>
      <c r="M33" s="129">
        <f t="shared" si="7"/>
        <v>5950.4347277295628</v>
      </c>
      <c r="N33" s="129">
        <f t="shared" si="7"/>
        <v>6428.1896301318902</v>
      </c>
      <c r="O33" s="129">
        <f t="shared" si="7"/>
        <v>6560.8722165940599</v>
      </c>
      <c r="P33" s="129">
        <f t="shared" si="7"/>
        <v>7130.376276282097</v>
      </c>
      <c r="Q33" s="129">
        <f t="shared" si="7"/>
        <v>6710.5115989476526</v>
      </c>
      <c r="R33" s="129">
        <f t="shared" si="7"/>
        <v>6868.6023226879151</v>
      </c>
      <c r="S33" s="129">
        <f t="shared" si="7"/>
        <v>7024.5120438097238</v>
      </c>
      <c r="T33" s="129">
        <f t="shared" si="7"/>
        <v>7182.7339930313956</v>
      </c>
      <c r="U33" s="129">
        <f t="shared" si="7"/>
        <v>7343.1214940089403</v>
      </c>
      <c r="W33" s="93">
        <f t="shared" si="5"/>
        <v>116889.50239020929</v>
      </c>
    </row>
    <row r="34" spans="1:23" s="64" customFormat="1" outlineLevel="1">
      <c r="A34" s="5"/>
      <c r="B34" s="132"/>
      <c r="C34" s="133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W34" s="93"/>
    </row>
    <row r="35" spans="1:23" s="64" customFormat="1" ht="6.75" customHeight="1">
      <c r="A35" s="5"/>
      <c r="B35" s="132"/>
      <c r="C35" s="133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W35" s="93"/>
    </row>
    <row r="36" spans="1:23" s="59" customFormat="1">
      <c r="A36" s="1" t="s">
        <v>91</v>
      </c>
      <c r="B36" s="122">
        <f t="shared" ref="B36:U36" si="8">B20-B33</f>
        <v>21793.47266747956</v>
      </c>
      <c r="C36" s="122">
        <f t="shared" si="8"/>
        <v>21573.744033008345</v>
      </c>
      <c r="D36" s="122">
        <f t="shared" si="8"/>
        <v>21441.272129787674</v>
      </c>
      <c r="E36" s="122">
        <f t="shared" si="8"/>
        <v>32689.668365508285</v>
      </c>
      <c r="F36" s="122">
        <f t="shared" si="8"/>
        <v>34468.498436714377</v>
      </c>
      <c r="G36" s="122">
        <f t="shared" si="8"/>
        <v>34816.270965892021</v>
      </c>
      <c r="H36" s="122">
        <f t="shared" si="8"/>
        <v>35170.090134962709</v>
      </c>
      <c r="I36" s="122">
        <f t="shared" si="8"/>
        <v>35581.676678469448</v>
      </c>
      <c r="J36" s="122">
        <f t="shared" si="8"/>
        <v>36055.002540664871</v>
      </c>
      <c r="K36" s="122">
        <f t="shared" si="8"/>
        <v>36451.677204671243</v>
      </c>
      <c r="L36" s="122">
        <f t="shared" si="8"/>
        <v>37145.919819425966</v>
      </c>
      <c r="M36" s="122">
        <f t="shared" si="8"/>
        <v>37848.977559296138</v>
      </c>
      <c r="N36" s="122">
        <f t="shared" si="8"/>
        <v>38208.13770262109</v>
      </c>
      <c r="O36" s="122">
        <f t="shared" si="8"/>
        <v>38927.778876003111</v>
      </c>
      <c r="P36" s="122">
        <f t="shared" si="8"/>
        <v>39216.140738237897</v>
      </c>
      <c r="Q36" s="122">
        <f t="shared" si="8"/>
        <v>40344.830040056986</v>
      </c>
      <c r="R36" s="122">
        <f t="shared" si="8"/>
        <v>40888.770499899096</v>
      </c>
      <c r="S36" s="122">
        <f t="shared" si="8"/>
        <v>41434.742867915782</v>
      </c>
      <c r="T36" s="122">
        <f t="shared" si="8"/>
        <v>41977.553560000284</v>
      </c>
      <c r="U36" s="122">
        <f t="shared" si="8"/>
        <v>42516.668405387492</v>
      </c>
      <c r="W36" s="93">
        <f>SUM(B36:U36)</f>
        <v>708550.89322600234</v>
      </c>
    </row>
    <row r="37" spans="1:23" s="59" customFormat="1">
      <c r="A37" s="1"/>
      <c r="B37" s="134"/>
      <c r="C37" s="135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W37" s="93"/>
    </row>
    <row r="38" spans="1:23">
      <c r="A38" s="3" t="s">
        <v>92</v>
      </c>
      <c r="B38" s="129">
        <f>Depreciation!C37</f>
        <v>6254.2031520888722</v>
      </c>
      <c r="C38" s="129">
        <f>Depreciation!D37</f>
        <v>6254.2031520888722</v>
      </c>
      <c r="D38" s="129">
        <f>Depreciation!E37</f>
        <v>6254.2031520888722</v>
      </c>
      <c r="E38" s="129">
        <f>Depreciation!F37</f>
        <v>6254.2031520888722</v>
      </c>
      <c r="F38" s="129">
        <f>Depreciation!G37</f>
        <v>6254.2031520888722</v>
      </c>
      <c r="G38" s="129">
        <f>Depreciation!H37</f>
        <v>6254.2031520888722</v>
      </c>
      <c r="H38" s="129">
        <f>Depreciation!I37</f>
        <v>6254.2031520888722</v>
      </c>
      <c r="I38" s="129">
        <f>Depreciation!J37</f>
        <v>6254.2031520888722</v>
      </c>
      <c r="J38" s="129">
        <f>Depreciation!K37</f>
        <v>6254.2031520888722</v>
      </c>
      <c r="K38" s="129">
        <f>Depreciation!L37</f>
        <v>6254.2031520888722</v>
      </c>
      <c r="L38" s="129">
        <f>Depreciation!M37</f>
        <v>6254.2031520888722</v>
      </c>
      <c r="M38" s="129">
        <f>Depreciation!N37</f>
        <v>6254.2031520888722</v>
      </c>
      <c r="N38" s="129">
        <f>Depreciation!O37</f>
        <v>6254.2031520888722</v>
      </c>
      <c r="O38" s="129">
        <f>Depreciation!P37</f>
        <v>6254.2031520888722</v>
      </c>
      <c r="P38" s="129">
        <f>Depreciation!Q37</f>
        <v>6254.2031520888722</v>
      </c>
      <c r="Q38" s="129">
        <f>Depreciation!R37</f>
        <v>6254.2031520888722</v>
      </c>
      <c r="R38" s="129">
        <f>Depreciation!S37</f>
        <v>6254.2031520888722</v>
      </c>
      <c r="S38" s="129">
        <f>Depreciation!T37</f>
        <v>6254.2031520888722</v>
      </c>
      <c r="T38" s="129">
        <f>Depreciation!U37</f>
        <v>6254.2031520888722</v>
      </c>
      <c r="U38" s="129">
        <f>Depreciation!V37</f>
        <v>6254.2031520888722</v>
      </c>
      <c r="W38" s="93">
        <f>SUM(B38:U38)</f>
        <v>125084.06304177742</v>
      </c>
    </row>
    <row r="39" spans="1:23">
      <c r="A39" s="3"/>
      <c r="B39" s="129"/>
      <c r="C39" s="93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W39" s="93"/>
    </row>
    <row r="40" spans="1:23" s="59" customFormat="1">
      <c r="A40" s="1" t="s">
        <v>93</v>
      </c>
      <c r="B40" s="134">
        <f t="shared" ref="B40:U40" si="9">B36-B38</f>
        <v>15539.269515390688</v>
      </c>
      <c r="C40" s="134">
        <f t="shared" si="9"/>
        <v>15319.540880919472</v>
      </c>
      <c r="D40" s="134">
        <f t="shared" si="9"/>
        <v>15187.068977698802</v>
      </c>
      <c r="E40" s="134">
        <f t="shared" si="9"/>
        <v>26435.465213419411</v>
      </c>
      <c r="F40" s="134">
        <f t="shared" si="9"/>
        <v>28214.295284625507</v>
      </c>
      <c r="G40" s="134">
        <f t="shared" si="9"/>
        <v>28562.067813803151</v>
      </c>
      <c r="H40" s="134">
        <f t="shared" si="9"/>
        <v>28915.886982873839</v>
      </c>
      <c r="I40" s="134">
        <f t="shared" si="9"/>
        <v>29327.473526380578</v>
      </c>
      <c r="J40" s="134">
        <f t="shared" si="9"/>
        <v>29800.799388576001</v>
      </c>
      <c r="K40" s="134">
        <f t="shared" si="9"/>
        <v>30197.474052582373</v>
      </c>
      <c r="L40" s="134">
        <f t="shared" si="9"/>
        <v>30891.716667337096</v>
      </c>
      <c r="M40" s="134">
        <f t="shared" si="9"/>
        <v>31594.774407207267</v>
      </c>
      <c r="N40" s="134">
        <f t="shared" si="9"/>
        <v>31953.93455053222</v>
      </c>
      <c r="O40" s="134">
        <f t="shared" si="9"/>
        <v>32673.57572391424</v>
      </c>
      <c r="P40" s="134">
        <f t="shared" si="9"/>
        <v>32961.937586149026</v>
      </c>
      <c r="Q40" s="134">
        <f t="shared" si="9"/>
        <v>34090.626887968116</v>
      </c>
      <c r="R40" s="134">
        <f t="shared" si="9"/>
        <v>34634.567347810225</v>
      </c>
      <c r="S40" s="134">
        <f t="shared" si="9"/>
        <v>35180.539715826912</v>
      </c>
      <c r="T40" s="134">
        <f t="shared" si="9"/>
        <v>35723.350407911414</v>
      </c>
      <c r="U40" s="134">
        <f t="shared" si="9"/>
        <v>36262.465253298622</v>
      </c>
      <c r="W40" s="93">
        <f>SUM(B40:U40)</f>
        <v>583466.83018422499</v>
      </c>
    </row>
    <row r="41" spans="1:23" s="59" customFormat="1">
      <c r="A41" s="1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W41" s="93"/>
    </row>
    <row r="42" spans="1:23">
      <c r="A42" s="6" t="s">
        <v>94</v>
      </c>
      <c r="B42" s="129">
        <f>IS!B42*Allocation!$F$12</f>
        <v>11143.706405765861</v>
      </c>
      <c r="C42" s="129">
        <f>IS!C42*Allocation!$F$12</f>
        <v>10768.572927754794</v>
      </c>
      <c r="D42" s="129">
        <f>IS!D42*Allocation!$F$12</f>
        <v>10332.835049769688</v>
      </c>
      <c r="E42" s="129">
        <f>IS!E42*Allocation!$F$12</f>
        <v>9991.4576442432826</v>
      </c>
      <c r="F42" s="129">
        <f>IS!F42*Allocation!$F$12</f>
        <v>9858.5927795816824</v>
      </c>
      <c r="G42" s="129">
        <f>IS!G42*Allocation!$F$12</f>
        <v>9693.3392769094717</v>
      </c>
      <c r="H42" s="129">
        <f>IS!H42*Allocation!$F$12</f>
        <v>9495.0921470865796</v>
      </c>
      <c r="I42" s="129">
        <f>IS!I42*Allocation!$F$12</f>
        <v>9286.0672733756037</v>
      </c>
      <c r="J42" s="129">
        <f>IS!J42*Allocation!$F$12</f>
        <v>8984.4531959513461</v>
      </c>
      <c r="K42" s="129">
        <f>IS!K42*Allocation!$F$12</f>
        <v>8663.0861277235435</v>
      </c>
      <c r="L42" s="129">
        <f>IS!L42*Allocation!$F$12</f>
        <v>8290.815278329188</v>
      </c>
      <c r="M42" s="129">
        <f>IS!M42*Allocation!$F$12</f>
        <v>7866.1237786784413</v>
      </c>
      <c r="N42" s="129">
        <f>IS!N42*Allocation!$F$12</f>
        <v>7325.0291869071416</v>
      </c>
      <c r="O42" s="129">
        <f>IS!O42*Allocation!$F$12</f>
        <v>6728.0371449998902</v>
      </c>
      <c r="P42" s="129">
        <f>IS!P42*Allocation!$F$12</f>
        <v>6044.529475046942</v>
      </c>
      <c r="Q42" s="129">
        <f>IS!Q42*Allocation!$F$12</f>
        <v>5281.2472630231359</v>
      </c>
      <c r="R42" s="129">
        <f>IS!R42*Allocation!$F$12</f>
        <v>4384.9219757036544</v>
      </c>
      <c r="S42" s="129">
        <f>IS!S42*Allocation!$F$12</f>
        <v>3394.0541799715702</v>
      </c>
      <c r="T42" s="129">
        <f>IS!T42*Allocation!$F$12</f>
        <v>2280.5235118657652</v>
      </c>
      <c r="U42" s="129">
        <f>IS!U42*Allocation!$F$12</f>
        <v>1033.2477795312757</v>
      </c>
      <c r="W42" s="93">
        <f>SUM(B42:U42)</f>
        <v>150845.73240221885</v>
      </c>
    </row>
    <row r="43" spans="1:23" ht="6" customHeight="1">
      <c r="B43" s="69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W43" s="93"/>
    </row>
    <row r="44" spans="1:23" s="59" customFormat="1">
      <c r="A44" s="1" t="s">
        <v>95</v>
      </c>
      <c r="B44" s="134">
        <f t="shared" ref="B44:U44" si="10">B40-B42</f>
        <v>4395.5631096248271</v>
      </c>
      <c r="C44" s="134">
        <f t="shared" si="10"/>
        <v>4550.967953164678</v>
      </c>
      <c r="D44" s="134">
        <f t="shared" si="10"/>
        <v>4854.2339279291136</v>
      </c>
      <c r="E44" s="134">
        <f t="shared" si="10"/>
        <v>16444.00756917613</v>
      </c>
      <c r="F44" s="134">
        <f t="shared" si="10"/>
        <v>18355.702505043824</v>
      </c>
      <c r="G44" s="134">
        <f t="shared" si="10"/>
        <v>18868.728536893679</v>
      </c>
      <c r="H44" s="134">
        <f t="shared" si="10"/>
        <v>19420.794835787259</v>
      </c>
      <c r="I44" s="134">
        <f t="shared" si="10"/>
        <v>20041.406253004974</v>
      </c>
      <c r="J44" s="134">
        <f t="shared" si="10"/>
        <v>20816.346192624653</v>
      </c>
      <c r="K44" s="134">
        <f t="shared" si="10"/>
        <v>21534.387924858827</v>
      </c>
      <c r="L44" s="134">
        <f t="shared" si="10"/>
        <v>22600.901389007908</v>
      </c>
      <c r="M44" s="134">
        <f t="shared" si="10"/>
        <v>23728.650628528827</v>
      </c>
      <c r="N44" s="134">
        <f t="shared" si="10"/>
        <v>24628.905363625079</v>
      </c>
      <c r="O44" s="134">
        <f t="shared" si="10"/>
        <v>25945.538578914351</v>
      </c>
      <c r="P44" s="134">
        <f t="shared" si="10"/>
        <v>26917.408111102086</v>
      </c>
      <c r="Q44" s="134">
        <f t="shared" si="10"/>
        <v>28809.379624944981</v>
      </c>
      <c r="R44" s="134">
        <f t="shared" si="10"/>
        <v>30249.64537210657</v>
      </c>
      <c r="S44" s="134">
        <f t="shared" si="10"/>
        <v>31786.48553585534</v>
      </c>
      <c r="T44" s="134">
        <f t="shared" si="10"/>
        <v>33442.826896045648</v>
      </c>
      <c r="U44" s="134">
        <f t="shared" si="10"/>
        <v>35229.217473767349</v>
      </c>
      <c r="W44" s="93">
        <f>SUM(B44:U44)</f>
        <v>432621.09778200614</v>
      </c>
    </row>
    <row r="45" spans="1:23" s="59" customFormat="1">
      <c r="A45" s="1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W45" s="93"/>
    </row>
    <row r="46" spans="1:23">
      <c r="A46" s="3" t="s">
        <v>96</v>
      </c>
      <c r="B46" s="129">
        <f>B44*-Summary!$G$37</f>
        <v>-263.73378657748964</v>
      </c>
      <c r="C46" s="129">
        <f>C44*-Summary!$G$37</f>
        <v>-273.05807718988069</v>
      </c>
      <c r="D46" s="129">
        <f>D44*-Summary!$G$37</f>
        <v>-291.25403567574682</v>
      </c>
      <c r="E46" s="129">
        <f>E44*-Summary!$G$37</f>
        <v>-986.64045415056773</v>
      </c>
      <c r="F46" s="129">
        <f>F44*-Summary!$G$37</f>
        <v>-1101.3421503026293</v>
      </c>
      <c r="G46" s="129">
        <f>G44*-Summary!$G$37</f>
        <v>-1132.1237122136206</v>
      </c>
      <c r="H46" s="129">
        <f>H44*-Summary!$G$37</f>
        <v>-1165.2476901472355</v>
      </c>
      <c r="I46" s="129">
        <f>I44*-Summary!$G$37</f>
        <v>-1202.4843751802985</v>
      </c>
      <c r="J46" s="129">
        <f>J44*-Summary!$G$37</f>
        <v>-1248.9807715574791</v>
      </c>
      <c r="K46" s="129">
        <f>K44*-Summary!$G$37</f>
        <v>-1292.0632754915296</v>
      </c>
      <c r="L46" s="129">
        <f>L44*-Summary!$G$37</f>
        <v>-1356.0540833404743</v>
      </c>
      <c r="M46" s="129">
        <f>M44*-Summary!$G$37</f>
        <v>-1423.7190377117295</v>
      </c>
      <c r="N46" s="129">
        <f>N44*-Summary!$G$37</f>
        <v>-1477.7343218175047</v>
      </c>
      <c r="O46" s="129">
        <f>O44*-Summary!$G$37</f>
        <v>-1556.7323147348611</v>
      </c>
      <c r="P46" s="129">
        <f>P44*-Summary!$G$37</f>
        <v>-1615.0444866661251</v>
      </c>
      <c r="Q46" s="129">
        <f>Q44*-Summary!$G$37</f>
        <v>-1728.5627774966988</v>
      </c>
      <c r="R46" s="129">
        <f>R44*-Summary!$G$37</f>
        <v>-1814.9787223263941</v>
      </c>
      <c r="S46" s="129">
        <f>S44*-Summary!$G$37</f>
        <v>-1907.1891321513203</v>
      </c>
      <c r="T46" s="129">
        <f>T44*-Summary!$G$37</f>
        <v>-2006.5696137627388</v>
      </c>
      <c r="U46" s="129">
        <f>U44*-Summary!$G$37</f>
        <v>-2113.753048426041</v>
      </c>
      <c r="W46" s="93">
        <f>SUM(B46:U46)</f>
        <v>-25957.265866920367</v>
      </c>
    </row>
    <row r="47" spans="1:23">
      <c r="A47" s="3" t="s">
        <v>97</v>
      </c>
      <c r="B47" s="123">
        <f>(B44+B46)*-Summary!$G$36</f>
        <v>-1446.140263066568</v>
      </c>
      <c r="C47" s="123">
        <f>(C44+C46)*-Summary!$G$36</f>
        <v>-1497.2684565911791</v>
      </c>
      <c r="D47" s="123">
        <f>(D44+D46)*-Summary!$G$36</f>
        <v>-1597.0429622886782</v>
      </c>
      <c r="E47" s="123">
        <f>(E44+E46)*-Summary!$G$36</f>
        <v>-5410.0784902589467</v>
      </c>
      <c r="F47" s="123">
        <f>(F44+F46)*-Summary!$G$36</f>
        <v>-6039.026124159418</v>
      </c>
      <c r="G47" s="123">
        <f>(G44+G46)*-Summary!$G$36</f>
        <v>-6207.8116886380203</v>
      </c>
      <c r="H47" s="123">
        <f>(H44+H46)*-Summary!$G$36</f>
        <v>-6389.4415009740078</v>
      </c>
      <c r="I47" s="123">
        <f>(I44+I46)*-Summary!$G$36</f>
        <v>-6593.6226572386358</v>
      </c>
      <c r="J47" s="123">
        <f>(J44+J46)*-Summary!$G$36</f>
        <v>-6848.5778973735105</v>
      </c>
      <c r="K47" s="123">
        <f>(K44+K46)*-Summary!$G$36</f>
        <v>-7084.8136272785541</v>
      </c>
      <c r="L47" s="123">
        <f>(L44+L46)*-Summary!$G$36</f>
        <v>-7435.6965569836011</v>
      </c>
      <c r="M47" s="123">
        <f>(M44+M46)*-Summary!$G$36</f>
        <v>-7806.7260567859839</v>
      </c>
      <c r="N47" s="123">
        <f>(N44+N46)*-Summary!$G$36</f>
        <v>-8102.9098646326502</v>
      </c>
      <c r="O47" s="123">
        <f>(O44+O46)*-Summary!$G$36</f>
        <v>-8536.0821924628217</v>
      </c>
      <c r="P47" s="123">
        <f>(P44+P46)*-Summary!$G$36</f>
        <v>-8855.8272685525862</v>
      </c>
      <c r="Q47" s="123">
        <f>(Q44+Q46)*-Summary!$G$36</f>
        <v>-9478.2858966068979</v>
      </c>
      <c r="R47" s="123">
        <f>(R44+R46)*-Summary!$G$36</f>
        <v>-9952.1333274230601</v>
      </c>
      <c r="S47" s="123">
        <f>(S44+S46)*-Summary!$G$36</f>
        <v>-10457.753741296407</v>
      </c>
      <c r="T47" s="123">
        <f>(T44+T46)*-Summary!$G$36</f>
        <v>-11002.690048799017</v>
      </c>
      <c r="U47" s="123">
        <f>(U44+U46)*-Summary!$G$36</f>
        <v>-11590.412548869457</v>
      </c>
      <c r="W47" s="93">
        <f>SUM(B47:U47)</f>
        <v>-142332.34117028001</v>
      </c>
    </row>
    <row r="48" spans="1:23" ht="6" customHeight="1"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W48" s="93"/>
    </row>
    <row r="49" spans="1:55" s="66" customFormat="1" ht="15.75">
      <c r="A49" s="47" t="s">
        <v>143</v>
      </c>
      <c r="B49" s="136">
        <f t="shared" ref="B49:U49" si="11">SUM(B44:B47)</f>
        <v>2685.6890599807693</v>
      </c>
      <c r="C49" s="136">
        <f t="shared" si="11"/>
        <v>2780.6414193836185</v>
      </c>
      <c r="D49" s="136">
        <f t="shared" si="11"/>
        <v>2965.9369299646883</v>
      </c>
      <c r="E49" s="136">
        <f t="shared" si="11"/>
        <v>10047.288624766617</v>
      </c>
      <c r="F49" s="136">
        <f t="shared" si="11"/>
        <v>11215.334230581777</v>
      </c>
      <c r="G49" s="136">
        <f t="shared" si="11"/>
        <v>11528.793136042041</v>
      </c>
      <c r="H49" s="136">
        <f t="shared" si="11"/>
        <v>11866.105644666015</v>
      </c>
      <c r="I49" s="136">
        <f t="shared" si="11"/>
        <v>12245.299220586039</v>
      </c>
      <c r="J49" s="136">
        <f t="shared" si="11"/>
        <v>12718.787523693663</v>
      </c>
      <c r="K49" s="136">
        <f t="shared" si="11"/>
        <v>13157.511022088745</v>
      </c>
      <c r="L49" s="136">
        <f t="shared" si="11"/>
        <v>13809.150748683833</v>
      </c>
      <c r="M49" s="136">
        <f t="shared" si="11"/>
        <v>14498.205534031113</v>
      </c>
      <c r="N49" s="136">
        <f t="shared" si="11"/>
        <v>15048.261177174925</v>
      </c>
      <c r="O49" s="136">
        <f t="shared" si="11"/>
        <v>15852.724071716668</v>
      </c>
      <c r="P49" s="136">
        <f t="shared" si="11"/>
        <v>16446.536355883378</v>
      </c>
      <c r="Q49" s="136">
        <f t="shared" si="11"/>
        <v>17602.530950841385</v>
      </c>
      <c r="R49" s="136">
        <f t="shared" si="11"/>
        <v>18482.533322357114</v>
      </c>
      <c r="S49" s="136">
        <f t="shared" si="11"/>
        <v>19421.542662407614</v>
      </c>
      <c r="T49" s="136">
        <f t="shared" si="11"/>
        <v>20433.567233483893</v>
      </c>
      <c r="U49" s="136">
        <f t="shared" si="11"/>
        <v>21525.051876471851</v>
      </c>
      <c r="W49" s="93">
        <f>SUM(B49:U49)</f>
        <v>264331.49074480572</v>
      </c>
    </row>
    <row r="50" spans="1:55" s="64" customFormat="1" ht="9" outlineLevel="1">
      <c r="A50" s="4"/>
      <c r="B50" s="62"/>
      <c r="C50" s="63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</row>
    <row r="51" spans="1:55">
      <c r="A51" s="1"/>
      <c r="B51" s="58"/>
      <c r="C51" s="61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</row>
    <row r="52" spans="1:55" outlineLevel="1">
      <c r="A52" s="13"/>
      <c r="B52" s="58"/>
      <c r="C52" s="61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</row>
    <row r="53" spans="1:55" ht="18.75" outlineLevel="1">
      <c r="A53" s="57" t="s">
        <v>144</v>
      </c>
      <c r="B53" s="58"/>
      <c r="C53" s="61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</row>
    <row r="54" spans="1:55" outlineLevel="1">
      <c r="A54" s="1"/>
      <c r="B54" s="58"/>
      <c r="C54" s="61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</row>
    <row r="55" spans="1:55" ht="12.75" customHeight="1" outlineLevel="1">
      <c r="A55" s="1" t="s">
        <v>116</v>
      </c>
      <c r="B55" s="58"/>
      <c r="C55" s="61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</row>
    <row r="56" spans="1:55" ht="12.75" customHeight="1" outlineLevel="1">
      <c r="A56" s="1"/>
      <c r="B56" s="58"/>
      <c r="C56" s="61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</row>
    <row r="57" spans="1:55" ht="13.5" outlineLevel="1" thickBot="1">
      <c r="A57" s="202" t="s">
        <v>83</v>
      </c>
      <c r="B57" s="8">
        <v>2001</v>
      </c>
      <c r="C57" s="8">
        <f t="shared" ref="C57:U57" si="12">B57+1</f>
        <v>2002</v>
      </c>
      <c r="D57" s="8">
        <f t="shared" si="12"/>
        <v>2003</v>
      </c>
      <c r="E57" s="8">
        <f t="shared" si="12"/>
        <v>2004</v>
      </c>
      <c r="F57" s="8">
        <f t="shared" si="12"/>
        <v>2005</v>
      </c>
      <c r="G57" s="8">
        <f t="shared" si="12"/>
        <v>2006</v>
      </c>
      <c r="H57" s="8">
        <f t="shared" si="12"/>
        <v>2007</v>
      </c>
      <c r="I57" s="8">
        <f t="shared" si="12"/>
        <v>2008</v>
      </c>
      <c r="J57" s="8">
        <f t="shared" si="12"/>
        <v>2009</v>
      </c>
      <c r="K57" s="8">
        <f t="shared" si="12"/>
        <v>2010</v>
      </c>
      <c r="L57" s="8">
        <f t="shared" si="12"/>
        <v>2011</v>
      </c>
      <c r="M57" s="8">
        <f t="shared" si="12"/>
        <v>2012</v>
      </c>
      <c r="N57" s="8">
        <f t="shared" si="12"/>
        <v>2013</v>
      </c>
      <c r="O57" s="8">
        <f t="shared" si="12"/>
        <v>2014</v>
      </c>
      <c r="P57" s="8">
        <f t="shared" si="12"/>
        <v>2015</v>
      </c>
      <c r="Q57" s="8">
        <f t="shared" si="12"/>
        <v>2016</v>
      </c>
      <c r="R57" s="8">
        <f t="shared" si="12"/>
        <v>2017</v>
      </c>
      <c r="S57" s="8">
        <f t="shared" si="12"/>
        <v>2018</v>
      </c>
      <c r="T57" s="8">
        <f t="shared" si="12"/>
        <v>2019</v>
      </c>
      <c r="U57" s="8">
        <f t="shared" si="12"/>
        <v>2020</v>
      </c>
      <c r="W57" s="456" t="s">
        <v>231</v>
      </c>
    </row>
    <row r="58" spans="1:55" outlineLevel="1">
      <c r="A58" s="12"/>
      <c r="B58" s="58"/>
      <c r="C58" s="61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W58" s="46"/>
    </row>
    <row r="59" spans="1:55" outlineLevel="1">
      <c r="A59" s="13" t="s">
        <v>91</v>
      </c>
      <c r="B59" s="58">
        <f t="shared" ref="B59:U59" si="13">B36</f>
        <v>21793.47266747956</v>
      </c>
      <c r="C59" s="61">
        <f t="shared" si="13"/>
        <v>21573.744033008345</v>
      </c>
      <c r="D59" s="58">
        <f t="shared" si="13"/>
        <v>21441.272129787674</v>
      </c>
      <c r="E59" s="58">
        <f t="shared" si="13"/>
        <v>32689.668365508285</v>
      </c>
      <c r="F59" s="58">
        <f t="shared" si="13"/>
        <v>34468.498436714377</v>
      </c>
      <c r="G59" s="58">
        <f t="shared" si="13"/>
        <v>34816.270965892021</v>
      </c>
      <c r="H59" s="58">
        <f t="shared" si="13"/>
        <v>35170.090134962709</v>
      </c>
      <c r="I59" s="58">
        <f t="shared" si="13"/>
        <v>35581.676678469448</v>
      </c>
      <c r="J59" s="58">
        <f t="shared" si="13"/>
        <v>36055.002540664871</v>
      </c>
      <c r="K59" s="58">
        <f t="shared" si="13"/>
        <v>36451.677204671243</v>
      </c>
      <c r="L59" s="58">
        <f t="shared" si="13"/>
        <v>37145.919819425966</v>
      </c>
      <c r="M59" s="58">
        <f t="shared" si="13"/>
        <v>37848.977559296138</v>
      </c>
      <c r="N59" s="58">
        <f t="shared" si="13"/>
        <v>38208.13770262109</v>
      </c>
      <c r="O59" s="58">
        <f t="shared" si="13"/>
        <v>38927.778876003111</v>
      </c>
      <c r="P59" s="58">
        <f t="shared" si="13"/>
        <v>39216.140738237897</v>
      </c>
      <c r="Q59" s="58">
        <f t="shared" si="13"/>
        <v>40344.830040056986</v>
      </c>
      <c r="R59" s="58">
        <f t="shared" si="13"/>
        <v>40888.770499899096</v>
      </c>
      <c r="S59" s="58">
        <f t="shared" si="13"/>
        <v>41434.742867915782</v>
      </c>
      <c r="T59" s="58">
        <f t="shared" si="13"/>
        <v>41977.553560000284</v>
      </c>
      <c r="U59" s="58">
        <f t="shared" si="13"/>
        <v>42516.668405387492</v>
      </c>
      <c r="W59" s="457">
        <f>SUM(B59:U59)</f>
        <v>708550.89322600234</v>
      </c>
    </row>
    <row r="60" spans="1:55">
      <c r="A60" s="13" t="s">
        <v>255</v>
      </c>
      <c r="B60" s="69">
        <f>B28</f>
        <v>174.46</v>
      </c>
      <c r="C60" s="69">
        <f t="shared" ref="C60:U60" si="14">C28</f>
        <v>348.92</v>
      </c>
      <c r="D60" s="69">
        <f t="shared" si="14"/>
        <v>436.15</v>
      </c>
      <c r="E60" s="69">
        <f t="shared" si="14"/>
        <v>436.15</v>
      </c>
      <c r="F60" s="69">
        <f t="shared" si="14"/>
        <v>436.15</v>
      </c>
      <c r="G60" s="69">
        <f t="shared" si="14"/>
        <v>523.38</v>
      </c>
      <c r="H60" s="69">
        <f t="shared" si="14"/>
        <v>523.38</v>
      </c>
      <c r="I60" s="69">
        <f t="shared" si="14"/>
        <v>523.38</v>
      </c>
      <c r="J60" s="69">
        <f t="shared" si="14"/>
        <v>523.38</v>
      </c>
      <c r="K60" s="69">
        <f t="shared" si="14"/>
        <v>523.38</v>
      </c>
      <c r="L60" s="69">
        <f t="shared" si="14"/>
        <v>523.38</v>
      </c>
      <c r="M60" s="69">
        <f t="shared" si="14"/>
        <v>523.38</v>
      </c>
      <c r="N60" s="69">
        <f t="shared" si="14"/>
        <v>872.3</v>
      </c>
      <c r="O60" s="69">
        <f t="shared" si="14"/>
        <v>872.3</v>
      </c>
      <c r="P60" s="69">
        <f t="shared" si="14"/>
        <v>1308.45</v>
      </c>
      <c r="Q60" s="69">
        <f t="shared" si="14"/>
        <v>743.93104499999993</v>
      </c>
      <c r="R60" s="69">
        <f t="shared" si="14"/>
        <v>758.80966589999991</v>
      </c>
      <c r="S60" s="69">
        <f t="shared" si="14"/>
        <v>773.98585921799997</v>
      </c>
      <c r="T60" s="69">
        <f t="shared" si="14"/>
        <v>789.46557640235994</v>
      </c>
      <c r="U60" s="69">
        <f t="shared" si="14"/>
        <v>805.25488793040722</v>
      </c>
      <c r="W60" s="457">
        <f>SUM(B60:U60)</f>
        <v>12419.987034450767</v>
      </c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</row>
    <row r="61" spans="1:55">
      <c r="A61" s="13" t="s">
        <v>256</v>
      </c>
      <c r="B61" s="537">
        <v>-92.2251014</v>
      </c>
      <c r="C61" s="69">
        <f>-B60</f>
        <v>-174.46</v>
      </c>
      <c r="D61" s="69">
        <f t="shared" ref="D61:U61" si="15">-C60</f>
        <v>-348.92</v>
      </c>
      <c r="E61" s="69">
        <f t="shared" si="15"/>
        <v>-436.15</v>
      </c>
      <c r="F61" s="69">
        <f t="shared" si="15"/>
        <v>-436.15</v>
      </c>
      <c r="G61" s="69">
        <f t="shared" si="15"/>
        <v>-436.15</v>
      </c>
      <c r="H61" s="69">
        <f t="shared" si="15"/>
        <v>-523.38</v>
      </c>
      <c r="I61" s="69">
        <f t="shared" si="15"/>
        <v>-523.38</v>
      </c>
      <c r="J61" s="69">
        <f t="shared" si="15"/>
        <v>-523.38</v>
      </c>
      <c r="K61" s="69">
        <f t="shared" si="15"/>
        <v>-523.38</v>
      </c>
      <c r="L61" s="69">
        <f t="shared" si="15"/>
        <v>-523.38</v>
      </c>
      <c r="M61" s="69">
        <f t="shared" si="15"/>
        <v>-523.38</v>
      </c>
      <c r="N61" s="69">
        <f t="shared" si="15"/>
        <v>-523.38</v>
      </c>
      <c r="O61" s="69">
        <f t="shared" si="15"/>
        <v>-872.3</v>
      </c>
      <c r="P61" s="69">
        <f t="shared" si="15"/>
        <v>-872.3</v>
      </c>
      <c r="Q61" s="69">
        <f t="shared" si="15"/>
        <v>-1308.45</v>
      </c>
      <c r="R61" s="69">
        <f t="shared" si="15"/>
        <v>-743.93104499999993</v>
      </c>
      <c r="S61" s="69">
        <f t="shared" si="15"/>
        <v>-758.80966589999991</v>
      </c>
      <c r="T61" s="69">
        <f t="shared" si="15"/>
        <v>-773.98585921799997</v>
      </c>
      <c r="U61" s="69">
        <f t="shared" si="15"/>
        <v>-789.46557640235994</v>
      </c>
      <c r="W61" s="457">
        <f>SUM(B61:U61)</f>
        <v>-11706.957247920362</v>
      </c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</row>
    <row r="62" spans="1:55" outlineLevel="1">
      <c r="A62" s="13" t="s">
        <v>99</v>
      </c>
      <c r="B62" s="455">
        <f>-Debt!B75*Allocation!$F$12</f>
        <v>-15660.331513087662</v>
      </c>
      <c r="C62" s="455">
        <f>-Debt!C75*Allocation!$F$12</f>
        <v>-15618.976852690033</v>
      </c>
      <c r="D62" s="455">
        <f>-Debt!D75*Allocation!$F$12</f>
        <v>-15539.397736729412</v>
      </c>
      <c r="E62" s="455">
        <f>-Debt!E75*Allocation!$F$12</f>
        <v>-10886.05019593116</v>
      </c>
      <c r="F62" s="455">
        <f>-Debt!F75*Allocation!$F$12</f>
        <v>-11442.568652497806</v>
      </c>
      <c r="G62" s="455">
        <f>-Debt!G75*Allocation!$F$12</f>
        <v>-11603.942427576249</v>
      </c>
      <c r="H62" s="455">
        <f>-Debt!H75*Allocation!$F$12</f>
        <v>-11754.984801864466</v>
      </c>
      <c r="I62" s="455">
        <f>-Debt!I75*Allocation!$F$12</f>
        <v>-11955.333404472027</v>
      </c>
      <c r="J62" s="455">
        <f>-Debt!J75*Allocation!$F$12</f>
        <v>-12111.70951612176</v>
      </c>
      <c r="K62" s="455">
        <f>-Debt!K75*Allocation!$F$12</f>
        <v>-12230.44300247562</v>
      </c>
      <c r="L62" s="455">
        <f>-Debt!L75*Allocation!$F$12</f>
        <v>-12471.288109416604</v>
      </c>
      <c r="M62" s="455">
        <f>-Debt!M75*Allocation!$F$12</f>
        <v>-12758.151939754047</v>
      </c>
      <c r="N62" s="455">
        <f>-Debt!N75*Allocation!$F$12</f>
        <v>-12948.270258286917</v>
      </c>
      <c r="O62" s="455">
        <f>-Debt!O75*Allocation!$F$12</f>
        <v>-13180.932637882821</v>
      </c>
      <c r="P62" s="455">
        <f>-Debt!P75*Allocation!$F$12</f>
        <v>-13386.843291199857</v>
      </c>
      <c r="Q62" s="455">
        <f>-Debt!Q75*Allocation!$F$12</f>
        <v>-13635.620582216603</v>
      </c>
      <c r="R62" s="455">
        <f>-Debt!R75*Allocation!$F$12</f>
        <v>-13769.567204777393</v>
      </c>
      <c r="S62" s="455">
        <f>-Debt!S75*Allocation!$F$12</f>
        <v>-13944.956781449446</v>
      </c>
      <c r="T62" s="455">
        <f>-Debt!T75*Allocation!$F$12</f>
        <v>-14123.594284176459</v>
      </c>
      <c r="U62" s="455">
        <f>-Debt!U75*Allocation!$F$12</f>
        <v>-14330.188281394163</v>
      </c>
      <c r="W62" s="457">
        <f>SUM(B62:U62)</f>
        <v>-263353.15147400042</v>
      </c>
    </row>
    <row r="63" spans="1:55" outlineLevel="1">
      <c r="A63" s="13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W63" s="458"/>
    </row>
    <row r="64" spans="1:55" s="59" customFormat="1" outlineLevel="1">
      <c r="A64" s="12" t="s">
        <v>100</v>
      </c>
      <c r="B64" s="138">
        <f t="shared" ref="B64:U64" si="16">SUM(B59:B62)</f>
        <v>6215.3760529918982</v>
      </c>
      <c r="C64" s="138">
        <f t="shared" si="16"/>
        <v>6129.2271803183103</v>
      </c>
      <c r="D64" s="138">
        <f t="shared" si="16"/>
        <v>5989.1043930582655</v>
      </c>
      <c r="E64" s="138">
        <f t="shared" si="16"/>
        <v>21803.618169577123</v>
      </c>
      <c r="F64" s="138">
        <f t="shared" si="16"/>
        <v>23025.929784216569</v>
      </c>
      <c r="G64" s="138">
        <f t="shared" si="16"/>
        <v>23299.558538315767</v>
      </c>
      <c r="H64" s="138">
        <f t="shared" si="16"/>
        <v>23415.105333098243</v>
      </c>
      <c r="I64" s="138">
        <f t="shared" si="16"/>
        <v>23626.343273997423</v>
      </c>
      <c r="J64" s="138">
        <f t="shared" si="16"/>
        <v>23943.293024543113</v>
      </c>
      <c r="K64" s="138">
        <f t="shared" si="16"/>
        <v>24221.234202195621</v>
      </c>
      <c r="L64" s="138">
        <f t="shared" si="16"/>
        <v>24674.631710009362</v>
      </c>
      <c r="M64" s="138">
        <f t="shared" si="16"/>
        <v>25090.825619542091</v>
      </c>
      <c r="N64" s="138">
        <f t="shared" si="16"/>
        <v>25608.787444334179</v>
      </c>
      <c r="O64" s="138">
        <f t="shared" si="16"/>
        <v>25746.846238120292</v>
      </c>
      <c r="P64" s="138">
        <f t="shared" si="16"/>
        <v>26265.447447038034</v>
      </c>
      <c r="Q64" s="138">
        <f t="shared" si="16"/>
        <v>26144.690502840385</v>
      </c>
      <c r="R64" s="138">
        <f t="shared" si="16"/>
        <v>27134.081916021707</v>
      </c>
      <c r="S64" s="138">
        <f t="shared" si="16"/>
        <v>27504.96227978434</v>
      </c>
      <c r="T64" s="138">
        <f t="shared" si="16"/>
        <v>27869.438993008185</v>
      </c>
      <c r="U64" s="138">
        <f t="shared" si="16"/>
        <v>28202.269435521375</v>
      </c>
      <c r="W64" s="457">
        <f>SUM(B64:U64)</f>
        <v>445910.77153853228</v>
      </c>
    </row>
    <row r="65" spans="1:23" outlineLevel="1">
      <c r="A65" s="12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W65" s="458"/>
    </row>
    <row r="66" spans="1:23" ht="15" outlineLevel="1">
      <c r="A66" s="13" t="s">
        <v>136</v>
      </c>
      <c r="B66" s="235">
        <f>-B112</f>
        <v>-13.565660493934811</v>
      </c>
      <c r="C66" s="235">
        <f t="shared" ref="C66:U66" si="17">-C112</f>
        <v>0</v>
      </c>
      <c r="D66" s="235">
        <f t="shared" si="17"/>
        <v>0</v>
      </c>
      <c r="E66" s="235">
        <f t="shared" si="17"/>
        <v>0</v>
      </c>
      <c r="F66" s="235">
        <f t="shared" si="17"/>
        <v>-65.556293614867286</v>
      </c>
      <c r="G66" s="235">
        <f t="shared" si="17"/>
        <v>-728.10218858867961</v>
      </c>
      <c r="H66" s="235">
        <f t="shared" si="17"/>
        <v>-802.50390732608105</v>
      </c>
      <c r="I66" s="235">
        <f t="shared" si="17"/>
        <v>-838.48975172872622</v>
      </c>
      <c r="J66" s="235">
        <f t="shared" si="17"/>
        <v>-886.23698873632463</v>
      </c>
      <c r="K66" s="235">
        <f t="shared" si="17"/>
        <v>-928.06865203995721</v>
      </c>
      <c r="L66" s="235">
        <f t="shared" si="17"/>
        <v>-993.31030051931987</v>
      </c>
      <c r="M66" s="235">
        <f t="shared" si="17"/>
        <v>-1059.7244142601571</v>
      </c>
      <c r="N66" s="235">
        <f t="shared" si="17"/>
        <v>-1114.9905389963503</v>
      </c>
      <c r="O66" s="235">
        <f t="shared" si="17"/>
        <v>-1192.7376912832888</v>
      </c>
      <c r="P66" s="235">
        <f t="shared" si="17"/>
        <v>-1252.3007038449705</v>
      </c>
      <c r="Q66" s="235">
        <f t="shared" si="17"/>
        <v>-1734.8169806487874</v>
      </c>
      <c r="R66" s="235">
        <f t="shared" si="17"/>
        <v>-2190.2309114517266</v>
      </c>
      <c r="S66" s="235">
        <f t="shared" si="17"/>
        <v>-2282.4413212766526</v>
      </c>
      <c r="T66" s="235">
        <f t="shared" si="17"/>
        <v>-2381.821802888071</v>
      </c>
      <c r="U66" s="235">
        <f t="shared" si="17"/>
        <v>-2489.0052375513728</v>
      </c>
      <c r="W66" s="457">
        <f>SUM(B66:U66)</f>
        <v>-20953.903345249269</v>
      </c>
    </row>
    <row r="67" spans="1:23" outlineLevel="1">
      <c r="A67" s="13" t="s">
        <v>137</v>
      </c>
      <c r="B67" s="130">
        <f>-Allocation!$F$12*Tax!B19</f>
        <v>262.50575939420355</v>
      </c>
      <c r="C67" s="130">
        <f>-Allocation!$F$12*Tax!C19</f>
        <v>3550.8054089218695</v>
      </c>
      <c r="D67" s="130">
        <f>-Allocation!$F$12*Tax!D19</f>
        <v>2719.9274618817126</v>
      </c>
      <c r="E67" s="130">
        <f>-Allocation!$F$12*Tax!E19</f>
        <v>-2082.016463510774</v>
      </c>
      <c r="F67" s="130">
        <f>-Allocation!$F$12*Tax!F19</f>
        <v>-3266.3892584039431</v>
      </c>
      <c r="G67" s="130">
        <f>-Allocation!$F$12*Tax!G19</f>
        <v>-3912.3734347235713</v>
      </c>
      <c r="H67" s="130">
        <f>-Allocation!$F$12*Tax!H19</f>
        <v>-4341.7663624849074</v>
      </c>
      <c r="I67" s="130">
        <f>-Allocation!$F$12*Tax!I19</f>
        <v>-4512.6324789654982</v>
      </c>
      <c r="J67" s="130">
        <f>-Allocation!$F$12*Tax!J19</f>
        <v>-4804.2231396327215</v>
      </c>
      <c r="K67" s="130">
        <f>-Allocation!$F$12*Tax!K19</f>
        <v>-5020.7510942330464</v>
      </c>
      <c r="L67" s="130">
        <f>-Allocation!$F$12*Tax!L19</f>
        <v>-5384.7820432724038</v>
      </c>
      <c r="M67" s="130">
        <f>-Allocation!$F$12*Tax!M19</f>
        <v>-5765.4159204634198</v>
      </c>
      <c r="N67" s="130">
        <f>-Allocation!$F$12*Tax!N19</f>
        <v>-6171.6133876976482</v>
      </c>
      <c r="O67" s="130">
        <f>-Allocation!$F$12*Tax!O19</f>
        <v>-6589.3886482920334</v>
      </c>
      <c r="P67" s="130">
        <f>-Allocation!$F$12*Tax!P19</f>
        <v>-7023.2926581523097</v>
      </c>
      <c r="Q67" s="130">
        <f>-Allocation!$F$12*Tax!Q19</f>
        <v>-9573.8000277113842</v>
      </c>
      <c r="R67" s="130">
        <f>-Allocation!$F$12*Tax!R19</f>
        <v>-12128.218209324912</v>
      </c>
      <c r="S67" s="130">
        <f>-Allocation!$F$12*Tax!S19</f>
        <v>-12625.860212032167</v>
      </c>
      <c r="T67" s="130">
        <f>-Allocation!$F$12*Tax!T19</f>
        <v>-13166.844439441144</v>
      </c>
      <c r="U67" s="130">
        <f>-Allocation!$F$12*Tax!U19</f>
        <v>-13745.411947250255</v>
      </c>
      <c r="W67" s="457">
        <f>SUM(B67:U67)</f>
        <v>-113581.54109539434</v>
      </c>
    </row>
    <row r="68" spans="1:23" outlineLevel="1">
      <c r="A68" s="13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W68" s="458"/>
    </row>
    <row r="69" spans="1:23" s="66" customFormat="1" ht="15.75" outlineLevel="1">
      <c r="A69" s="48" t="s">
        <v>101</v>
      </c>
      <c r="B69" s="139">
        <f t="shared" ref="B69:U69" si="18">B64+B67+B66</f>
        <v>6464.316151892167</v>
      </c>
      <c r="C69" s="139">
        <f t="shared" si="18"/>
        <v>9680.0325892401797</v>
      </c>
      <c r="D69" s="139">
        <f t="shared" si="18"/>
        <v>8709.0318549399781</v>
      </c>
      <c r="E69" s="139">
        <f t="shared" si="18"/>
        <v>19721.601706066351</v>
      </c>
      <c r="F69" s="139">
        <f t="shared" si="18"/>
        <v>19693.984232197759</v>
      </c>
      <c r="G69" s="139">
        <f t="shared" si="18"/>
        <v>18659.082915003513</v>
      </c>
      <c r="H69" s="139">
        <f t="shared" si="18"/>
        <v>18270.835063287253</v>
      </c>
      <c r="I69" s="139">
        <f t="shared" si="18"/>
        <v>18275.221043303201</v>
      </c>
      <c r="J69" s="139">
        <f t="shared" si="18"/>
        <v>18252.832896174066</v>
      </c>
      <c r="K69" s="139">
        <f t="shared" si="18"/>
        <v>18272.414455922615</v>
      </c>
      <c r="L69" s="139">
        <f t="shared" si="18"/>
        <v>18296.539366217639</v>
      </c>
      <c r="M69" s="139">
        <f t="shared" si="18"/>
        <v>18265.685284818515</v>
      </c>
      <c r="N69" s="139">
        <f t="shared" si="18"/>
        <v>18322.18351764018</v>
      </c>
      <c r="O69" s="139">
        <f t="shared" si="18"/>
        <v>17964.719898544969</v>
      </c>
      <c r="P69" s="139">
        <f t="shared" si="18"/>
        <v>17989.854085040752</v>
      </c>
      <c r="Q69" s="139">
        <f t="shared" si="18"/>
        <v>14836.073494480215</v>
      </c>
      <c r="R69" s="139">
        <f t="shared" si="18"/>
        <v>12815.632795245068</v>
      </c>
      <c r="S69" s="139">
        <f t="shared" si="18"/>
        <v>12596.660746475522</v>
      </c>
      <c r="T69" s="139">
        <f t="shared" si="18"/>
        <v>12320.772750678971</v>
      </c>
      <c r="U69" s="139">
        <f t="shared" si="18"/>
        <v>11967.852250719747</v>
      </c>
      <c r="W69" s="457">
        <f>SUM(B69:U69)</f>
        <v>311375.32709788869</v>
      </c>
    </row>
    <row r="70" spans="1:23" outlineLevel="1">
      <c r="A70" s="15"/>
      <c r="B70" s="69"/>
      <c r="C70" s="131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</row>
    <row r="71" spans="1:23" outlineLevel="1">
      <c r="A71" s="14"/>
      <c r="B71" s="69"/>
      <c r="C71" s="131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</row>
    <row r="72" spans="1:23" outlineLevel="1">
      <c r="A72" s="14">
        <v>0</v>
      </c>
      <c r="B72" s="69">
        <f>B36</f>
        <v>21793.47266747956</v>
      </c>
      <c r="C72" s="69">
        <f t="shared" ref="C72:U72" si="19">C36</f>
        <v>21573.744033008345</v>
      </c>
      <c r="D72" s="69">
        <f t="shared" si="19"/>
        <v>21441.272129787674</v>
      </c>
      <c r="E72" s="69">
        <f t="shared" si="19"/>
        <v>32689.668365508285</v>
      </c>
      <c r="F72" s="69">
        <f t="shared" si="19"/>
        <v>34468.498436714377</v>
      </c>
      <c r="G72" s="69">
        <f t="shared" si="19"/>
        <v>34816.270965892021</v>
      </c>
      <c r="H72" s="69">
        <f t="shared" si="19"/>
        <v>35170.090134962709</v>
      </c>
      <c r="I72" s="69">
        <f t="shared" si="19"/>
        <v>35581.676678469448</v>
      </c>
      <c r="J72" s="69">
        <f t="shared" si="19"/>
        <v>36055.002540664871</v>
      </c>
      <c r="K72" s="69">
        <f t="shared" si="19"/>
        <v>36451.677204671243</v>
      </c>
      <c r="L72" s="69">
        <f t="shared" si="19"/>
        <v>37145.919819425966</v>
      </c>
      <c r="M72" s="69">
        <f t="shared" si="19"/>
        <v>37848.977559296138</v>
      </c>
      <c r="N72" s="69">
        <f t="shared" si="19"/>
        <v>38208.13770262109</v>
      </c>
      <c r="O72" s="69">
        <f t="shared" si="19"/>
        <v>38927.778876003111</v>
      </c>
      <c r="P72" s="69">
        <f t="shared" si="19"/>
        <v>39216.140738237897</v>
      </c>
      <c r="Q72" s="69">
        <f t="shared" si="19"/>
        <v>40344.830040056986</v>
      </c>
      <c r="R72" s="69">
        <f t="shared" si="19"/>
        <v>40888.770499899096</v>
      </c>
      <c r="S72" s="69">
        <f t="shared" si="19"/>
        <v>41434.742867915782</v>
      </c>
      <c r="T72" s="69">
        <f t="shared" si="19"/>
        <v>41977.553560000284</v>
      </c>
      <c r="U72" s="69">
        <f t="shared" si="19"/>
        <v>42516.668405387492</v>
      </c>
    </row>
    <row r="73" spans="1:23" outlineLevel="1">
      <c r="A73" s="14" t="s">
        <v>239</v>
      </c>
      <c r="B73" s="463">
        <f>Assumptions!B39</f>
        <v>0.11443483820421446</v>
      </c>
      <c r="C73" s="464">
        <f>[7]!_xludf.xnpv(B73,A72:U72,CF!$B$8:$V$8)</f>
        <v>246075.52605216138</v>
      </c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</row>
    <row r="74" spans="1:23" outlineLevel="1">
      <c r="A74" s="70"/>
      <c r="B74" s="58"/>
      <c r="C74" s="61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</row>
    <row r="75" spans="1:23" outlineLevel="1">
      <c r="A75" s="70"/>
      <c r="B75" s="58"/>
      <c r="C75" s="61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</row>
    <row r="76" spans="1:23" outlineLevel="1">
      <c r="A76" s="7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</row>
    <row r="77" spans="1:23" ht="18.75" outlineLevel="1">
      <c r="A77" s="57" t="s">
        <v>291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</row>
    <row r="78" spans="1:23" outlineLevel="1">
      <c r="A78" s="59"/>
      <c r="B78" s="20"/>
      <c r="C78" s="20"/>
      <c r="D78" s="20"/>
      <c r="E78" s="20"/>
      <c r="F78" s="20"/>
      <c r="G78" s="140"/>
      <c r="H78" s="20"/>
      <c r="I78" s="20"/>
      <c r="J78" s="20"/>
      <c r="K78" s="20"/>
      <c r="L78" s="20"/>
      <c r="M78" s="140"/>
      <c r="N78" s="20"/>
      <c r="O78" s="20"/>
      <c r="P78" s="20"/>
      <c r="Q78" s="20"/>
      <c r="R78" s="20"/>
      <c r="S78" s="140"/>
      <c r="T78" s="20"/>
      <c r="U78" s="20"/>
    </row>
    <row r="79" spans="1:23" outlineLevel="1">
      <c r="A79" s="236"/>
      <c r="B79" s="257">
        <v>3</v>
      </c>
      <c r="C79" s="257">
        <v>4</v>
      </c>
      <c r="D79" s="257">
        <v>5</v>
      </c>
      <c r="E79" s="258">
        <v>6</v>
      </c>
      <c r="F79" s="257">
        <v>7</v>
      </c>
      <c r="G79" s="257">
        <v>8</v>
      </c>
      <c r="H79" s="257">
        <v>9</v>
      </c>
      <c r="I79" s="257">
        <v>10</v>
      </c>
      <c r="J79" s="257">
        <v>11</v>
      </c>
      <c r="K79" s="258">
        <v>12</v>
      </c>
      <c r="L79" s="257">
        <v>13</v>
      </c>
      <c r="M79" s="257">
        <v>14</v>
      </c>
      <c r="N79" s="257">
        <v>15</v>
      </c>
      <c r="O79" s="257">
        <v>16</v>
      </c>
      <c r="P79" s="257">
        <v>17</v>
      </c>
      <c r="Q79" s="258">
        <v>18</v>
      </c>
      <c r="R79" s="257">
        <v>19</v>
      </c>
      <c r="S79" s="257">
        <v>20</v>
      </c>
      <c r="T79" s="257">
        <v>21</v>
      </c>
      <c r="U79" s="257">
        <v>22</v>
      </c>
    </row>
    <row r="80" spans="1:23" ht="13.5" outlineLevel="1" thickBot="1">
      <c r="A80" s="202" t="s">
        <v>83</v>
      </c>
      <c r="B80" s="8">
        <v>2001</v>
      </c>
      <c r="C80" s="8">
        <v>2002</v>
      </c>
      <c r="D80" s="8">
        <v>2003</v>
      </c>
      <c r="E80" s="8">
        <v>2004</v>
      </c>
      <c r="F80" s="8">
        <v>2005</v>
      </c>
      <c r="G80" s="8">
        <v>2006</v>
      </c>
      <c r="H80" s="8">
        <v>2007</v>
      </c>
      <c r="I80" s="8">
        <v>2008</v>
      </c>
      <c r="J80" s="8">
        <v>2009</v>
      </c>
      <c r="K80" s="8">
        <v>2010</v>
      </c>
      <c r="L80" s="8">
        <v>2011</v>
      </c>
      <c r="M80" s="8">
        <v>2012</v>
      </c>
      <c r="N80" s="8">
        <v>2013</v>
      </c>
      <c r="O80" s="8">
        <v>2014</v>
      </c>
      <c r="P80" s="8">
        <v>2015</v>
      </c>
      <c r="Q80" s="8">
        <v>2016</v>
      </c>
      <c r="R80" s="8">
        <v>2017</v>
      </c>
      <c r="S80" s="8">
        <v>2018</v>
      </c>
      <c r="T80" s="8">
        <v>2019</v>
      </c>
      <c r="U80" s="8">
        <v>2020</v>
      </c>
    </row>
    <row r="81" spans="1:44" outlineLevel="1">
      <c r="A81" s="236"/>
      <c r="B81" s="264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44" outlineLevel="1">
      <c r="A82" s="236"/>
      <c r="B82" s="264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44">
      <c r="A83" s="237" t="s">
        <v>279</v>
      </c>
      <c r="B83" s="264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44" outlineLevel="1">
      <c r="A84" s="236"/>
      <c r="B84" s="264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44" outlineLevel="1">
      <c r="A85" s="59" t="s">
        <v>292</v>
      </c>
      <c r="B85" s="508">
        <f>Depreciation!C38</f>
        <v>202219.23525087349</v>
      </c>
      <c r="C85" s="508">
        <f>Depreciation!D38</f>
        <v>195965.03209878461</v>
      </c>
      <c r="D85" s="508">
        <f>Depreciation!E38</f>
        <v>189710.82894669572</v>
      </c>
      <c r="E85" s="508">
        <f>Depreciation!F38</f>
        <v>183456.62579460684</v>
      </c>
      <c r="F85" s="508">
        <f>Depreciation!G38</f>
        <v>177202.42264251795</v>
      </c>
      <c r="G85" s="508">
        <f>Depreciation!H38</f>
        <v>170948.21949042907</v>
      </c>
      <c r="H85" s="508">
        <f>Depreciation!I38</f>
        <v>164694.01633834018</v>
      </c>
      <c r="I85" s="508">
        <f>Depreciation!J38</f>
        <v>158439.8131862513</v>
      </c>
      <c r="J85" s="508">
        <f>Depreciation!K38</f>
        <v>152185.61003416241</v>
      </c>
      <c r="K85" s="508">
        <f>Depreciation!L38</f>
        <v>145931.40688207353</v>
      </c>
      <c r="L85" s="508">
        <f>Depreciation!M38</f>
        <v>139677.20372998464</v>
      </c>
      <c r="M85" s="508">
        <f>Depreciation!N38</f>
        <v>133423.00057789576</v>
      </c>
      <c r="N85" s="508">
        <f>Depreciation!O38</f>
        <v>127168.79742580689</v>
      </c>
      <c r="O85" s="508">
        <f>Depreciation!P38</f>
        <v>120914.59427371802</v>
      </c>
      <c r="P85" s="508">
        <f>Depreciation!Q38</f>
        <v>114660.39112162915</v>
      </c>
      <c r="Q85" s="508">
        <f>Depreciation!R38</f>
        <v>108406.18796954027</v>
      </c>
      <c r="R85" s="508">
        <f>Depreciation!S38</f>
        <v>102151.9848174514</v>
      </c>
      <c r="S85" s="508">
        <f>Depreciation!T38</f>
        <v>95897.781665362534</v>
      </c>
      <c r="T85" s="508">
        <f>Depreciation!U38</f>
        <v>89643.578513273664</v>
      </c>
      <c r="U85" s="508">
        <f>Depreciation!V38</f>
        <v>83389.375361184793</v>
      </c>
      <c r="W85" s="483">
        <f t="shared" ref="W85:W93" si="20">SUM(B85:U85)</f>
        <v>2856086.1061205817</v>
      </c>
    </row>
    <row r="86" spans="1:44" outlineLevel="1">
      <c r="A86" s="7" t="s">
        <v>276</v>
      </c>
      <c r="B86" s="508">
        <f>Depreciation!$B$36*Assumptions!$B$8</f>
        <v>99379.132169195582</v>
      </c>
      <c r="C86" s="508">
        <f>Depreciation!$B$36*Assumptions!$B$8</f>
        <v>99379.132169195582</v>
      </c>
      <c r="D86" s="508">
        <f>Depreciation!$B$36*Assumptions!$B$8</f>
        <v>99379.132169195582</v>
      </c>
      <c r="E86" s="508">
        <f>Depreciation!$B$36*Assumptions!$B$8</f>
        <v>99379.132169195582</v>
      </c>
      <c r="F86" s="508">
        <f>Depreciation!$B$36*Assumptions!$B$8</f>
        <v>99379.132169195582</v>
      </c>
      <c r="G86" s="508">
        <f>Depreciation!$B$36*Assumptions!$B$8</f>
        <v>99379.132169195582</v>
      </c>
      <c r="H86" s="508">
        <f>Depreciation!$B$36*Assumptions!$B$8</f>
        <v>99379.132169195582</v>
      </c>
      <c r="I86" s="508">
        <f>Depreciation!$B$36*Assumptions!$B$8</f>
        <v>99379.132169195582</v>
      </c>
      <c r="J86" s="508">
        <f>Depreciation!$B$36*Assumptions!$B$8</f>
        <v>99379.132169195582</v>
      </c>
      <c r="K86" s="508">
        <f>Depreciation!$B$36*Assumptions!$B$8</f>
        <v>99379.132169195582</v>
      </c>
      <c r="L86" s="508">
        <f>Depreciation!$B$36*Assumptions!$B$8</f>
        <v>99379.132169195582</v>
      </c>
      <c r="M86" s="508">
        <f>Depreciation!$B$36*Assumptions!$B$8</f>
        <v>99379.132169195582</v>
      </c>
      <c r="N86" s="508">
        <f>Depreciation!$B$36*Assumptions!$B$8</f>
        <v>99379.132169195582</v>
      </c>
      <c r="O86" s="508">
        <f>Depreciation!$B$36*Assumptions!$B$8</f>
        <v>99379.132169195582</v>
      </c>
      <c r="P86" s="508">
        <f>Depreciation!$B$36*Assumptions!$B$8</f>
        <v>99379.132169195582</v>
      </c>
      <c r="Q86" s="508">
        <f>Depreciation!$B$36*Assumptions!$B$8</f>
        <v>99379.132169195582</v>
      </c>
      <c r="R86" s="508">
        <f>Depreciation!$B$36*Assumptions!$B$8</f>
        <v>99379.132169195582</v>
      </c>
      <c r="S86" s="508">
        <f>Depreciation!$B$36*Assumptions!$B$8</f>
        <v>99379.132169195582</v>
      </c>
      <c r="T86" s="508">
        <f>Depreciation!$B$36*Assumptions!$B$8</f>
        <v>99379.132169195582</v>
      </c>
      <c r="U86" s="508">
        <f>Depreciation!$B$36*Assumptions!$B$8</f>
        <v>99379.132169195582</v>
      </c>
      <c r="W86" s="483">
        <f t="shared" si="20"/>
        <v>1987582.6433839125</v>
      </c>
    </row>
    <row r="87" spans="1:44" outlineLevel="1">
      <c r="A87" s="512" t="s">
        <v>285</v>
      </c>
      <c r="B87" s="509">
        <f>B49-B69</f>
        <v>-3778.6270919113977</v>
      </c>
      <c r="C87" s="509">
        <f t="shared" ref="C87:U87" si="21">C49-C69</f>
        <v>-6899.3911698565607</v>
      </c>
      <c r="D87" s="509">
        <f t="shared" si="21"/>
        <v>-5743.0949249752903</v>
      </c>
      <c r="E87" s="509">
        <f t="shared" si="21"/>
        <v>-9674.3130812997333</v>
      </c>
      <c r="F87" s="509">
        <f t="shared" si="21"/>
        <v>-8478.6500016159825</v>
      </c>
      <c r="G87" s="509">
        <f t="shared" si="21"/>
        <v>-7130.2897789614726</v>
      </c>
      <c r="H87" s="509">
        <f t="shared" si="21"/>
        <v>-6404.7294186212384</v>
      </c>
      <c r="I87" s="509">
        <f t="shared" si="21"/>
        <v>-6029.9218227171623</v>
      </c>
      <c r="J87" s="509">
        <f t="shared" si="21"/>
        <v>-5534.0453724804029</v>
      </c>
      <c r="K87" s="509">
        <f t="shared" si="21"/>
        <v>-5114.9034338338697</v>
      </c>
      <c r="L87" s="509">
        <f t="shared" si="21"/>
        <v>-4487.3886175338066</v>
      </c>
      <c r="M87" s="509">
        <f t="shared" si="21"/>
        <v>-3767.4797507874027</v>
      </c>
      <c r="N87" s="509">
        <f t="shared" si="21"/>
        <v>-3273.9223404652548</v>
      </c>
      <c r="O87" s="509">
        <f t="shared" si="21"/>
        <v>-2111.9958268283008</v>
      </c>
      <c r="P87" s="509">
        <f t="shared" si="21"/>
        <v>-1543.3177291573738</v>
      </c>
      <c r="Q87" s="509">
        <f t="shared" si="21"/>
        <v>2766.4574563611695</v>
      </c>
      <c r="R87" s="509">
        <f t="shared" si="21"/>
        <v>5666.9005271120459</v>
      </c>
      <c r="S87" s="509">
        <f t="shared" si="21"/>
        <v>6824.8819159320919</v>
      </c>
      <c r="T87" s="509">
        <f t="shared" si="21"/>
        <v>8112.7944828049222</v>
      </c>
      <c r="U87" s="509">
        <f t="shared" si="21"/>
        <v>9557.1996257521041</v>
      </c>
      <c r="W87" s="483">
        <f t="shared" si="20"/>
        <v>-47043.836353082923</v>
      </c>
    </row>
    <row r="88" spans="1:44" outlineLevel="1">
      <c r="A88" s="512" t="s">
        <v>286</v>
      </c>
      <c r="B88" s="510">
        <f>Debt!B70*Allocation!$F$12</f>
        <v>81920.883796497306</v>
      </c>
      <c r="C88" s="510">
        <f>Debt!C70*Allocation!$F$12</f>
        <v>81920.883796497306</v>
      </c>
      <c r="D88" s="510">
        <f>Debt!D70*Allocation!$F$12</f>
        <v>81920.883796497306</v>
      </c>
      <c r="E88" s="510">
        <f>Debt!E70*Allocation!$F$12</f>
        <v>81920.883796497306</v>
      </c>
      <c r="F88" s="510">
        <f>Debt!F70*Allocation!$F$12</f>
        <v>81920.883796497306</v>
      </c>
      <c r="G88" s="510">
        <f>Debt!G70*Allocation!$F$12</f>
        <v>81920.883796497306</v>
      </c>
      <c r="H88" s="510">
        <f>Debt!H70*Allocation!$F$12</f>
        <v>81920.883796497306</v>
      </c>
      <c r="I88" s="510">
        <f>Debt!I70*Allocation!$F$12</f>
        <v>81920.883796497306</v>
      </c>
      <c r="J88" s="510">
        <f>Debt!J70*Allocation!$F$12</f>
        <v>81920.883796497306</v>
      </c>
      <c r="K88" s="510">
        <f>Debt!K70*Allocation!$F$12</f>
        <v>81920.883796497306</v>
      </c>
      <c r="L88" s="510">
        <f>Debt!L70*Allocation!$F$12</f>
        <v>77740.410965409887</v>
      </c>
      <c r="M88" s="510">
        <f>Debt!M70*Allocation!$F$12</f>
        <v>72848.38280433428</v>
      </c>
      <c r="N88" s="510">
        <f>Debt!N70*Allocation!$F$12</f>
        <v>67225.141732954507</v>
      </c>
      <c r="O88" s="510">
        <f>Debt!O70*Allocation!$F$12</f>
        <v>60772.246240071574</v>
      </c>
      <c r="P88" s="510">
        <f>Debt!P70*Allocation!$F$12</f>
        <v>53429.932423918661</v>
      </c>
      <c r="Q88" s="510">
        <f>Debt!Q70*Allocation!$F$12</f>
        <v>45075.559104725195</v>
      </c>
      <c r="R88" s="510">
        <f>Debt!R70*Allocation!$F$12</f>
        <v>35690.913875651451</v>
      </c>
      <c r="S88" s="510">
        <f>Debt!S70*Allocation!$F$12</f>
        <v>25140.011274173583</v>
      </c>
      <c r="T88" s="510">
        <f>Debt!T70*Allocation!$F$12</f>
        <v>13296.940501862888</v>
      </c>
      <c r="U88" s="510">
        <f>Debt!U70*Allocation!$F$12</f>
        <v>0</v>
      </c>
      <c r="W88" s="483">
        <f t="shared" si="20"/>
        <v>1270428.3768880751</v>
      </c>
    </row>
    <row r="89" spans="1:44" outlineLevel="1">
      <c r="A89" s="59" t="s">
        <v>293</v>
      </c>
      <c r="B89" s="511">
        <f>SUM(B86:B88)</f>
        <v>177521.38887378149</v>
      </c>
      <c r="C89" s="511">
        <f t="shared" ref="C89:U89" si="22">SUM(C86:C88)</f>
        <v>174400.62479583634</v>
      </c>
      <c r="D89" s="511">
        <f t="shared" si="22"/>
        <v>175556.9210407176</v>
      </c>
      <c r="E89" s="511">
        <f t="shared" si="22"/>
        <v>171625.70288439316</v>
      </c>
      <c r="F89" s="511">
        <f t="shared" si="22"/>
        <v>172821.36596407689</v>
      </c>
      <c r="G89" s="511">
        <f t="shared" si="22"/>
        <v>174169.72618673142</v>
      </c>
      <c r="H89" s="511">
        <f t="shared" si="22"/>
        <v>174895.28654707165</v>
      </c>
      <c r="I89" s="511">
        <f t="shared" si="22"/>
        <v>175270.09414297572</v>
      </c>
      <c r="J89" s="511">
        <f t="shared" si="22"/>
        <v>175765.97059321249</v>
      </c>
      <c r="K89" s="511">
        <f t="shared" si="22"/>
        <v>176185.11253185902</v>
      </c>
      <c r="L89" s="511">
        <f t="shared" si="22"/>
        <v>172632.15451707167</v>
      </c>
      <c r="M89" s="511">
        <f t="shared" si="22"/>
        <v>168460.03522274247</v>
      </c>
      <c r="N89" s="511">
        <f t="shared" si="22"/>
        <v>163330.35156168483</v>
      </c>
      <c r="O89" s="511">
        <f t="shared" si="22"/>
        <v>158039.38258243885</v>
      </c>
      <c r="P89" s="511">
        <f t="shared" si="22"/>
        <v>151265.74686395685</v>
      </c>
      <c r="Q89" s="511">
        <f t="shared" si="22"/>
        <v>147221.14873028194</v>
      </c>
      <c r="R89" s="511">
        <f t="shared" si="22"/>
        <v>140736.94657195907</v>
      </c>
      <c r="S89" s="511">
        <f t="shared" si="22"/>
        <v>131344.02535930127</v>
      </c>
      <c r="T89" s="511">
        <f t="shared" si="22"/>
        <v>120788.86715386339</v>
      </c>
      <c r="U89" s="511">
        <f t="shared" si="22"/>
        <v>108936.33179494769</v>
      </c>
      <c r="W89" s="483">
        <f t="shared" si="20"/>
        <v>3210967.1839189036</v>
      </c>
    </row>
    <row r="90" spans="1:44" outlineLevel="1">
      <c r="A90" s="236"/>
      <c r="B90" s="511"/>
      <c r="C90" s="511"/>
      <c r="D90" s="511"/>
      <c r="E90" s="511"/>
      <c r="F90" s="511"/>
      <c r="G90" s="511"/>
      <c r="H90" s="511"/>
      <c r="I90" s="511"/>
      <c r="J90" s="511"/>
      <c r="K90" s="511"/>
      <c r="L90" s="511"/>
      <c r="M90" s="511"/>
      <c r="N90" s="511"/>
      <c r="O90" s="511"/>
      <c r="P90" s="511"/>
      <c r="Q90" s="511"/>
      <c r="R90" s="511"/>
      <c r="S90" s="511"/>
      <c r="T90" s="511"/>
      <c r="U90" s="511"/>
      <c r="W90" s="483"/>
    </row>
    <row r="91" spans="1:44" outlineLevel="1">
      <c r="A91" s="59" t="s">
        <v>294</v>
      </c>
      <c r="B91" s="511">
        <f>MAX(B89,B85)</f>
        <v>202219.23525087349</v>
      </c>
      <c r="C91" s="511">
        <f t="shared" ref="C91:U91" si="23">MAX(C89,C85)</f>
        <v>195965.03209878461</v>
      </c>
      <c r="D91" s="511">
        <f t="shared" si="23"/>
        <v>189710.82894669572</v>
      </c>
      <c r="E91" s="511">
        <f t="shared" si="23"/>
        <v>183456.62579460684</v>
      </c>
      <c r="F91" s="511">
        <f t="shared" si="23"/>
        <v>177202.42264251795</v>
      </c>
      <c r="G91" s="511">
        <f t="shared" si="23"/>
        <v>174169.72618673142</v>
      </c>
      <c r="H91" s="511">
        <f t="shared" si="23"/>
        <v>174895.28654707165</v>
      </c>
      <c r="I91" s="511">
        <f t="shared" si="23"/>
        <v>175270.09414297572</v>
      </c>
      <c r="J91" s="511">
        <f t="shared" si="23"/>
        <v>175765.97059321249</v>
      </c>
      <c r="K91" s="511">
        <f t="shared" si="23"/>
        <v>176185.11253185902</v>
      </c>
      <c r="L91" s="511">
        <f t="shared" si="23"/>
        <v>172632.15451707167</v>
      </c>
      <c r="M91" s="511">
        <f t="shared" si="23"/>
        <v>168460.03522274247</v>
      </c>
      <c r="N91" s="511">
        <f t="shared" si="23"/>
        <v>163330.35156168483</v>
      </c>
      <c r="O91" s="511">
        <f t="shared" si="23"/>
        <v>158039.38258243885</v>
      </c>
      <c r="P91" s="511">
        <f t="shared" si="23"/>
        <v>151265.74686395685</v>
      </c>
      <c r="Q91" s="511">
        <f t="shared" si="23"/>
        <v>147221.14873028194</v>
      </c>
      <c r="R91" s="511">
        <f t="shared" si="23"/>
        <v>140736.94657195907</v>
      </c>
      <c r="S91" s="511">
        <f t="shared" si="23"/>
        <v>131344.02535930127</v>
      </c>
      <c r="T91" s="511">
        <f t="shared" si="23"/>
        <v>120788.86715386339</v>
      </c>
      <c r="U91" s="511">
        <f t="shared" si="23"/>
        <v>108936.33179494769</v>
      </c>
      <c r="W91" s="483">
        <f t="shared" si="20"/>
        <v>3287595.3250935762</v>
      </c>
    </row>
    <row r="92" spans="1:44" outlineLevel="1">
      <c r="A92" s="512" t="s">
        <v>288</v>
      </c>
      <c r="B92" s="514">
        <f>Summary!$G$40</f>
        <v>2.5000000000000001E-3</v>
      </c>
      <c r="C92" s="514">
        <f>Summary!$G$40</f>
        <v>2.5000000000000001E-3</v>
      </c>
      <c r="D92" s="514">
        <f>Summary!$G$40</f>
        <v>2.5000000000000001E-3</v>
      </c>
      <c r="E92" s="514">
        <f>Summary!$G$40</f>
        <v>2.5000000000000001E-3</v>
      </c>
      <c r="F92" s="514">
        <f>Summary!$G$40</f>
        <v>2.5000000000000001E-3</v>
      </c>
      <c r="G92" s="514">
        <f>Summary!$G$40</f>
        <v>2.5000000000000001E-3</v>
      </c>
      <c r="H92" s="514">
        <f>Summary!$G$40</f>
        <v>2.5000000000000001E-3</v>
      </c>
      <c r="I92" s="514">
        <f>Summary!$G$40</f>
        <v>2.5000000000000001E-3</v>
      </c>
      <c r="J92" s="514">
        <f>Summary!$G$40</f>
        <v>2.5000000000000001E-3</v>
      </c>
      <c r="K92" s="514">
        <f>Summary!$G$40</f>
        <v>2.5000000000000001E-3</v>
      </c>
      <c r="L92" s="514">
        <f>Summary!$G$40</f>
        <v>2.5000000000000001E-3</v>
      </c>
      <c r="M92" s="514">
        <f>Summary!$G$40</f>
        <v>2.5000000000000001E-3</v>
      </c>
      <c r="N92" s="514">
        <f>Summary!$G$40</f>
        <v>2.5000000000000001E-3</v>
      </c>
      <c r="O92" s="514">
        <f>Summary!$G$40</f>
        <v>2.5000000000000001E-3</v>
      </c>
      <c r="P92" s="514">
        <f>Summary!$G$40</f>
        <v>2.5000000000000001E-3</v>
      </c>
      <c r="Q92" s="514">
        <f>Summary!$G$40</f>
        <v>2.5000000000000001E-3</v>
      </c>
      <c r="R92" s="514">
        <f>Summary!$G$40</f>
        <v>2.5000000000000001E-3</v>
      </c>
      <c r="S92" s="514">
        <f>Summary!$G$40</f>
        <v>2.5000000000000001E-3</v>
      </c>
      <c r="T92" s="514">
        <f>Summary!$G$40</f>
        <v>2.5000000000000001E-3</v>
      </c>
      <c r="U92" s="514">
        <f>Summary!$G$40</f>
        <v>2.5000000000000001E-3</v>
      </c>
      <c r="W92" s="483"/>
    </row>
    <row r="93" spans="1:44" outlineLevel="1">
      <c r="A93" s="236" t="s">
        <v>281</v>
      </c>
      <c r="B93" s="536">
        <v>503.0878305308907</v>
      </c>
      <c r="C93" s="536">
        <v>487.52841309179104</v>
      </c>
      <c r="D93" s="536">
        <v>471.96899565269132</v>
      </c>
      <c r="E93" s="536">
        <v>456.4095782135916</v>
      </c>
      <c r="F93" s="536">
        <v>440.85016077449188</v>
      </c>
      <c r="G93" s="536">
        <v>432.92936575769875</v>
      </c>
      <c r="H93" s="536">
        <v>434.74371377935853</v>
      </c>
      <c r="I93" s="536">
        <v>435.69062081268385</v>
      </c>
      <c r="J93" s="536">
        <v>436.91731369086614</v>
      </c>
      <c r="K93" s="536">
        <v>437.97095293019368</v>
      </c>
      <c r="L93" s="536">
        <v>429.12665363649171</v>
      </c>
      <c r="M93" s="536">
        <v>418.66936380225815</v>
      </c>
      <c r="N93" s="536">
        <v>405.85378071806423</v>
      </c>
      <c r="O93" s="536">
        <v>392.63636712911847</v>
      </c>
      <c r="P93" s="536">
        <v>375.71342676450513</v>
      </c>
      <c r="Q93" s="536">
        <v>365.58239437582989</v>
      </c>
      <c r="R93" s="536">
        <v>349.36562786023569</v>
      </c>
      <c r="S93" s="536">
        <v>325.88742022751313</v>
      </c>
      <c r="T93" s="536">
        <v>299.49156476519698</v>
      </c>
      <c r="U93" s="536">
        <v>269.87752409007766</v>
      </c>
      <c r="W93" s="483">
        <f t="shared" si="20"/>
        <v>8170.3010686035477</v>
      </c>
      <c r="Y93" s="536">
        <f t="shared" ref="Y93:AR93" si="24">Y91*Y92</f>
        <v>0</v>
      </c>
      <c r="Z93" s="536">
        <f t="shared" si="24"/>
        <v>0</v>
      </c>
      <c r="AA93" s="536">
        <f t="shared" si="24"/>
        <v>0</v>
      </c>
      <c r="AB93" s="536">
        <f t="shared" si="24"/>
        <v>0</v>
      </c>
      <c r="AC93" s="536">
        <f t="shared" si="24"/>
        <v>0</v>
      </c>
      <c r="AD93" s="536">
        <f t="shared" si="24"/>
        <v>0</v>
      </c>
      <c r="AE93" s="536">
        <f t="shared" si="24"/>
        <v>0</v>
      </c>
      <c r="AF93" s="536">
        <f t="shared" si="24"/>
        <v>0</v>
      </c>
      <c r="AG93" s="536">
        <f t="shared" si="24"/>
        <v>0</v>
      </c>
      <c r="AH93" s="536">
        <f t="shared" si="24"/>
        <v>0</v>
      </c>
      <c r="AI93" s="536">
        <f t="shared" si="24"/>
        <v>0</v>
      </c>
      <c r="AJ93" s="536">
        <f t="shared" si="24"/>
        <v>0</v>
      </c>
      <c r="AK93" s="536">
        <f t="shared" si="24"/>
        <v>0</v>
      </c>
      <c r="AL93" s="536">
        <f t="shared" si="24"/>
        <v>0</v>
      </c>
      <c r="AM93" s="536">
        <f t="shared" si="24"/>
        <v>0</v>
      </c>
      <c r="AN93" s="536">
        <f t="shared" si="24"/>
        <v>0</v>
      </c>
      <c r="AO93" s="536">
        <f t="shared" si="24"/>
        <v>0</v>
      </c>
      <c r="AP93" s="536">
        <f t="shared" si="24"/>
        <v>0</v>
      </c>
      <c r="AQ93" s="536">
        <f t="shared" si="24"/>
        <v>0</v>
      </c>
      <c r="AR93" s="536">
        <f t="shared" si="24"/>
        <v>0</v>
      </c>
    </row>
    <row r="94" spans="1:44" outlineLevel="1">
      <c r="A94" s="512"/>
      <c r="B94" s="513"/>
      <c r="C94" s="513"/>
      <c r="D94" s="513"/>
      <c r="E94" s="513"/>
      <c r="F94" s="513"/>
      <c r="G94" s="513"/>
      <c r="H94" s="513"/>
      <c r="I94" s="513"/>
      <c r="J94" s="513"/>
      <c r="K94" s="513"/>
      <c r="L94" s="513"/>
      <c r="M94" s="513"/>
      <c r="N94" s="513"/>
      <c r="O94" s="513"/>
      <c r="P94" s="513"/>
      <c r="Q94" s="513"/>
      <c r="R94" s="513"/>
      <c r="S94" s="513"/>
      <c r="T94" s="513"/>
      <c r="U94" s="513"/>
    </row>
    <row r="95" spans="1:44" outlineLevel="1">
      <c r="A95" s="236"/>
      <c r="B95" s="264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spans="1:44" outlineLevel="1">
      <c r="A96" s="237" t="s">
        <v>112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1:23" outlineLevel="1">
      <c r="A97" s="237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1:23" outlineLevel="1">
      <c r="A98" s="23" t="s">
        <v>182</v>
      </c>
      <c r="B98" s="22">
        <f>B44</f>
        <v>4395.5631096248271</v>
      </c>
      <c r="C98" s="22">
        <f t="shared" ref="C98:U98" si="25">C44</f>
        <v>4550.967953164678</v>
      </c>
      <c r="D98" s="22">
        <f t="shared" si="25"/>
        <v>4854.2339279291136</v>
      </c>
      <c r="E98" s="22">
        <f t="shared" si="25"/>
        <v>16444.00756917613</v>
      </c>
      <c r="F98" s="22">
        <f t="shared" si="25"/>
        <v>18355.702505043824</v>
      </c>
      <c r="G98" s="22">
        <f t="shared" si="25"/>
        <v>18868.728536893679</v>
      </c>
      <c r="H98" s="22">
        <f t="shared" si="25"/>
        <v>19420.794835787259</v>
      </c>
      <c r="I98" s="22">
        <f t="shared" si="25"/>
        <v>20041.406253004974</v>
      </c>
      <c r="J98" s="22">
        <f t="shared" si="25"/>
        <v>20816.346192624653</v>
      </c>
      <c r="K98" s="22">
        <f t="shared" si="25"/>
        <v>21534.387924858827</v>
      </c>
      <c r="L98" s="22">
        <f t="shared" si="25"/>
        <v>22600.901389007908</v>
      </c>
      <c r="M98" s="22">
        <f t="shared" si="25"/>
        <v>23728.650628528827</v>
      </c>
      <c r="N98" s="22">
        <f t="shared" si="25"/>
        <v>24628.905363625079</v>
      </c>
      <c r="O98" s="22">
        <f t="shared" si="25"/>
        <v>25945.538578914351</v>
      </c>
      <c r="P98" s="22">
        <f t="shared" si="25"/>
        <v>26917.408111102086</v>
      </c>
      <c r="Q98" s="22">
        <f t="shared" si="25"/>
        <v>28809.379624944981</v>
      </c>
      <c r="R98" s="22">
        <f t="shared" si="25"/>
        <v>30249.64537210657</v>
      </c>
      <c r="S98" s="22">
        <f t="shared" si="25"/>
        <v>31786.48553585534</v>
      </c>
      <c r="T98" s="22">
        <f t="shared" si="25"/>
        <v>33442.826896045648</v>
      </c>
      <c r="U98" s="22">
        <f t="shared" si="25"/>
        <v>35229.217473767349</v>
      </c>
      <c r="W98" s="483">
        <f>SUM(B98:U98)</f>
        <v>432621.09778200614</v>
      </c>
    </row>
    <row r="99" spans="1:23" outlineLevel="1">
      <c r="A99" s="23" t="s">
        <v>183</v>
      </c>
      <c r="B99" s="22">
        <f>B38</f>
        <v>6254.2031520888722</v>
      </c>
      <c r="C99" s="22">
        <f t="shared" ref="C99:U99" si="26">C38</f>
        <v>6254.2031520888722</v>
      </c>
      <c r="D99" s="22">
        <f t="shared" si="26"/>
        <v>6254.2031520888722</v>
      </c>
      <c r="E99" s="22">
        <f t="shared" si="26"/>
        <v>6254.2031520888722</v>
      </c>
      <c r="F99" s="22">
        <f t="shared" si="26"/>
        <v>6254.2031520888722</v>
      </c>
      <c r="G99" s="22">
        <f t="shared" si="26"/>
        <v>6254.2031520888722</v>
      </c>
      <c r="H99" s="22">
        <f t="shared" si="26"/>
        <v>6254.2031520888722</v>
      </c>
      <c r="I99" s="22">
        <f t="shared" si="26"/>
        <v>6254.2031520888722</v>
      </c>
      <c r="J99" s="22">
        <f t="shared" si="26"/>
        <v>6254.2031520888722</v>
      </c>
      <c r="K99" s="22">
        <f t="shared" si="26"/>
        <v>6254.2031520888722</v>
      </c>
      <c r="L99" s="22">
        <f t="shared" si="26"/>
        <v>6254.2031520888722</v>
      </c>
      <c r="M99" s="22">
        <f t="shared" si="26"/>
        <v>6254.2031520888722</v>
      </c>
      <c r="N99" s="22">
        <f t="shared" si="26"/>
        <v>6254.2031520888722</v>
      </c>
      <c r="O99" s="22">
        <f t="shared" si="26"/>
        <v>6254.2031520888722</v>
      </c>
      <c r="P99" s="22">
        <f t="shared" si="26"/>
        <v>6254.2031520888722</v>
      </c>
      <c r="Q99" s="22">
        <f t="shared" si="26"/>
        <v>6254.2031520888722</v>
      </c>
      <c r="R99" s="22">
        <f t="shared" si="26"/>
        <v>6254.2031520888722</v>
      </c>
      <c r="S99" s="22">
        <f t="shared" si="26"/>
        <v>6254.2031520888722</v>
      </c>
      <c r="T99" s="22">
        <f t="shared" si="26"/>
        <v>6254.2031520888722</v>
      </c>
      <c r="U99" s="22">
        <f t="shared" si="26"/>
        <v>6254.2031520888722</v>
      </c>
      <c r="W99" s="483">
        <f>SUM(B99:U99)</f>
        <v>125084.06304177742</v>
      </c>
    </row>
    <row r="100" spans="1:23" ht="15" outlineLevel="1">
      <c r="A100" s="23" t="s">
        <v>308</v>
      </c>
      <c r="B100" s="240">
        <f>-Depreciation!C87-Depreciation!C112*Allocation!$F$12</f>
        <v>-10423.671920148119</v>
      </c>
      <c r="C100" s="240">
        <f>-Depreciation!D87-Depreciation!D112*Allocation!$F$12</f>
        <v>-19804.976648281427</v>
      </c>
      <c r="D100" s="240">
        <f>-Depreciation!E87-Depreciation!E112*Allocation!$F$12</f>
        <v>-17824.478983453286</v>
      </c>
      <c r="E100" s="240">
        <f>-Depreciation!F87-Depreciation!F112*Allocation!$F$12</f>
        <v>-16052.454757028103</v>
      </c>
      <c r="F100" s="240">
        <f>-Depreciation!G87-Depreciation!G112*Allocation!$F$12</f>
        <v>-14447.209281325293</v>
      </c>
      <c r="G100" s="240">
        <f>-Depreciation!H87-Depreciation!H112*Allocation!$F$12</f>
        <v>-12987.895212504556</v>
      </c>
      <c r="H100" s="240">
        <f>-Depreciation!I87-Depreciation!I112*Allocation!$F$12</f>
        <v>-12299.932865774779</v>
      </c>
      <c r="I100" s="240">
        <f>-Depreciation!J87-Depreciation!J112*Allocation!$F$12</f>
        <v>-12320.780209615077</v>
      </c>
      <c r="J100" s="240">
        <f>-Depreciation!K87-Depreciation!K112*Allocation!$F$12</f>
        <v>-12299.932865774779</v>
      </c>
      <c r="K100" s="240">
        <f>-Depreciation!L87-Depreciation!L112*Allocation!$F$12</f>
        <v>-12320.780209615077</v>
      </c>
      <c r="L100" s="240">
        <f>-Depreciation!M87-Depreciation!M112*Allocation!$F$12</f>
        <v>-12299.932865774779</v>
      </c>
      <c r="M100" s="240">
        <f>-Depreciation!N87-Depreciation!N112*Allocation!$F$12</f>
        <v>-12320.780209615077</v>
      </c>
      <c r="N100" s="240">
        <f>-Depreciation!O87-Depreciation!O112*Allocation!$F$12</f>
        <v>-12299.932865774779</v>
      </c>
      <c r="O100" s="240">
        <f>-Depreciation!P87-Depreciation!P112*Allocation!$F$12</f>
        <v>-12320.780209615077</v>
      </c>
      <c r="P100" s="240">
        <f>-Depreciation!Q87-Depreciation!Q112*Allocation!$F$12</f>
        <v>-12299.932865774779</v>
      </c>
      <c r="Q100" s="240">
        <f>-Depreciation!R87-Depreciation!R112*Allocation!$F$12</f>
        <v>-6149.9664328873896</v>
      </c>
      <c r="R100" s="240">
        <f>-Depreciation!S87-Depreciation!S112*Allocation!$F$12</f>
        <v>0</v>
      </c>
      <c r="S100" s="240">
        <f>-Depreciation!T87-Depreciation!T112*Allocation!$F$12</f>
        <v>0</v>
      </c>
      <c r="T100" s="240">
        <f>-Depreciation!U87-Depreciation!U112*Allocation!$F$12</f>
        <v>0</v>
      </c>
      <c r="U100" s="240">
        <f>-Depreciation!V87-Depreciation!V112*Allocation!$F$12</f>
        <v>0</v>
      </c>
      <c r="W100" s="484">
        <f>SUM(B100:U100)</f>
        <v>-208473.43840296238</v>
      </c>
    </row>
    <row r="101" spans="1:23" outlineLevel="1">
      <c r="A101" s="239" t="s">
        <v>181</v>
      </c>
      <c r="B101" s="24">
        <f t="shared" ref="B101:U101" si="27">SUM(B98:B100)</f>
        <v>226.09434156558018</v>
      </c>
      <c r="C101" s="24">
        <f t="shared" si="27"/>
        <v>-8999.8055430278764</v>
      </c>
      <c r="D101" s="24">
        <f t="shared" si="27"/>
        <v>-6716.0419034352999</v>
      </c>
      <c r="E101" s="24">
        <f t="shared" si="27"/>
        <v>6645.7559642368979</v>
      </c>
      <c r="F101" s="24">
        <f t="shared" si="27"/>
        <v>10162.696375807402</v>
      </c>
      <c r="G101" s="24">
        <f t="shared" si="27"/>
        <v>12135.036476477993</v>
      </c>
      <c r="H101" s="24">
        <f t="shared" si="27"/>
        <v>13375.06512210135</v>
      </c>
      <c r="I101" s="24">
        <f t="shared" si="27"/>
        <v>13974.829195478771</v>
      </c>
      <c r="J101" s="24">
        <f t="shared" si="27"/>
        <v>14770.616478938744</v>
      </c>
      <c r="K101" s="24">
        <f t="shared" si="27"/>
        <v>15467.810867332621</v>
      </c>
      <c r="L101" s="24">
        <f t="shared" si="27"/>
        <v>16555.171675321999</v>
      </c>
      <c r="M101" s="24">
        <f t="shared" si="27"/>
        <v>17662.07357100262</v>
      </c>
      <c r="N101" s="24">
        <f t="shared" si="27"/>
        <v>18583.175649939174</v>
      </c>
      <c r="O101" s="24">
        <f t="shared" si="27"/>
        <v>19878.961521388148</v>
      </c>
      <c r="P101" s="24">
        <f t="shared" si="27"/>
        <v>20871.678397416177</v>
      </c>
      <c r="Q101" s="24">
        <f t="shared" si="27"/>
        <v>28913.61634414646</v>
      </c>
      <c r="R101" s="24">
        <f t="shared" si="27"/>
        <v>36503.84852419544</v>
      </c>
      <c r="S101" s="24">
        <f t="shared" si="27"/>
        <v>38040.68868794421</v>
      </c>
      <c r="T101" s="24">
        <f t="shared" si="27"/>
        <v>39697.030048134518</v>
      </c>
      <c r="U101" s="24">
        <f t="shared" si="27"/>
        <v>41483.420625856219</v>
      </c>
      <c r="W101" s="483">
        <f>SUM(B101:U101)</f>
        <v>349231.72242082108</v>
      </c>
    </row>
    <row r="102" spans="1:23" outlineLevel="1">
      <c r="A102" s="23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</row>
    <row r="103" spans="1:23" outlineLevel="1">
      <c r="A103" s="23" t="s">
        <v>53</v>
      </c>
      <c r="B103" s="481">
        <f>Summary!$G$37</f>
        <v>0.06</v>
      </c>
      <c r="C103" s="481">
        <f>Summary!$G$37</f>
        <v>0.06</v>
      </c>
      <c r="D103" s="481">
        <f>Summary!$G$37</f>
        <v>0.06</v>
      </c>
      <c r="E103" s="481">
        <f>Summary!$G$37</f>
        <v>0.06</v>
      </c>
      <c r="F103" s="481">
        <f>Summary!$G$37</f>
        <v>0.06</v>
      </c>
      <c r="G103" s="481">
        <f>Summary!$G$37</f>
        <v>0.06</v>
      </c>
      <c r="H103" s="481">
        <f>Summary!$G$37</f>
        <v>0.06</v>
      </c>
      <c r="I103" s="481">
        <f>Summary!$G$37</f>
        <v>0.06</v>
      </c>
      <c r="J103" s="481">
        <f>Summary!$G$37</f>
        <v>0.06</v>
      </c>
      <c r="K103" s="481">
        <f>Summary!$G$37</f>
        <v>0.06</v>
      </c>
      <c r="L103" s="481">
        <f>Summary!$G$37</f>
        <v>0.06</v>
      </c>
      <c r="M103" s="481">
        <f>Summary!$G$37</f>
        <v>0.06</v>
      </c>
      <c r="N103" s="481">
        <f>Summary!$G$37</f>
        <v>0.06</v>
      </c>
      <c r="O103" s="481">
        <f>Summary!$G$37</f>
        <v>0.06</v>
      </c>
      <c r="P103" s="481">
        <f>Summary!$G$37</f>
        <v>0.06</v>
      </c>
      <c r="Q103" s="481">
        <f>Summary!$G$37</f>
        <v>0.06</v>
      </c>
      <c r="R103" s="481">
        <f>Summary!$G$37</f>
        <v>0.06</v>
      </c>
      <c r="S103" s="481">
        <f>Summary!$G$37</f>
        <v>0.06</v>
      </c>
      <c r="T103" s="481">
        <f>Summary!$G$37</f>
        <v>0.06</v>
      </c>
      <c r="U103" s="481">
        <f>Summary!$G$37</f>
        <v>0.06</v>
      </c>
    </row>
    <row r="104" spans="1:23" outlineLevel="1">
      <c r="A104" s="23" t="s">
        <v>184</v>
      </c>
      <c r="B104" s="22">
        <f>B101*B103</f>
        <v>13.565660493934811</v>
      </c>
      <c r="C104" s="22">
        <f t="shared" ref="C104:U104" si="28">C101*C103</f>
        <v>-539.98833258167258</v>
      </c>
      <c r="D104" s="22">
        <f t="shared" si="28"/>
        <v>-402.96251420611799</v>
      </c>
      <c r="E104" s="22">
        <f t="shared" si="28"/>
        <v>398.74535785421386</v>
      </c>
      <c r="F104" s="22">
        <f t="shared" si="28"/>
        <v>609.7617825484441</v>
      </c>
      <c r="G104" s="22">
        <f t="shared" si="28"/>
        <v>728.10218858867961</v>
      </c>
      <c r="H104" s="22">
        <f t="shared" si="28"/>
        <v>802.50390732608105</v>
      </c>
      <c r="I104" s="22">
        <f t="shared" si="28"/>
        <v>838.48975172872622</v>
      </c>
      <c r="J104" s="22">
        <f t="shared" si="28"/>
        <v>886.23698873632463</v>
      </c>
      <c r="K104" s="22">
        <f t="shared" si="28"/>
        <v>928.06865203995721</v>
      </c>
      <c r="L104" s="22">
        <f t="shared" si="28"/>
        <v>993.31030051931987</v>
      </c>
      <c r="M104" s="22">
        <f t="shared" si="28"/>
        <v>1059.7244142601571</v>
      </c>
      <c r="N104" s="22">
        <f t="shared" si="28"/>
        <v>1114.9905389963503</v>
      </c>
      <c r="O104" s="22">
        <f t="shared" si="28"/>
        <v>1192.7376912832888</v>
      </c>
      <c r="P104" s="22">
        <f t="shared" si="28"/>
        <v>1252.3007038449705</v>
      </c>
      <c r="Q104" s="22">
        <f t="shared" si="28"/>
        <v>1734.8169806487874</v>
      </c>
      <c r="R104" s="22">
        <f t="shared" si="28"/>
        <v>2190.2309114517266</v>
      </c>
      <c r="S104" s="22">
        <f t="shared" si="28"/>
        <v>2282.4413212766526</v>
      </c>
      <c r="T104" s="22">
        <f t="shared" si="28"/>
        <v>2381.821802888071</v>
      </c>
      <c r="U104" s="22">
        <f t="shared" si="28"/>
        <v>2489.0052375513728</v>
      </c>
    </row>
    <row r="105" spans="1:23" outlineLevel="1">
      <c r="A105" s="23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</row>
    <row r="106" spans="1:23" outlineLevel="1">
      <c r="A106" s="23" t="s">
        <v>185</v>
      </c>
      <c r="B106" s="22">
        <v>0</v>
      </c>
      <c r="C106" s="22">
        <f t="shared" ref="C106:U106" si="29">B110</f>
        <v>0</v>
      </c>
      <c r="D106" s="22">
        <f t="shared" si="29"/>
        <v>539.98833258167258</v>
      </c>
      <c r="E106" s="22">
        <f t="shared" si="29"/>
        <v>942.95084678779062</v>
      </c>
      <c r="F106" s="22">
        <f t="shared" si="29"/>
        <v>544.20548893357682</v>
      </c>
      <c r="G106" s="22">
        <f t="shared" si="29"/>
        <v>0</v>
      </c>
      <c r="H106" s="22">
        <f t="shared" si="29"/>
        <v>0</v>
      </c>
      <c r="I106" s="22">
        <f t="shared" si="29"/>
        <v>0</v>
      </c>
      <c r="J106" s="22">
        <f t="shared" si="29"/>
        <v>0</v>
      </c>
      <c r="K106" s="22">
        <f t="shared" si="29"/>
        <v>0</v>
      </c>
      <c r="L106" s="22">
        <f t="shared" si="29"/>
        <v>0</v>
      </c>
      <c r="M106" s="22">
        <f t="shared" si="29"/>
        <v>0</v>
      </c>
      <c r="N106" s="22">
        <f>M110</f>
        <v>0</v>
      </c>
      <c r="O106" s="22">
        <f t="shared" si="29"/>
        <v>0</v>
      </c>
      <c r="P106" s="22">
        <f t="shared" si="29"/>
        <v>0</v>
      </c>
      <c r="Q106" s="22">
        <f t="shared" si="29"/>
        <v>0</v>
      </c>
      <c r="R106" s="22">
        <v>0</v>
      </c>
      <c r="S106" s="22">
        <f t="shared" si="29"/>
        <v>0</v>
      </c>
      <c r="T106" s="22">
        <f t="shared" si="29"/>
        <v>0</v>
      </c>
      <c r="U106" s="22">
        <f t="shared" si="29"/>
        <v>0</v>
      </c>
    </row>
    <row r="107" spans="1:23" outlineLevel="1">
      <c r="A107" s="23" t="s">
        <v>186</v>
      </c>
      <c r="B107" s="255">
        <f t="shared" ref="B107:U107" si="30">IF(B77&gt;2020,0,IF(B104&lt;0,-B104,0))</f>
        <v>0</v>
      </c>
      <c r="C107" s="255">
        <f t="shared" si="30"/>
        <v>539.98833258167258</v>
      </c>
      <c r="D107" s="255">
        <f t="shared" si="30"/>
        <v>402.96251420611799</v>
      </c>
      <c r="E107" s="255">
        <f t="shared" si="30"/>
        <v>0</v>
      </c>
      <c r="F107" s="255">
        <f t="shared" si="30"/>
        <v>0</v>
      </c>
      <c r="G107" s="255">
        <f t="shared" si="30"/>
        <v>0</v>
      </c>
      <c r="H107" s="255">
        <f t="shared" si="30"/>
        <v>0</v>
      </c>
      <c r="I107" s="255">
        <f t="shared" si="30"/>
        <v>0</v>
      </c>
      <c r="J107" s="255">
        <f t="shared" si="30"/>
        <v>0</v>
      </c>
      <c r="K107" s="255">
        <f t="shared" si="30"/>
        <v>0</v>
      </c>
      <c r="L107" s="255">
        <f t="shared" si="30"/>
        <v>0</v>
      </c>
      <c r="M107" s="255">
        <f t="shared" si="30"/>
        <v>0</v>
      </c>
      <c r="N107" s="255">
        <f t="shared" si="30"/>
        <v>0</v>
      </c>
      <c r="O107" s="255">
        <f t="shared" si="30"/>
        <v>0</v>
      </c>
      <c r="P107" s="255">
        <f t="shared" si="30"/>
        <v>0</v>
      </c>
      <c r="Q107" s="255">
        <f t="shared" si="30"/>
        <v>0</v>
      </c>
      <c r="R107" s="255">
        <f t="shared" si="30"/>
        <v>0</v>
      </c>
      <c r="S107" s="255">
        <f t="shared" si="30"/>
        <v>0</v>
      </c>
      <c r="T107" s="255">
        <f t="shared" si="30"/>
        <v>0</v>
      </c>
      <c r="U107" s="255">
        <f t="shared" si="30"/>
        <v>0</v>
      </c>
    </row>
    <row r="108" spans="1:23" outlineLevel="1">
      <c r="A108" s="23" t="s">
        <v>187</v>
      </c>
      <c r="B108" s="241">
        <v>0</v>
      </c>
      <c r="C108" s="241">
        <v>0</v>
      </c>
      <c r="D108" s="241">
        <v>0</v>
      </c>
      <c r="E108" s="241">
        <v>0</v>
      </c>
      <c r="F108" s="241">
        <v>0</v>
      </c>
      <c r="G108" s="241">
        <v>0</v>
      </c>
      <c r="H108" s="241">
        <v>0</v>
      </c>
      <c r="I108" s="241">
        <v>0</v>
      </c>
      <c r="J108" s="241">
        <v>0</v>
      </c>
      <c r="K108" s="241">
        <v>0</v>
      </c>
      <c r="L108" s="241">
        <v>0</v>
      </c>
      <c r="M108" s="241">
        <v>0</v>
      </c>
      <c r="N108" s="241">
        <v>0</v>
      </c>
      <c r="O108" s="241">
        <v>0</v>
      </c>
      <c r="P108" s="241">
        <v>0</v>
      </c>
      <c r="Q108" s="241">
        <v>0</v>
      </c>
      <c r="R108" s="241">
        <v>0</v>
      </c>
      <c r="S108" s="241">
        <v>0</v>
      </c>
      <c r="T108" s="22">
        <f>IF(L107&gt;(SUM(M109:S109)+SUM(L108:S108))*-1,L107-(SUM(L109:S109)+SUM(L108:S108))*-1,0)</f>
        <v>0</v>
      </c>
      <c r="U108" s="22">
        <f>IF(M107&gt;(SUM(N109:T109)+SUM(M108:T108))*-1,M107-(SUM(M109:T109)+SUM(M108:T108))*-1,0)</f>
        <v>0</v>
      </c>
    </row>
    <row r="109" spans="1:23" outlineLevel="1">
      <c r="A109" s="19" t="s">
        <v>188</v>
      </c>
      <c r="B109" s="242">
        <f t="shared" ref="B109:T109" si="31">IF(B104&lt;0,0,IF(B106&gt;B104,-B104,-B106))</f>
        <v>0</v>
      </c>
      <c r="C109" s="242">
        <f t="shared" si="31"/>
        <v>0</v>
      </c>
      <c r="D109" s="242">
        <f t="shared" si="31"/>
        <v>0</v>
      </c>
      <c r="E109" s="242">
        <f t="shared" si="31"/>
        <v>-398.74535785421386</v>
      </c>
      <c r="F109" s="242">
        <f t="shared" si="31"/>
        <v>-544.20548893357682</v>
      </c>
      <c r="G109" s="242">
        <f t="shared" si="31"/>
        <v>0</v>
      </c>
      <c r="H109" s="242">
        <f t="shared" si="31"/>
        <v>0</v>
      </c>
      <c r="I109" s="242">
        <f t="shared" si="31"/>
        <v>0</v>
      </c>
      <c r="J109" s="242">
        <f t="shared" si="31"/>
        <v>0</v>
      </c>
      <c r="K109" s="242">
        <f t="shared" si="31"/>
        <v>0</v>
      </c>
      <c r="L109" s="242">
        <f t="shared" si="31"/>
        <v>0</v>
      </c>
      <c r="M109" s="242">
        <f t="shared" si="31"/>
        <v>0</v>
      </c>
      <c r="N109" s="242">
        <f t="shared" si="31"/>
        <v>0</v>
      </c>
      <c r="O109" s="242">
        <f t="shared" si="31"/>
        <v>0</v>
      </c>
      <c r="P109" s="242">
        <f t="shared" si="31"/>
        <v>0</v>
      </c>
      <c r="Q109" s="242">
        <f t="shared" si="31"/>
        <v>0</v>
      </c>
      <c r="R109" s="242">
        <f t="shared" si="31"/>
        <v>0</v>
      </c>
      <c r="S109" s="242">
        <f t="shared" si="31"/>
        <v>0</v>
      </c>
      <c r="T109" s="242">
        <f t="shared" si="31"/>
        <v>0</v>
      </c>
      <c r="U109" s="242">
        <f>IF(U104&lt;0,0,IF(U106&gt;U104,-U104,-U106))</f>
        <v>0</v>
      </c>
    </row>
    <row r="110" spans="1:23" outlineLevel="1">
      <c r="A110" s="19" t="s">
        <v>189</v>
      </c>
      <c r="B110" s="242">
        <f t="shared" ref="B110:U110" si="32">SUM(B106:B109)</f>
        <v>0</v>
      </c>
      <c r="C110" s="242">
        <f t="shared" si="32"/>
        <v>539.98833258167258</v>
      </c>
      <c r="D110" s="242">
        <f t="shared" si="32"/>
        <v>942.95084678779062</v>
      </c>
      <c r="E110" s="242">
        <f t="shared" si="32"/>
        <v>544.20548893357682</v>
      </c>
      <c r="F110" s="242">
        <f t="shared" si="32"/>
        <v>0</v>
      </c>
      <c r="G110" s="242">
        <f t="shared" si="32"/>
        <v>0</v>
      </c>
      <c r="H110" s="242">
        <f t="shared" si="32"/>
        <v>0</v>
      </c>
      <c r="I110" s="242">
        <f t="shared" si="32"/>
        <v>0</v>
      </c>
      <c r="J110" s="242">
        <f t="shared" si="32"/>
        <v>0</v>
      </c>
      <c r="K110" s="242">
        <f t="shared" si="32"/>
        <v>0</v>
      </c>
      <c r="L110" s="242">
        <f t="shared" si="32"/>
        <v>0</v>
      </c>
      <c r="M110" s="242">
        <f t="shared" si="32"/>
        <v>0</v>
      </c>
      <c r="N110" s="242">
        <f t="shared" si="32"/>
        <v>0</v>
      </c>
      <c r="O110" s="242">
        <f t="shared" si="32"/>
        <v>0</v>
      </c>
      <c r="P110" s="242">
        <f t="shared" si="32"/>
        <v>0</v>
      </c>
      <c r="Q110" s="242">
        <f t="shared" si="32"/>
        <v>0</v>
      </c>
      <c r="R110" s="242">
        <f t="shared" si="32"/>
        <v>0</v>
      </c>
      <c r="S110" s="242">
        <f t="shared" si="32"/>
        <v>0</v>
      </c>
      <c r="T110" s="242">
        <f t="shared" si="32"/>
        <v>0</v>
      </c>
      <c r="U110" s="242">
        <f t="shared" si="32"/>
        <v>0</v>
      </c>
    </row>
    <row r="111" spans="1:23" outlineLevel="1">
      <c r="A111" s="19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</row>
    <row r="112" spans="1:23" ht="13.5" outlineLevel="1" thickBot="1">
      <c r="A112" s="34" t="s">
        <v>180</v>
      </c>
      <c r="B112" s="367">
        <f t="shared" ref="B112:U112" si="33">IF(B104&lt;0,0,B104+B109)</f>
        <v>13.565660493934811</v>
      </c>
      <c r="C112" s="367">
        <f t="shared" si="33"/>
        <v>0</v>
      </c>
      <c r="D112" s="367">
        <f t="shared" si="33"/>
        <v>0</v>
      </c>
      <c r="E112" s="367">
        <f t="shared" si="33"/>
        <v>0</v>
      </c>
      <c r="F112" s="367">
        <f t="shared" si="33"/>
        <v>65.556293614867286</v>
      </c>
      <c r="G112" s="367">
        <f t="shared" si="33"/>
        <v>728.10218858867961</v>
      </c>
      <c r="H112" s="367">
        <f t="shared" si="33"/>
        <v>802.50390732608105</v>
      </c>
      <c r="I112" s="367">
        <f t="shared" si="33"/>
        <v>838.48975172872622</v>
      </c>
      <c r="J112" s="367">
        <f t="shared" si="33"/>
        <v>886.23698873632463</v>
      </c>
      <c r="K112" s="367">
        <f t="shared" si="33"/>
        <v>928.06865203995721</v>
      </c>
      <c r="L112" s="367">
        <f t="shared" si="33"/>
        <v>993.31030051931987</v>
      </c>
      <c r="M112" s="367">
        <f t="shared" si="33"/>
        <v>1059.7244142601571</v>
      </c>
      <c r="N112" s="367">
        <f t="shared" si="33"/>
        <v>1114.9905389963503</v>
      </c>
      <c r="O112" s="367">
        <f t="shared" si="33"/>
        <v>1192.7376912832888</v>
      </c>
      <c r="P112" s="367">
        <f t="shared" si="33"/>
        <v>1252.3007038449705</v>
      </c>
      <c r="Q112" s="367">
        <f t="shared" si="33"/>
        <v>1734.8169806487874</v>
      </c>
      <c r="R112" s="367">
        <f t="shared" si="33"/>
        <v>2190.2309114517266</v>
      </c>
      <c r="S112" s="367">
        <f t="shared" si="33"/>
        <v>2282.4413212766526</v>
      </c>
      <c r="T112" s="367">
        <f t="shared" si="33"/>
        <v>2381.821802888071</v>
      </c>
      <c r="U112" s="367">
        <f t="shared" si="33"/>
        <v>2489.0052375513728</v>
      </c>
      <c r="W112" s="483">
        <f>SUM(B112:U112)</f>
        <v>20953.903345249269</v>
      </c>
    </row>
    <row r="113" spans="1:21" outlineLevel="1">
      <c r="A113" s="7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61"/>
      <c r="M113" s="61"/>
      <c r="N113" s="61"/>
      <c r="O113" s="61"/>
      <c r="P113" s="61"/>
      <c r="Q113" s="61"/>
      <c r="R113" s="61"/>
      <c r="S113" s="61"/>
      <c r="T113" s="61"/>
      <c r="U113" s="61"/>
    </row>
    <row r="114" spans="1:21" outlineLevel="1">
      <c r="A114" s="7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61"/>
      <c r="M114" s="61"/>
      <c r="N114" s="61"/>
      <c r="O114" s="61"/>
      <c r="P114" s="61"/>
      <c r="Q114" s="61"/>
      <c r="R114" s="61"/>
      <c r="S114" s="61"/>
      <c r="T114" s="61"/>
      <c r="U114" s="61"/>
    </row>
    <row r="115" spans="1:21" ht="14.25" outlineLevel="1">
      <c r="A115" s="77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61"/>
      <c r="M115" s="61"/>
      <c r="N115" s="61"/>
      <c r="O115" s="61"/>
      <c r="P115" s="61"/>
      <c r="Q115" s="61"/>
      <c r="R115" s="61"/>
      <c r="S115" s="61"/>
      <c r="T115" s="61"/>
      <c r="U115" s="61"/>
    </row>
    <row r="116" spans="1:21" outlineLevel="1">
      <c r="A116" s="8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</row>
    <row r="117" spans="1:21" outlineLevel="1">
      <c r="A117" s="8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</row>
    <row r="118" spans="1:21" outlineLevel="1">
      <c r="A118" s="8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</row>
    <row r="119" spans="1:21" outlineLevel="1">
      <c r="A119" s="8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</row>
    <row r="120" spans="1:21" outlineLevel="1">
      <c r="A120" s="8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</row>
    <row r="121" spans="1:21" outlineLevel="1">
      <c r="A121" s="8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</row>
    <row r="122" spans="1:21" outlineLevel="1">
      <c r="A122" s="8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</row>
    <row r="123" spans="1:21" outlineLevel="1">
      <c r="A123" s="8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</row>
    <row r="124" spans="1:21" outlineLevel="1">
      <c r="A124" s="82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</row>
    <row r="125" spans="1:21" outlineLevel="1">
      <c r="A125" s="84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</row>
    <row r="126" spans="1:21" outlineLevel="1">
      <c r="A126" s="8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</row>
    <row r="127" spans="1:21" outlineLevel="1">
      <c r="A127" s="84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</row>
    <row r="128" spans="1:21" outlineLevel="1">
      <c r="A128" s="8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</row>
    <row r="129" spans="1:21" outlineLevel="1">
      <c r="A129" s="8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</row>
    <row r="130" spans="1:21" outlineLevel="1">
      <c r="A130" s="8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</row>
    <row r="131" spans="1:21" outlineLevel="1">
      <c r="A131" s="84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</row>
    <row r="132" spans="1:21" outlineLevel="1">
      <c r="A132" s="80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</row>
    <row r="133" spans="1:21" outlineLevel="1">
      <c r="A133" s="82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</row>
    <row r="134" spans="1:21" outlineLevel="1">
      <c r="A134" s="82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</row>
    <row r="135" spans="1:21" ht="15" customHeight="1" outlineLevel="1">
      <c r="A135" s="82"/>
      <c r="B135" s="71"/>
      <c r="C135" s="7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</row>
    <row r="136" spans="1:21" outlineLevel="1">
      <c r="A136" s="82"/>
      <c r="B136" s="71"/>
      <c r="C136" s="7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</row>
    <row r="137" spans="1:21" ht="14.25" customHeight="1" outlineLevel="1">
      <c r="A137" s="82"/>
      <c r="B137" s="71"/>
      <c r="C137" s="7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</row>
    <row r="138" spans="1:21" outlineLevel="1">
      <c r="A138" s="82"/>
      <c r="B138" s="71"/>
      <c r="C138" s="7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</row>
    <row r="139" spans="1:21" outlineLevel="1">
      <c r="A139" s="82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</row>
    <row r="140" spans="1:21" outlineLevel="1">
      <c r="A140" s="85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</row>
    <row r="141" spans="1:21" outlineLevel="1">
      <c r="A141" s="85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</row>
    <row r="142" spans="1:21" outlineLevel="1">
      <c r="A142" s="85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</row>
    <row r="143" spans="1:21" outlineLevel="1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</row>
    <row r="144" spans="1:21" outlineLevel="1">
      <c r="A144" s="7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</row>
    <row r="145" spans="1:21" outlineLevel="1">
      <c r="A145" s="7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</row>
    <row r="146" spans="1:21" outlineLevel="1">
      <c r="A146" s="7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</row>
    <row r="147" spans="1:21" ht="18.75" outlineLevel="1">
      <c r="A147" s="86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</row>
    <row r="148" spans="1:21" outlineLevel="1">
      <c r="A148" s="59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1:21" outlineLevel="1">
      <c r="A149" s="59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1:21" outlineLevel="1">
      <c r="A150" s="7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1:21" outlineLevel="1">
      <c r="A151" s="7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1:21" outlineLevel="1">
      <c r="A152" s="2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</row>
    <row r="153" spans="1:21" outlineLevel="1">
      <c r="A153" s="82"/>
      <c r="B153" s="71"/>
      <c r="C153" s="7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</row>
    <row r="154" spans="1:21" outlineLevel="1">
      <c r="A154" s="81"/>
      <c r="B154" s="71"/>
      <c r="C154" s="7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</row>
    <row r="155" spans="1:21" outlineLevel="1">
      <c r="A155" s="81"/>
      <c r="B155" s="71"/>
      <c r="C155" s="7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</row>
    <row r="156" spans="1:21" outlineLevel="1">
      <c r="A156" s="80"/>
      <c r="B156" s="71"/>
      <c r="C156" s="7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</row>
    <row r="157" spans="1:21" outlineLevel="1">
      <c r="A157" s="71"/>
      <c r="B157" s="71"/>
      <c r="C157" s="7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</row>
    <row r="158" spans="1:21" outlineLevel="1">
      <c r="A158" s="82"/>
      <c r="B158" s="71"/>
      <c r="C158" s="7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</row>
    <row r="159" spans="1:21" outlineLevel="1">
      <c r="A159" s="81"/>
      <c r="B159" s="71"/>
      <c r="C159" s="7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</row>
    <row r="160" spans="1:21" outlineLevel="1">
      <c r="A160" s="81"/>
      <c r="B160" s="71"/>
      <c r="C160" s="7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</row>
    <row r="161" spans="1:21" outlineLevel="1">
      <c r="A161" s="81"/>
      <c r="B161" s="71"/>
      <c r="C161" s="7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</row>
    <row r="162" spans="1:21" outlineLevel="1">
      <c r="A162" s="81"/>
      <c r="B162" s="71"/>
      <c r="C162" s="7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</row>
    <row r="163" spans="1:21" outlineLevel="1">
      <c r="A163" s="71"/>
      <c r="B163" s="71"/>
      <c r="C163" s="7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</row>
    <row r="164" spans="1:21" outlineLevel="1">
      <c r="A164" s="82"/>
      <c r="B164" s="71"/>
      <c r="C164" s="7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</row>
    <row r="165" spans="1:21" outlineLevel="1">
      <c r="A165" s="71"/>
      <c r="B165" s="71"/>
      <c r="C165" s="7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</row>
    <row r="166" spans="1:21" outlineLevel="1">
      <c r="A166" s="82"/>
      <c r="B166" s="71"/>
      <c r="C166" s="7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</row>
    <row r="167" spans="1:21" outlineLevel="1">
      <c r="A167" s="81"/>
      <c r="B167" s="71"/>
      <c r="C167" s="7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</row>
    <row r="168" spans="1:21" outlineLevel="1">
      <c r="A168" s="82"/>
      <c r="B168" s="71"/>
      <c r="C168" s="7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</row>
    <row r="169" spans="1:21" outlineLevel="1">
      <c r="A169" s="84"/>
      <c r="B169" s="71"/>
      <c r="C169" s="7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</row>
    <row r="170" spans="1:21" outlineLevel="1">
      <c r="A170" s="81"/>
      <c r="B170" s="71"/>
      <c r="C170" s="7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</row>
    <row r="171" spans="1:21" outlineLevel="1">
      <c r="A171" s="80"/>
      <c r="B171" s="71"/>
      <c r="C171" s="7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</row>
    <row r="172" spans="1:21" outlineLevel="1">
      <c r="A172" s="81"/>
      <c r="B172" s="71"/>
      <c r="C172" s="7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</row>
    <row r="173" spans="1:21" outlineLevel="1">
      <c r="A173" s="80"/>
      <c r="B173" s="71"/>
      <c r="C173" s="7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</row>
    <row r="174" spans="1:21" outlineLevel="1">
      <c r="A174" s="81"/>
      <c r="B174" s="71"/>
      <c r="C174" s="7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</row>
    <row r="175" spans="1:21" outlineLevel="1">
      <c r="A175" s="81"/>
      <c r="B175" s="71"/>
      <c r="C175" s="7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</row>
    <row r="176" spans="1:21" outlineLevel="1">
      <c r="A176" s="81"/>
      <c r="B176" s="71"/>
      <c r="C176" s="7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</row>
    <row r="177" spans="1:21" outlineLevel="1">
      <c r="A177" s="81"/>
      <c r="B177" s="71"/>
      <c r="C177" s="7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</row>
    <row r="178" spans="1:21" outlineLevel="1">
      <c r="A178" s="81"/>
      <c r="B178" s="71"/>
      <c r="C178" s="7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</row>
    <row r="179" spans="1:21" outlineLevel="1">
      <c r="A179" s="81"/>
      <c r="B179" s="71"/>
      <c r="C179" s="7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</row>
    <row r="180" spans="1:21" outlineLevel="1">
      <c r="A180" s="82"/>
      <c r="B180" s="71"/>
      <c r="C180" s="7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</row>
    <row r="181" spans="1:21" outlineLevel="1">
      <c r="A181" s="83"/>
      <c r="B181" s="71"/>
      <c r="C181" s="7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</row>
    <row r="182" spans="1:21" outlineLevel="1">
      <c r="A182" s="81"/>
      <c r="B182" s="71"/>
      <c r="C182" s="7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</row>
    <row r="183" spans="1:21" outlineLevel="1">
      <c r="A183" s="84"/>
      <c r="B183" s="71"/>
      <c r="C183" s="7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</row>
    <row r="184" spans="1:21" outlineLevel="1">
      <c r="A184" s="84"/>
      <c r="B184" s="71"/>
      <c r="C184" s="7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</row>
    <row r="185" spans="1:21" outlineLevel="1">
      <c r="A185" s="81"/>
      <c r="B185" s="71"/>
      <c r="C185" s="7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</row>
    <row r="186" spans="1:21" outlineLevel="1">
      <c r="A186" s="81"/>
      <c r="B186" s="71"/>
      <c r="C186" s="7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</row>
    <row r="187" spans="1:21" outlineLevel="1">
      <c r="A187" s="80"/>
      <c r="B187" s="71"/>
      <c r="C187" s="7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</row>
    <row r="188" spans="1:21" outlineLevel="1">
      <c r="A188" s="82"/>
      <c r="B188" s="71"/>
      <c r="C188" s="7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</row>
    <row r="189" spans="1:21" outlineLevel="1">
      <c r="A189" s="82"/>
      <c r="B189" s="71"/>
      <c r="C189" s="7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</row>
    <row r="190" spans="1:21" outlineLevel="1">
      <c r="A190" s="82"/>
      <c r="B190" s="71"/>
      <c r="C190" s="7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</row>
    <row r="191" spans="1:21" outlineLevel="1">
      <c r="A191" s="82"/>
      <c r="B191" s="71"/>
      <c r="C191" s="7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</row>
    <row r="192" spans="1:21" outlineLevel="1">
      <c r="A192" s="82"/>
      <c r="B192" s="71"/>
      <c r="C192" s="7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</row>
    <row r="193" spans="1:21" outlineLevel="1">
      <c r="A193" s="82"/>
      <c r="B193" s="71"/>
      <c r="C193" s="7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</row>
    <row r="194" spans="1:21" outlineLevel="1">
      <c r="A194" s="82"/>
      <c r="B194" s="71"/>
      <c r="C194" s="7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</row>
    <row r="195" spans="1:21" outlineLevel="1">
      <c r="A195" s="7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</row>
    <row r="196" spans="1:21" outlineLevel="1">
      <c r="A196" s="7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</row>
    <row r="197" spans="1:21" outlineLevel="1">
      <c r="A197" s="7"/>
      <c r="B197" s="7"/>
      <c r="C197" s="7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</row>
    <row r="198" spans="1:21" ht="18.75" outlineLevel="1">
      <c r="A198" s="8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5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5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2"/>
      <c r="B202" s="9"/>
      <c r="C202" s="9"/>
      <c r="D202" s="9"/>
      <c r="E202" s="9"/>
      <c r="F202" s="9"/>
      <c r="G202" s="9"/>
      <c r="H202" s="9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5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88"/>
      <c r="B204" s="89"/>
      <c r="C204" s="89"/>
      <c r="D204" s="89"/>
      <c r="E204" s="89"/>
      <c r="F204" s="89"/>
      <c r="G204" s="89"/>
      <c r="H204" s="89"/>
      <c r="I204" s="7"/>
      <c r="J204" s="89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88"/>
      <c r="B205" s="89"/>
      <c r="C205" s="89"/>
      <c r="D205" s="89"/>
      <c r="E205" s="89"/>
      <c r="F205" s="89"/>
      <c r="G205" s="89"/>
      <c r="H205" s="89"/>
      <c r="I205" s="7"/>
      <c r="J205" s="89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8"/>
      <c r="B206" s="89"/>
      <c r="C206" s="89"/>
      <c r="D206" s="89"/>
      <c r="E206" s="89"/>
      <c r="F206" s="89"/>
      <c r="G206" s="89"/>
      <c r="H206" s="89"/>
      <c r="I206" s="7"/>
      <c r="J206" s="89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8"/>
      <c r="B207" s="89"/>
      <c r="C207" s="89"/>
      <c r="D207" s="89"/>
      <c r="E207" s="89"/>
      <c r="F207" s="89"/>
      <c r="G207" s="89"/>
      <c r="H207" s="89"/>
      <c r="I207" s="7"/>
      <c r="J207" s="89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8"/>
      <c r="B208" s="89"/>
      <c r="C208" s="89"/>
      <c r="D208" s="89"/>
      <c r="E208" s="89"/>
      <c r="F208" s="89"/>
      <c r="G208" s="89"/>
      <c r="H208" s="89"/>
      <c r="I208" s="7"/>
      <c r="J208" s="89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7"/>
      <c r="B209" s="89"/>
      <c r="C209" s="89"/>
      <c r="D209" s="89"/>
      <c r="E209" s="89"/>
      <c r="F209" s="89"/>
      <c r="G209" s="89"/>
      <c r="H209" s="89"/>
      <c r="I209" s="7"/>
      <c r="J209" s="89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59"/>
      <c r="B210" s="89"/>
      <c r="C210" s="89"/>
      <c r="D210" s="89"/>
      <c r="E210" s="89"/>
      <c r="F210" s="89"/>
      <c r="G210" s="89"/>
      <c r="H210" s="89"/>
      <c r="I210" s="7"/>
      <c r="J210" s="89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88"/>
      <c r="B211" s="89"/>
      <c r="C211" s="89"/>
      <c r="D211" s="89"/>
      <c r="E211" s="89"/>
      <c r="F211" s="89"/>
      <c r="G211" s="89"/>
      <c r="H211" s="89"/>
      <c r="I211" s="7"/>
      <c r="J211" s="89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88"/>
      <c r="B212" s="89"/>
      <c r="C212" s="89"/>
      <c r="D212" s="89"/>
      <c r="E212" s="89"/>
      <c r="F212" s="89"/>
      <c r="G212" s="89"/>
      <c r="H212" s="89"/>
      <c r="I212" s="7"/>
      <c r="J212" s="89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88"/>
      <c r="B213" s="89"/>
      <c r="C213" s="89"/>
      <c r="D213" s="89"/>
      <c r="E213" s="89"/>
      <c r="F213" s="89"/>
      <c r="G213" s="89"/>
      <c r="H213" s="89"/>
      <c r="I213" s="7"/>
      <c r="J213" s="89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8"/>
      <c r="B214" s="89"/>
      <c r="C214" s="89"/>
      <c r="D214" s="89"/>
      <c r="E214" s="89"/>
      <c r="F214" s="89"/>
      <c r="G214" s="89"/>
      <c r="H214" s="89"/>
      <c r="I214" s="7"/>
      <c r="J214" s="89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8"/>
      <c r="B215" s="89"/>
      <c r="C215" s="89"/>
      <c r="D215" s="89"/>
      <c r="E215" s="89"/>
      <c r="F215" s="89"/>
      <c r="G215" s="89"/>
      <c r="H215" s="89"/>
      <c r="I215" s="7"/>
      <c r="J215" s="89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8"/>
      <c r="B216" s="89"/>
      <c r="C216" s="89"/>
      <c r="D216" s="89"/>
      <c r="E216" s="89"/>
      <c r="F216" s="89"/>
      <c r="G216" s="89"/>
      <c r="H216" s="89"/>
      <c r="I216" s="7"/>
      <c r="J216" s="89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8"/>
      <c r="B217" s="89"/>
      <c r="C217" s="89"/>
      <c r="D217" s="89"/>
      <c r="E217" s="89"/>
      <c r="F217" s="89"/>
      <c r="G217" s="89"/>
      <c r="H217" s="89"/>
      <c r="I217" s="7"/>
      <c r="J217" s="89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88"/>
      <c r="B218" s="89"/>
      <c r="C218" s="89"/>
      <c r="D218" s="89"/>
      <c r="E218" s="89"/>
      <c r="F218" s="89"/>
      <c r="G218" s="89"/>
      <c r="H218" s="89"/>
      <c r="I218" s="7"/>
      <c r="J218" s="89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88"/>
      <c r="B219" s="89"/>
      <c r="C219" s="89"/>
      <c r="D219" s="89"/>
      <c r="E219" s="89"/>
      <c r="F219" s="89"/>
      <c r="G219" s="89"/>
      <c r="H219" s="89"/>
      <c r="I219" s="7"/>
      <c r="J219" s="89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88"/>
      <c r="B220" s="89"/>
      <c r="C220" s="89"/>
      <c r="D220" s="89"/>
      <c r="E220" s="89"/>
      <c r="F220" s="89"/>
      <c r="G220" s="89"/>
      <c r="H220" s="89"/>
      <c r="I220" s="7"/>
      <c r="J220" s="89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8"/>
      <c r="B221" s="89"/>
      <c r="C221" s="89"/>
      <c r="D221" s="89"/>
      <c r="E221" s="89"/>
      <c r="F221" s="89"/>
      <c r="G221" s="89"/>
      <c r="H221" s="89"/>
      <c r="I221" s="7"/>
      <c r="J221" s="89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59"/>
      <c r="B222" s="89"/>
      <c r="C222" s="89"/>
      <c r="D222" s="89"/>
      <c r="E222" s="89"/>
      <c r="F222" s="89"/>
      <c r="G222" s="89"/>
      <c r="H222" s="89"/>
      <c r="I222" s="7"/>
      <c r="J222" s="89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88"/>
      <c r="B223" s="89"/>
      <c r="C223" s="89"/>
      <c r="D223" s="89"/>
      <c r="E223" s="89"/>
      <c r="F223" s="89"/>
      <c r="G223" s="89"/>
      <c r="H223" s="89"/>
      <c r="I223" s="7"/>
      <c r="J223" s="89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88"/>
      <c r="B224" s="89"/>
      <c r="C224" s="89"/>
      <c r="D224" s="89"/>
      <c r="E224" s="89"/>
      <c r="F224" s="89"/>
      <c r="G224" s="89"/>
      <c r="H224" s="89"/>
      <c r="I224" s="7"/>
      <c r="J224" s="89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59"/>
      <c r="B225" s="89"/>
      <c r="C225" s="89"/>
      <c r="D225" s="89"/>
      <c r="E225" s="89"/>
      <c r="F225" s="89"/>
      <c r="G225" s="89"/>
      <c r="H225" s="89"/>
      <c r="I225" s="7"/>
      <c r="J225" s="89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59"/>
      <c r="B226" s="89"/>
      <c r="C226" s="89"/>
      <c r="D226" s="89"/>
      <c r="E226" s="89"/>
      <c r="F226" s="89"/>
      <c r="G226" s="89"/>
      <c r="H226" s="89"/>
      <c r="I226" s="7"/>
      <c r="J226" s="89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7"/>
      <c r="B227" s="89"/>
      <c r="C227" s="89"/>
      <c r="D227" s="89"/>
      <c r="E227" s="89"/>
      <c r="F227" s="89"/>
      <c r="G227" s="89"/>
      <c r="H227" s="89"/>
      <c r="I227" s="7"/>
      <c r="J227" s="89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7"/>
      <c r="B228" s="89"/>
      <c r="C228" s="89"/>
      <c r="D228" s="89"/>
      <c r="E228" s="89"/>
      <c r="F228" s="89"/>
      <c r="G228" s="89"/>
      <c r="H228" s="89"/>
      <c r="I228" s="7"/>
      <c r="J228" s="89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59"/>
      <c r="B229" s="89"/>
      <c r="C229" s="89"/>
      <c r="D229" s="89"/>
      <c r="E229" s="89"/>
      <c r="F229" s="89"/>
      <c r="G229" s="89"/>
      <c r="H229" s="89"/>
      <c r="I229" s="7"/>
      <c r="J229" s="89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88"/>
      <c r="B230" s="89"/>
      <c r="C230" s="89"/>
      <c r="D230" s="89"/>
      <c r="E230" s="89"/>
      <c r="F230" s="89"/>
      <c r="G230" s="89"/>
      <c r="H230" s="89"/>
      <c r="I230" s="7"/>
      <c r="J230" s="89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59"/>
      <c r="B231" s="89"/>
      <c r="C231" s="89"/>
      <c r="D231" s="89"/>
      <c r="E231" s="89"/>
      <c r="F231" s="89"/>
      <c r="G231" s="89"/>
      <c r="H231" s="89"/>
      <c r="I231" s="7"/>
      <c r="J231" s="89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7"/>
      <c r="B232" s="89"/>
      <c r="C232" s="89"/>
      <c r="D232" s="89"/>
      <c r="E232" s="89"/>
      <c r="F232" s="89"/>
      <c r="G232" s="89"/>
      <c r="H232" s="89"/>
      <c r="I232" s="7"/>
      <c r="J232" s="89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59"/>
      <c r="B233" s="89"/>
      <c r="C233" s="89"/>
      <c r="D233" s="89"/>
      <c r="E233" s="89"/>
      <c r="F233" s="89"/>
      <c r="G233" s="89"/>
      <c r="H233" s="89"/>
      <c r="I233" s="7"/>
      <c r="J233" s="89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88"/>
      <c r="B234" s="89"/>
      <c r="C234" s="89"/>
      <c r="D234" s="89"/>
      <c r="E234" s="89"/>
      <c r="F234" s="89"/>
      <c r="G234" s="89"/>
      <c r="H234" s="89"/>
      <c r="I234" s="7"/>
      <c r="J234" s="89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88"/>
      <c r="B235" s="89"/>
      <c r="C235" s="89"/>
      <c r="D235" s="89"/>
      <c r="E235" s="89"/>
      <c r="F235" s="89"/>
      <c r="G235" s="89"/>
      <c r="H235" s="89"/>
      <c r="I235" s="7"/>
      <c r="J235" s="89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88"/>
      <c r="B236" s="89"/>
      <c r="C236" s="89"/>
      <c r="D236" s="89"/>
      <c r="E236" s="89"/>
      <c r="F236" s="89"/>
      <c r="G236" s="89"/>
      <c r="H236" s="89"/>
      <c r="I236" s="7"/>
      <c r="J236" s="89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88"/>
      <c r="B237" s="89"/>
      <c r="C237" s="89"/>
      <c r="D237" s="89"/>
      <c r="E237" s="89"/>
      <c r="F237" s="89"/>
      <c r="G237" s="89"/>
      <c r="H237" s="89"/>
      <c r="I237" s="7"/>
      <c r="J237" s="89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88"/>
      <c r="B238" s="89"/>
      <c r="C238" s="89"/>
      <c r="D238" s="89"/>
      <c r="E238" s="89"/>
      <c r="F238" s="89"/>
      <c r="G238" s="89"/>
      <c r="H238" s="89"/>
      <c r="I238" s="7"/>
      <c r="J238" s="89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88"/>
      <c r="B239" s="89"/>
      <c r="C239" s="89"/>
      <c r="D239" s="89"/>
      <c r="E239" s="89"/>
      <c r="F239" s="89"/>
      <c r="G239" s="89"/>
      <c r="H239" s="89"/>
      <c r="I239" s="7"/>
      <c r="J239" s="89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59"/>
      <c r="B240" s="89"/>
      <c r="C240" s="89"/>
      <c r="D240" s="89"/>
      <c r="E240" s="89"/>
      <c r="F240" s="89"/>
      <c r="G240" s="89"/>
      <c r="H240" s="89"/>
      <c r="I240" s="7"/>
      <c r="J240" s="89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59"/>
      <c r="B241" s="89"/>
      <c r="C241" s="89"/>
      <c r="D241" s="89"/>
      <c r="E241" s="89"/>
      <c r="F241" s="89"/>
      <c r="G241" s="89"/>
      <c r="H241" s="89"/>
      <c r="I241" s="7"/>
      <c r="J241" s="89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7"/>
      <c r="B242" s="89"/>
      <c r="C242" s="89"/>
      <c r="D242" s="89"/>
      <c r="E242" s="89"/>
      <c r="F242" s="89"/>
      <c r="G242" s="89"/>
      <c r="H242" s="89"/>
      <c r="I242" s="7"/>
      <c r="J242" s="89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59"/>
      <c r="B243" s="89"/>
      <c r="C243" s="89"/>
      <c r="D243" s="89"/>
      <c r="E243" s="89"/>
      <c r="F243" s="89"/>
      <c r="G243" s="89"/>
      <c r="H243" s="89"/>
      <c r="I243" s="7"/>
      <c r="J243" s="89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59"/>
      <c r="B244" s="89"/>
      <c r="C244" s="89"/>
      <c r="D244" s="89"/>
      <c r="E244" s="89"/>
      <c r="F244" s="89"/>
      <c r="G244" s="89"/>
      <c r="H244" s="89"/>
      <c r="I244" s="7"/>
      <c r="J244" s="89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59"/>
      <c r="B246" s="7"/>
      <c r="C246" s="61"/>
      <c r="D246" s="61"/>
      <c r="E246" s="61"/>
      <c r="F246" s="61"/>
      <c r="G246" s="61"/>
      <c r="H246" s="61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59"/>
      <c r="B247" s="7"/>
      <c r="C247" s="61"/>
      <c r="D247" s="61"/>
      <c r="E247" s="61"/>
      <c r="F247" s="61"/>
      <c r="G247" s="61"/>
      <c r="H247" s="61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59"/>
      <c r="B248" s="7"/>
      <c r="C248" s="61"/>
      <c r="D248" s="61"/>
      <c r="E248" s="61"/>
      <c r="F248" s="61"/>
      <c r="G248" s="61"/>
      <c r="H248" s="61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9"/>
      <c r="B249" s="7"/>
      <c r="C249" s="61"/>
      <c r="D249" s="61"/>
      <c r="E249" s="61"/>
      <c r="F249" s="61"/>
      <c r="G249" s="61"/>
      <c r="H249" s="61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ht="18.75" outlineLevel="1">
      <c r="A251" s="86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5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s="92" customFormat="1" outlineLevel="1">
      <c r="A255" s="91"/>
    </row>
    <row r="256" spans="1:21" outlineLevel="1">
      <c r="A256" s="5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59"/>
      <c r="B257" s="7"/>
      <c r="C257" s="93"/>
      <c r="D257" s="93"/>
      <c r="E257" s="93"/>
      <c r="F257" s="93"/>
      <c r="G257" s="93"/>
      <c r="H257" s="93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59"/>
      <c r="B258" s="7"/>
      <c r="C258" s="93"/>
      <c r="D258" s="93"/>
      <c r="E258" s="93"/>
      <c r="F258" s="93"/>
      <c r="G258" s="93"/>
      <c r="H258" s="93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7"/>
      <c r="B259" s="7"/>
      <c r="C259" s="95"/>
      <c r="D259" s="95"/>
      <c r="E259" s="95"/>
      <c r="F259" s="95"/>
      <c r="G259" s="95"/>
      <c r="H259" s="95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9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91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96"/>
      <c r="B262" s="7"/>
      <c r="C262" s="61"/>
      <c r="D262" s="61"/>
      <c r="E262" s="61"/>
      <c r="F262" s="61"/>
      <c r="G262" s="61"/>
      <c r="H262" s="61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96"/>
      <c r="B263" s="7"/>
      <c r="C263" s="61"/>
      <c r="D263" s="61"/>
      <c r="E263" s="61"/>
      <c r="F263" s="61"/>
      <c r="G263" s="61"/>
      <c r="H263" s="61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96"/>
      <c r="B264" s="7"/>
      <c r="C264" s="61"/>
      <c r="D264" s="61"/>
      <c r="E264" s="61"/>
      <c r="F264" s="61"/>
      <c r="G264" s="61"/>
      <c r="H264" s="61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96"/>
      <c r="B265" s="7"/>
      <c r="C265" s="61"/>
      <c r="D265" s="61"/>
      <c r="E265" s="61"/>
      <c r="F265" s="61"/>
      <c r="G265" s="61"/>
      <c r="H265" s="61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96"/>
      <c r="B266" s="7"/>
      <c r="C266" s="93"/>
      <c r="D266" s="93"/>
      <c r="E266" s="93"/>
      <c r="F266" s="93"/>
      <c r="G266" s="93"/>
      <c r="H266" s="93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59"/>
      <c r="B267" s="7"/>
      <c r="C267" s="97"/>
      <c r="D267" s="97"/>
      <c r="E267" s="97"/>
      <c r="F267" s="97"/>
      <c r="G267" s="97"/>
      <c r="H267" s="9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96"/>
      <c r="B268" s="7"/>
      <c r="C268" s="98"/>
      <c r="D268" s="98"/>
      <c r="E268" s="98"/>
      <c r="F268" s="98"/>
      <c r="G268" s="98"/>
      <c r="H268" s="98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96"/>
      <c r="B269" s="7"/>
      <c r="C269" s="98"/>
      <c r="D269" s="98"/>
      <c r="E269" s="98"/>
      <c r="F269" s="98"/>
      <c r="G269" s="98"/>
      <c r="H269" s="98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96"/>
      <c r="B270" s="7"/>
      <c r="C270" s="98"/>
      <c r="D270" s="98"/>
      <c r="E270" s="98"/>
      <c r="F270" s="98"/>
      <c r="G270" s="98"/>
      <c r="H270" s="98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96"/>
      <c r="B271" s="7"/>
      <c r="C271" s="98"/>
      <c r="D271" s="98"/>
      <c r="E271" s="98"/>
      <c r="F271" s="98"/>
      <c r="G271" s="98"/>
      <c r="H271" s="98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6"/>
      <c r="B272" s="7"/>
      <c r="C272" s="97"/>
      <c r="D272" s="97"/>
      <c r="E272" s="97"/>
      <c r="F272" s="97"/>
      <c r="G272" s="97"/>
      <c r="H272" s="9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59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7"/>
      <c r="B274" s="7"/>
      <c r="C274" s="61"/>
      <c r="D274" s="61"/>
      <c r="E274" s="61"/>
      <c r="F274" s="61"/>
      <c r="G274" s="61"/>
      <c r="H274" s="61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7"/>
      <c r="B275" s="7"/>
      <c r="C275" s="61"/>
      <c r="D275" s="61"/>
      <c r="E275" s="61"/>
      <c r="F275" s="61"/>
      <c r="G275" s="61"/>
      <c r="H275" s="61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7"/>
      <c r="B276" s="7"/>
      <c r="C276" s="61"/>
      <c r="D276" s="61"/>
      <c r="E276" s="61"/>
      <c r="F276" s="61"/>
      <c r="G276" s="61"/>
      <c r="H276" s="61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7"/>
      <c r="B277" s="99"/>
      <c r="C277" s="61"/>
      <c r="D277" s="61"/>
      <c r="E277" s="61"/>
      <c r="F277" s="61"/>
      <c r="G277" s="61"/>
      <c r="H277" s="61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59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93"/>
      <c r="D280" s="93"/>
      <c r="E280" s="93"/>
      <c r="F280" s="93"/>
      <c r="G280" s="93"/>
      <c r="H280" s="93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96"/>
      <c r="B281" s="7"/>
      <c r="C281" s="93"/>
      <c r="D281" s="93"/>
      <c r="E281" s="93"/>
      <c r="F281" s="93"/>
      <c r="G281" s="93"/>
      <c r="H281" s="93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96"/>
      <c r="B282" s="7"/>
      <c r="C282" s="93"/>
      <c r="D282" s="93"/>
      <c r="E282" s="93"/>
      <c r="F282" s="93"/>
      <c r="G282" s="93"/>
      <c r="H282" s="93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96"/>
      <c r="B283" s="99"/>
      <c r="C283" s="93"/>
      <c r="D283" s="93"/>
      <c r="E283" s="93"/>
      <c r="F283" s="93"/>
      <c r="G283" s="93"/>
      <c r="H283" s="93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7"/>
      <c r="B284" s="7"/>
      <c r="C284" s="93"/>
      <c r="D284" s="93"/>
      <c r="E284" s="93"/>
      <c r="F284" s="93"/>
      <c r="G284" s="93"/>
      <c r="H284" s="93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7"/>
      <c r="B285" s="7"/>
      <c r="C285" s="93"/>
      <c r="D285" s="93"/>
      <c r="E285" s="93"/>
      <c r="F285" s="93"/>
      <c r="G285" s="93"/>
      <c r="H285" s="93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7"/>
      <c r="B286" s="7"/>
      <c r="C286" s="93"/>
      <c r="D286" s="93"/>
      <c r="E286" s="93"/>
      <c r="F286" s="93"/>
      <c r="G286" s="93"/>
      <c r="H286" s="93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7"/>
      <c r="B287" s="7"/>
      <c r="C287" s="93"/>
      <c r="D287" s="93"/>
      <c r="E287" s="93"/>
      <c r="F287" s="93"/>
      <c r="G287" s="93"/>
      <c r="H287" s="93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7"/>
      <c r="B288" s="7"/>
      <c r="C288" s="93"/>
      <c r="D288" s="93"/>
      <c r="E288" s="93"/>
      <c r="F288" s="93"/>
      <c r="G288" s="93"/>
      <c r="H288" s="93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93"/>
      <c r="D289" s="93"/>
      <c r="E289" s="93"/>
      <c r="F289" s="93"/>
      <c r="G289" s="93"/>
      <c r="H289" s="93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59"/>
      <c r="B291" s="100"/>
      <c r="C291" s="100"/>
      <c r="D291" s="100"/>
      <c r="E291" s="100"/>
      <c r="F291" s="100"/>
      <c r="G291" s="100"/>
      <c r="H291" s="100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59"/>
      <c r="B292" s="99"/>
      <c r="C292" s="100"/>
      <c r="D292" s="100"/>
      <c r="E292" s="100"/>
      <c r="F292" s="100"/>
      <c r="G292" s="100"/>
      <c r="H292" s="100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59"/>
      <c r="B293" s="100"/>
      <c r="C293" s="100"/>
      <c r="D293" s="100"/>
      <c r="E293" s="100"/>
      <c r="F293" s="100"/>
      <c r="G293" s="100"/>
      <c r="H293" s="100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59"/>
      <c r="B294" s="7"/>
      <c r="C294" s="100"/>
      <c r="D294" s="100"/>
      <c r="E294" s="100"/>
      <c r="F294" s="100"/>
      <c r="G294" s="100"/>
      <c r="H294" s="100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59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59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7"/>
      <c r="B299" s="7"/>
      <c r="C299" s="89"/>
      <c r="D299" s="89"/>
      <c r="E299" s="89"/>
      <c r="F299" s="89"/>
      <c r="G299" s="89"/>
      <c r="H299" s="89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7"/>
      <c r="B300" s="7"/>
      <c r="C300" s="100"/>
      <c r="D300" s="100"/>
      <c r="E300" s="100"/>
      <c r="F300" s="100"/>
      <c r="G300" s="100"/>
      <c r="H300" s="100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7"/>
      <c r="B301" s="7"/>
      <c r="C301" s="101"/>
      <c r="D301" s="101"/>
      <c r="E301" s="101"/>
      <c r="F301" s="101"/>
      <c r="G301" s="101"/>
      <c r="H301" s="101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outlineLevel="1">
      <c r="A302" s="7"/>
      <c r="B302" s="7"/>
      <c r="C302" s="89"/>
      <c r="D302" s="89"/>
      <c r="E302" s="89"/>
      <c r="F302" s="89"/>
      <c r="G302" s="89"/>
      <c r="H302" s="89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7"/>
      <c r="B303" s="7"/>
      <c r="C303" s="101"/>
      <c r="D303" s="101"/>
      <c r="E303" s="101"/>
      <c r="F303" s="101"/>
      <c r="G303" s="101"/>
      <c r="H303" s="101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outlineLevel="1">
      <c r="A304" s="7"/>
      <c r="B304" s="7"/>
      <c r="C304" s="102"/>
      <c r="D304" s="102"/>
      <c r="E304" s="102"/>
      <c r="F304" s="102"/>
      <c r="G304" s="102"/>
      <c r="H304" s="102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6" outlineLevel="1">
      <c r="A305" s="7"/>
      <c r="B305" s="7"/>
      <c r="C305" s="102"/>
      <c r="D305" s="102"/>
      <c r="E305" s="102"/>
      <c r="F305" s="102"/>
      <c r="G305" s="102"/>
      <c r="H305" s="102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6" ht="18.75" hidden="1" outlineLevel="2">
      <c r="A306" s="86"/>
      <c r="B306" s="7"/>
      <c r="C306" s="102"/>
      <c r="D306" s="102"/>
      <c r="E306" s="102"/>
      <c r="F306" s="102"/>
      <c r="G306" s="102"/>
      <c r="H306" s="102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 hidden="1" outlineLevel="2">
      <c r="A307" s="59"/>
      <c r="B307" s="7"/>
      <c r="C307" s="102"/>
      <c r="D307" s="102"/>
      <c r="E307" s="102"/>
      <c r="F307" s="102"/>
      <c r="G307" s="102"/>
      <c r="H307" s="102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6" hidden="1" outlineLevel="2">
      <c r="A308" s="7"/>
      <c r="B308" s="7"/>
      <c r="C308" s="102"/>
      <c r="D308" s="102"/>
      <c r="E308" s="102"/>
      <c r="F308" s="102"/>
      <c r="G308" s="102"/>
      <c r="H308" s="102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hidden="1" outlineLevel="2">
      <c r="A309" s="59"/>
      <c r="B309" s="11"/>
      <c r="C309" s="11"/>
      <c r="D309" s="10"/>
      <c r="E309" s="10"/>
      <c r="F309" s="11"/>
      <c r="G309" s="11"/>
      <c r="H309" s="10"/>
      <c r="I309" s="11"/>
      <c r="J309" s="11"/>
      <c r="K309" s="11"/>
      <c r="L309" s="10"/>
      <c r="M309" s="11"/>
      <c r="N309" s="11"/>
      <c r="O309" s="7"/>
      <c r="P309" s="7"/>
      <c r="Q309" s="7"/>
      <c r="R309" s="7"/>
      <c r="S309" s="7"/>
      <c r="T309" s="11"/>
      <c r="U309" s="7"/>
    </row>
    <row r="310" spans="1:26" hidden="1" outlineLevel="2">
      <c r="A310" s="59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hidden="1" outlineLevel="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6" hidden="1" outlineLevel="2">
      <c r="A312" s="7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7"/>
      <c r="P312" s="7"/>
      <c r="Q312" s="7"/>
      <c r="R312" s="7"/>
      <c r="S312" s="7"/>
      <c r="T312" s="89"/>
      <c r="U312" s="7"/>
    </row>
    <row r="313" spans="1:26" hidden="1" outlineLevel="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6" hidden="1" outlineLevel="2">
      <c r="A314" s="7"/>
      <c r="B314" s="100"/>
      <c r="C314" s="100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7"/>
      <c r="P314" s="7"/>
      <c r="Q314" s="7"/>
      <c r="R314" s="7"/>
      <c r="S314" s="7"/>
      <c r="T314" s="89"/>
      <c r="U314" s="7"/>
    </row>
    <row r="315" spans="1:26" hidden="1" outlineLevel="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6" hidden="1" outlineLevel="2">
      <c r="A316" s="7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7"/>
      <c r="P316" s="7"/>
      <c r="Q316" s="7"/>
      <c r="R316" s="7"/>
      <c r="S316" s="7"/>
      <c r="T316" s="89"/>
      <c r="U316" s="89"/>
      <c r="V316" s="89"/>
      <c r="W316" s="89"/>
      <c r="X316" s="89"/>
      <c r="Y316" s="89"/>
      <c r="Z316" s="89"/>
    </row>
    <row r="317" spans="1:26" hidden="1" outlineLevel="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6" hidden="1" outlineLevel="2">
      <c r="A318" s="7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7"/>
      <c r="P318" s="7"/>
      <c r="Q318" s="7"/>
      <c r="R318" s="7"/>
      <c r="S318" s="7"/>
      <c r="T318" s="89"/>
      <c r="U318" s="7"/>
    </row>
    <row r="319" spans="1:26" hidden="1" outlineLevel="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 hidden="1" outlineLevel="2">
      <c r="A320" s="7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7"/>
      <c r="P320" s="7"/>
      <c r="Q320" s="7"/>
      <c r="R320" s="7"/>
      <c r="S320" s="7"/>
      <c r="T320" s="89"/>
      <c r="U320" s="89"/>
    </row>
    <row r="321" spans="1:21" hidden="1" outlineLevel="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idden="1" outlineLevel="2">
      <c r="A322" s="7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7"/>
      <c r="P322" s="7"/>
      <c r="Q322" s="7"/>
      <c r="R322" s="7"/>
      <c r="S322" s="7"/>
      <c r="T322" s="89"/>
      <c r="U322" s="89"/>
    </row>
    <row r="323" spans="1:21" hidden="1" outlineLevel="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outlineLevel="1" collapsed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 outlineLevel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outlineLevel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ht="18.75" outlineLevel="1">
      <c r="A327" s="8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outlineLevel="1">
      <c r="A328" s="59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outlineLevel="1">
      <c r="A329" s="59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outlineLevel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outlineLevel="1">
      <c r="A331" s="2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</row>
    <row r="332" spans="1:21" outlineLevel="1">
      <c r="A332" s="59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outlineLevel="1">
      <c r="A333" s="88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</row>
    <row r="334" spans="1:21" outlineLevel="1">
      <c r="A334" s="88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</row>
    <row r="335" spans="1:21" outlineLevel="1">
      <c r="A335" s="88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</row>
    <row r="336" spans="1:21" outlineLevel="1">
      <c r="A336" s="88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</row>
    <row r="337" spans="1:21" outlineLevel="1">
      <c r="A337" s="88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</row>
    <row r="338" spans="1:21" outlineLevel="1">
      <c r="A338" s="7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</row>
    <row r="339" spans="1:21" outlineLevel="1">
      <c r="A339" s="5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</row>
    <row r="340" spans="1:21" outlineLevel="1">
      <c r="A340" s="88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</row>
    <row r="341" spans="1:21" outlineLevel="1">
      <c r="A341" s="88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</row>
    <row r="342" spans="1:21" outlineLevel="1">
      <c r="A342" s="88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</row>
    <row r="343" spans="1:21" outlineLevel="1">
      <c r="A343" s="88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</row>
    <row r="344" spans="1:21" outlineLevel="1">
      <c r="A344" s="88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</row>
    <row r="345" spans="1:21" outlineLevel="1">
      <c r="A345" s="88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</row>
    <row r="346" spans="1:21" outlineLevel="1">
      <c r="A346" s="88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</row>
    <row r="347" spans="1:21" outlineLevel="1">
      <c r="A347" s="88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</row>
    <row r="348" spans="1:21" outlineLevel="1">
      <c r="A348" s="88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</row>
    <row r="349" spans="1:21" outlineLevel="1">
      <c r="A349" s="88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</row>
    <row r="350" spans="1:21" outlineLevel="1">
      <c r="A350" s="88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</row>
    <row r="351" spans="1:21" outlineLevel="1">
      <c r="A351" s="5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</row>
    <row r="352" spans="1:21" outlineLevel="1">
      <c r="A352" s="88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</row>
    <row r="353" spans="1:21" outlineLevel="1">
      <c r="A353" s="5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</row>
    <row r="354" spans="1:21" outlineLevel="1">
      <c r="A354" s="88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</row>
    <row r="355" spans="1:21" outlineLevel="1">
      <c r="A355" s="5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</row>
    <row r="356" spans="1:21" outlineLevel="1">
      <c r="A356" s="7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</row>
    <row r="357" spans="1:21" outlineLevel="1">
      <c r="A357" s="5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</row>
    <row r="358" spans="1:21" outlineLevel="1">
      <c r="A358" s="88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</row>
    <row r="359" spans="1:21" outlineLevel="1">
      <c r="A359" s="88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</row>
    <row r="360" spans="1:21" outlineLevel="1">
      <c r="A360" s="88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</row>
    <row r="361" spans="1:21" outlineLevel="1">
      <c r="A361" s="88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</row>
    <row r="362" spans="1:21" outlineLevel="1">
      <c r="A362" s="5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</row>
    <row r="363" spans="1:21" outlineLevel="1">
      <c r="A363" s="5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</row>
    <row r="364" spans="1:21" outlineLevel="1">
      <c r="A364" s="88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</row>
    <row r="365" spans="1:21" outlineLevel="1">
      <c r="A365" s="88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</row>
    <row r="366" spans="1:21" outlineLevel="1">
      <c r="A366" s="88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</row>
    <row r="367" spans="1:21" outlineLevel="1">
      <c r="A367" s="88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</row>
    <row r="368" spans="1:21" outlineLevel="1">
      <c r="A368" s="88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</row>
    <row r="369" spans="1:21" outlineLevel="1">
      <c r="A369" s="2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</row>
    <row r="370" spans="1:21" outlineLevel="1">
      <c r="A370" s="5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</row>
    <row r="371" spans="1:21" outlineLevel="1">
      <c r="A371" s="7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</row>
    <row r="372" spans="1:21" outlineLevel="1">
      <c r="A372" s="5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</row>
    <row r="373" spans="1:21" outlineLevel="1">
      <c r="A373" s="5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</row>
    <row r="374" spans="1:21" outlineLevel="1">
      <c r="A374" s="5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</row>
    <row r="375" spans="1:21" outlineLevel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 outlineLevel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 ht="18.75" outlineLevel="1">
      <c r="A377" s="8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outlineLevel="1">
      <c r="A378" s="59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outlineLevel="1">
      <c r="A379" s="59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outlineLevel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outlineLevel="1">
      <c r="A381" s="2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7"/>
      <c r="P381" s="7"/>
      <c r="Q381" s="7"/>
      <c r="R381" s="7"/>
      <c r="S381" s="7"/>
      <c r="T381" s="7"/>
      <c r="U381" s="7"/>
    </row>
    <row r="382" spans="1:21" outlineLevel="1">
      <c r="A382" s="59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outlineLevel="1">
      <c r="A383" s="88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7"/>
      <c r="P383" s="7"/>
      <c r="Q383" s="7"/>
      <c r="R383" s="7"/>
      <c r="S383" s="7"/>
      <c r="T383" s="7"/>
      <c r="U383" s="7"/>
    </row>
    <row r="384" spans="1:21" outlineLevel="1">
      <c r="A384" s="88"/>
      <c r="B384" s="103"/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7"/>
      <c r="P384" s="7"/>
      <c r="Q384" s="7"/>
      <c r="R384" s="7"/>
      <c r="S384" s="7"/>
      <c r="T384" s="7"/>
      <c r="U384" s="7"/>
    </row>
    <row r="385" spans="1:21" outlineLevel="1">
      <c r="A385" s="88"/>
      <c r="B385" s="103"/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7"/>
      <c r="P385" s="7"/>
      <c r="Q385" s="7"/>
      <c r="R385" s="7"/>
      <c r="S385" s="7"/>
      <c r="T385" s="7"/>
      <c r="U385" s="7"/>
    </row>
    <row r="386" spans="1:21" outlineLevel="1">
      <c r="A386" s="88"/>
      <c r="B386" s="103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7"/>
      <c r="P386" s="7"/>
      <c r="Q386" s="7"/>
      <c r="R386" s="7"/>
      <c r="S386" s="7"/>
      <c r="T386" s="7"/>
      <c r="U386" s="7"/>
    </row>
    <row r="387" spans="1:21" outlineLevel="1">
      <c r="A387" s="88"/>
      <c r="B387" s="103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7"/>
      <c r="P387" s="7"/>
      <c r="Q387" s="7"/>
      <c r="R387" s="7"/>
      <c r="S387" s="7"/>
      <c r="T387" s="7"/>
      <c r="U387" s="7"/>
    </row>
    <row r="388" spans="1:21" outlineLevel="1">
      <c r="A388" s="88"/>
      <c r="B388" s="103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7"/>
      <c r="P388" s="7"/>
      <c r="Q388" s="7"/>
      <c r="R388" s="7"/>
      <c r="S388" s="7"/>
      <c r="T388" s="7"/>
      <c r="U388" s="7"/>
    </row>
    <row r="389" spans="1:21" outlineLevel="1">
      <c r="A389" s="59"/>
      <c r="B389" s="103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7"/>
      <c r="P389" s="7"/>
      <c r="Q389" s="7"/>
      <c r="R389" s="7"/>
      <c r="S389" s="7"/>
      <c r="T389" s="7"/>
      <c r="U389" s="7"/>
    </row>
    <row r="390" spans="1:21" outlineLevel="1">
      <c r="A390" s="88"/>
      <c r="B390" s="103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7"/>
      <c r="P390" s="7"/>
      <c r="Q390" s="7"/>
      <c r="R390" s="7"/>
      <c r="S390" s="7"/>
      <c r="T390" s="7"/>
      <c r="U390" s="7"/>
    </row>
    <row r="391" spans="1:21" outlineLevel="1">
      <c r="A391" s="88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7"/>
      <c r="P391" s="7"/>
      <c r="Q391" s="7"/>
      <c r="R391" s="7"/>
      <c r="S391" s="7"/>
      <c r="T391" s="7"/>
      <c r="U391" s="7"/>
    </row>
    <row r="392" spans="1:21" outlineLevel="1">
      <c r="A392" s="88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7"/>
      <c r="P392" s="7"/>
      <c r="Q392" s="7"/>
      <c r="R392" s="7"/>
      <c r="S392" s="7"/>
      <c r="T392" s="7"/>
      <c r="U392" s="7"/>
    </row>
    <row r="393" spans="1:21" outlineLevel="1">
      <c r="A393" s="88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7"/>
      <c r="P393" s="7"/>
      <c r="Q393" s="7"/>
      <c r="R393" s="7"/>
      <c r="S393" s="7"/>
      <c r="T393" s="7"/>
      <c r="U393" s="7"/>
    </row>
    <row r="394" spans="1:21" outlineLevel="1">
      <c r="A394" s="88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7"/>
      <c r="P394" s="7"/>
      <c r="Q394" s="7"/>
      <c r="R394" s="7"/>
      <c r="S394" s="7"/>
      <c r="T394" s="7"/>
      <c r="U394" s="7"/>
    </row>
    <row r="395" spans="1:21" outlineLevel="1">
      <c r="A395" s="88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7"/>
      <c r="P395" s="7"/>
      <c r="Q395" s="7"/>
      <c r="R395" s="7"/>
      <c r="S395" s="7"/>
      <c r="T395" s="7"/>
      <c r="U395" s="7"/>
    </row>
    <row r="396" spans="1:21" outlineLevel="1">
      <c r="A396" s="88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7"/>
      <c r="P396" s="7"/>
      <c r="Q396" s="7"/>
      <c r="R396" s="7"/>
      <c r="S396" s="7"/>
      <c r="T396" s="7"/>
      <c r="U396" s="7"/>
    </row>
    <row r="397" spans="1:21" outlineLevel="1">
      <c r="A397" s="88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7"/>
      <c r="P397" s="7"/>
      <c r="Q397" s="7"/>
      <c r="R397" s="7"/>
      <c r="S397" s="7"/>
      <c r="T397" s="7"/>
      <c r="U397" s="7"/>
    </row>
    <row r="398" spans="1:21" outlineLevel="1">
      <c r="A398" s="88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7"/>
      <c r="P398" s="7"/>
      <c r="Q398" s="7"/>
      <c r="R398" s="7"/>
      <c r="S398" s="7"/>
      <c r="T398" s="7"/>
      <c r="U398" s="7"/>
    </row>
    <row r="399" spans="1:21" outlineLevel="1">
      <c r="A399" s="88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7"/>
      <c r="P399" s="7"/>
      <c r="Q399" s="7"/>
      <c r="R399" s="7"/>
      <c r="S399" s="7"/>
      <c r="T399" s="7"/>
      <c r="U399" s="7"/>
    </row>
    <row r="400" spans="1:21" outlineLevel="1">
      <c r="A400" s="88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7"/>
      <c r="P400" s="7"/>
      <c r="Q400" s="7"/>
      <c r="R400" s="7"/>
      <c r="S400" s="7"/>
      <c r="T400" s="7"/>
      <c r="U400" s="7"/>
    </row>
    <row r="401" spans="1:21" outlineLevel="1">
      <c r="A401" s="88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7"/>
      <c r="P401" s="7"/>
      <c r="Q401" s="7"/>
      <c r="R401" s="7"/>
      <c r="S401" s="7"/>
      <c r="T401" s="7"/>
      <c r="U401" s="7"/>
    </row>
    <row r="402" spans="1:21" outlineLevel="1">
      <c r="A402" s="59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7"/>
      <c r="P402" s="7"/>
      <c r="Q402" s="7"/>
      <c r="R402" s="7"/>
      <c r="S402" s="7"/>
      <c r="T402" s="7"/>
      <c r="U402" s="7"/>
    </row>
    <row r="403" spans="1:21" outlineLevel="1">
      <c r="A403" s="7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7"/>
      <c r="P403" s="7"/>
      <c r="Q403" s="7"/>
      <c r="R403" s="7"/>
      <c r="S403" s="7"/>
      <c r="T403" s="7"/>
      <c r="U403" s="7"/>
    </row>
    <row r="404" spans="1:21" outlineLevel="1">
      <c r="A404" s="88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7"/>
      <c r="P404" s="7"/>
      <c r="Q404" s="7"/>
      <c r="R404" s="7"/>
      <c r="S404" s="7"/>
      <c r="T404" s="7"/>
      <c r="U404" s="7"/>
    </row>
    <row r="405" spans="1:21" outlineLevel="1">
      <c r="A405" s="59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7"/>
      <c r="P405" s="7"/>
      <c r="Q405" s="7"/>
      <c r="R405" s="7"/>
      <c r="S405" s="7"/>
      <c r="T405" s="7"/>
      <c r="U405" s="7"/>
    </row>
    <row r="406" spans="1:21" outlineLevel="1">
      <c r="A406" s="88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7"/>
      <c r="P406" s="7"/>
      <c r="Q406" s="7"/>
      <c r="R406" s="7"/>
      <c r="S406" s="7"/>
      <c r="T406" s="7"/>
      <c r="U406" s="7"/>
    </row>
    <row r="407" spans="1:21" outlineLevel="1">
      <c r="A407" s="59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7"/>
      <c r="P407" s="7"/>
      <c r="Q407" s="7"/>
      <c r="R407" s="7"/>
      <c r="S407" s="7"/>
      <c r="T407" s="7"/>
      <c r="U407" s="7"/>
    </row>
    <row r="408" spans="1:21" outlineLevel="1">
      <c r="A408" s="59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7"/>
      <c r="P408" s="7"/>
      <c r="Q408" s="7"/>
      <c r="R408" s="7"/>
      <c r="S408" s="7"/>
      <c r="T408" s="7"/>
      <c r="U408" s="7"/>
    </row>
    <row r="409" spans="1:21" outlineLevel="1">
      <c r="A409" s="59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7"/>
      <c r="P409" s="7"/>
      <c r="Q409" s="7"/>
      <c r="R409" s="7"/>
      <c r="S409" s="7"/>
      <c r="T409" s="7"/>
      <c r="U409" s="7"/>
    </row>
    <row r="410" spans="1:21" outlineLevel="1">
      <c r="A410" s="59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7"/>
      <c r="P410" s="7"/>
      <c r="Q410" s="7"/>
      <c r="R410" s="7"/>
      <c r="S410" s="7"/>
      <c r="T410" s="7"/>
      <c r="U410" s="7"/>
    </row>
    <row r="411" spans="1:21" outlineLevel="1">
      <c r="A411" s="59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7"/>
      <c r="P411" s="7"/>
      <c r="Q411" s="7"/>
      <c r="R411" s="7"/>
      <c r="S411" s="7"/>
      <c r="T411" s="7"/>
      <c r="U411" s="7"/>
    </row>
    <row r="412" spans="1:21" outlineLevel="1">
      <c r="A412" s="59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7"/>
      <c r="P412" s="7"/>
      <c r="Q412" s="7"/>
      <c r="R412" s="7"/>
      <c r="S412" s="7"/>
      <c r="T412" s="7"/>
      <c r="U412" s="7"/>
    </row>
    <row r="413" spans="1:21" outlineLevel="1">
      <c r="A413" s="59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7"/>
      <c r="P413" s="7"/>
      <c r="Q413" s="7"/>
      <c r="R413" s="7"/>
      <c r="S413" s="7"/>
      <c r="T413" s="7"/>
      <c r="U413" s="7"/>
    </row>
    <row r="414" spans="1:21" outlineLevel="1">
      <c r="A414" s="59"/>
      <c r="B414" s="103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7"/>
      <c r="P414" s="7"/>
      <c r="Q414" s="7"/>
      <c r="R414" s="7"/>
      <c r="S414" s="7"/>
      <c r="T414" s="7"/>
      <c r="U414" s="7"/>
    </row>
    <row r="415" spans="1:21" outlineLevel="1">
      <c r="A415" s="7"/>
      <c r="B415" s="103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</row>
    <row r="416" spans="1:21" outlineLevel="1">
      <c r="A416" s="7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</row>
    <row r="417" spans="1:21" outlineLevel="1">
      <c r="A417" s="7"/>
      <c r="B417" s="103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</row>
    <row r="418" spans="1:21" outlineLevel="1">
      <c r="A418" s="7"/>
      <c r="B418" s="103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</row>
    <row r="419" spans="1:21" outlineLevel="1">
      <c r="A419" s="7"/>
      <c r="B419" s="103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</row>
    <row r="420" spans="1:21" outlineLevel="1">
      <c r="A420" s="7"/>
      <c r="B420" s="103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</row>
    <row r="421" spans="1:21" outlineLevel="1">
      <c r="A421" s="59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</row>
    <row r="422" spans="1:21" outlineLevel="1">
      <c r="A422" s="7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</row>
    <row r="423" spans="1:21" outlineLevel="1">
      <c r="A423" s="7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</row>
    <row r="424" spans="1:21" outlineLevel="1">
      <c r="A424" s="59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</row>
    <row r="425" spans="1:21" outlineLevel="1">
      <c r="A425" s="59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</row>
    <row r="426" spans="1:21" outlineLevel="1">
      <c r="A426" s="7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</row>
    <row r="427" spans="1:21" outlineLevel="1">
      <c r="A427" s="7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</row>
    <row r="428" spans="1:21" outlineLevel="1">
      <c r="A428" s="7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</row>
    <row r="429" spans="1:21" outlineLevel="1">
      <c r="A429" s="7"/>
      <c r="B429" s="103"/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</row>
    <row r="430" spans="1:21" outlineLevel="1">
      <c r="A430" s="7"/>
      <c r="B430" s="103"/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</row>
    <row r="431" spans="1:21" outlineLevel="1">
      <c r="A431" s="7"/>
      <c r="B431" s="103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</row>
    <row r="432" spans="1:21" outlineLevel="1">
      <c r="A432" s="7"/>
      <c r="B432" s="103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</row>
    <row r="433" spans="1:21" outlineLevel="1">
      <c r="A433" s="7"/>
      <c r="B433" s="103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7"/>
      <c r="P433" s="7"/>
      <c r="Q433" s="7"/>
      <c r="R433" s="7"/>
      <c r="S433" s="7"/>
      <c r="T433" s="7"/>
      <c r="U433" s="7"/>
    </row>
    <row r="434" spans="1:21" outlineLevel="1">
      <c r="A434" s="59"/>
      <c r="B434" s="103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7"/>
      <c r="P434" s="7"/>
      <c r="Q434" s="7"/>
      <c r="R434" s="7"/>
      <c r="S434" s="7"/>
      <c r="T434" s="7"/>
      <c r="U434" s="7"/>
    </row>
    <row r="435" spans="1:21" outlineLevel="1">
      <c r="A435" s="59"/>
      <c r="B435" s="103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7"/>
      <c r="P435" s="7"/>
      <c r="Q435" s="7"/>
      <c r="R435" s="7"/>
      <c r="S435" s="7"/>
      <c r="T435" s="7"/>
      <c r="U435" s="7"/>
    </row>
    <row r="436" spans="1:21" outlineLevel="1">
      <c r="A436" s="59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7"/>
      <c r="P436" s="7"/>
      <c r="Q436" s="7"/>
      <c r="R436" s="7"/>
      <c r="S436" s="7"/>
      <c r="T436" s="7"/>
      <c r="U436" s="7"/>
    </row>
    <row r="437" spans="1:21" outlineLevel="1">
      <c r="A437" s="59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7"/>
      <c r="P437" s="7"/>
      <c r="Q437" s="7"/>
      <c r="R437" s="7"/>
      <c r="S437" s="7"/>
      <c r="T437" s="7"/>
      <c r="U437" s="7"/>
    </row>
    <row r="438" spans="1:21" outlineLevel="1">
      <c r="A438" s="59"/>
      <c r="B438" s="104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7"/>
      <c r="P438" s="7"/>
      <c r="Q438" s="7"/>
      <c r="R438" s="7"/>
      <c r="S438" s="7"/>
      <c r="T438" s="7"/>
      <c r="U438" s="7"/>
    </row>
    <row r="439" spans="1:21" outlineLevel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 ht="18.75" outlineLevel="1">
      <c r="A440" s="86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 outlineLevel="1">
      <c r="A441" s="59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outlineLevel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outlineLevel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outlineLevel="1">
      <c r="A444" s="2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</row>
    <row r="445" spans="1:21" outlineLevel="1">
      <c r="A445" s="7"/>
      <c r="B445" s="7"/>
      <c r="C445" s="75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outlineLevel="1">
      <c r="A446" s="59"/>
      <c r="B446" s="7"/>
      <c r="C446" s="75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7"/>
      <c r="P446" s="7"/>
      <c r="Q446" s="7"/>
      <c r="R446" s="7"/>
      <c r="S446" s="7"/>
      <c r="T446" s="7"/>
      <c r="U446" s="7"/>
    </row>
    <row r="447" spans="1:21" outlineLevel="1">
      <c r="A447" s="7"/>
      <c r="B447" s="7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"/>
      <c r="P447" s="7"/>
      <c r="Q447" s="7"/>
      <c r="R447" s="7"/>
      <c r="S447" s="7"/>
      <c r="T447" s="7"/>
      <c r="U447" s="7"/>
    </row>
    <row r="448" spans="1:21" outlineLevel="1">
      <c r="A448" s="7"/>
      <c r="B448" s="7"/>
      <c r="C448" s="75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7"/>
      <c r="P448" s="7"/>
      <c r="Q448" s="7"/>
      <c r="R448" s="7"/>
      <c r="S448" s="7"/>
      <c r="T448" s="7"/>
      <c r="U448" s="7"/>
    </row>
    <row r="449" spans="1:21" outlineLevel="1">
      <c r="A449" s="7"/>
      <c r="B449" s="7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"/>
      <c r="P449" s="7"/>
      <c r="Q449" s="7"/>
      <c r="R449" s="7"/>
      <c r="S449" s="7"/>
      <c r="T449" s="7"/>
      <c r="U449" s="7"/>
    </row>
    <row r="450" spans="1:21" outlineLevel="1">
      <c r="A450" s="7"/>
      <c r="B450" s="7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"/>
      <c r="P450" s="7"/>
      <c r="Q450" s="7"/>
      <c r="R450" s="7"/>
      <c r="S450" s="7"/>
      <c r="T450" s="7"/>
      <c r="U450" s="7"/>
    </row>
    <row r="451" spans="1:21" outlineLevel="1">
      <c r="A451" s="96"/>
      <c r="B451" s="7"/>
      <c r="C451" s="75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7"/>
      <c r="P451" s="7"/>
      <c r="Q451" s="7"/>
      <c r="R451" s="7"/>
      <c r="S451" s="7"/>
      <c r="T451" s="7"/>
      <c r="U451" s="7"/>
    </row>
    <row r="452" spans="1:21" outlineLevel="1">
      <c r="A452" s="96"/>
      <c r="B452" s="7"/>
      <c r="C452" s="75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7"/>
      <c r="P452" s="7"/>
      <c r="Q452" s="7"/>
      <c r="R452" s="7"/>
      <c r="S452" s="7"/>
      <c r="T452" s="7"/>
      <c r="U452" s="7"/>
    </row>
    <row r="453" spans="1:21" outlineLevel="1">
      <c r="A453" s="59"/>
      <c r="B453" s="7"/>
      <c r="C453" s="75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outlineLevel="1">
      <c r="A454" s="7"/>
      <c r="B454" s="104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7"/>
      <c r="P454" s="7"/>
      <c r="Q454" s="7"/>
      <c r="R454" s="7"/>
      <c r="S454" s="7"/>
      <c r="T454" s="7"/>
      <c r="U454" s="7"/>
    </row>
    <row r="455" spans="1:21" outlineLevel="1">
      <c r="A455" s="7"/>
      <c r="B455" s="7"/>
      <c r="C455" s="75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outlineLevel="1">
      <c r="A456" s="59"/>
      <c r="B456" s="7"/>
      <c r="C456" s="75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7"/>
      <c r="P456" s="7"/>
      <c r="Q456" s="7"/>
      <c r="R456" s="7"/>
      <c r="S456" s="7"/>
      <c r="T456" s="7"/>
      <c r="U456" s="7"/>
    </row>
    <row r="457" spans="1:21" outlineLevel="1">
      <c r="A457" s="7"/>
      <c r="B457" s="7"/>
      <c r="C457" s="75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7"/>
      <c r="P457" s="7"/>
      <c r="Q457" s="7"/>
      <c r="R457" s="7"/>
      <c r="S457" s="7"/>
      <c r="T457" s="7"/>
      <c r="U457" s="7"/>
    </row>
    <row r="458" spans="1:21" outlineLevel="1">
      <c r="A458" s="59"/>
      <c r="B458" s="7"/>
      <c r="C458" s="75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7"/>
      <c r="P458" s="7"/>
      <c r="Q458" s="7"/>
      <c r="R458" s="7"/>
      <c r="S458" s="7"/>
      <c r="T458" s="7"/>
      <c r="U458" s="7"/>
    </row>
    <row r="459" spans="1:21" outlineLevel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outlineLevel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 s="108" customFormat="1" ht="18.75" outlineLevel="1">
      <c r="A461" s="106"/>
      <c r="B461" s="107"/>
      <c r="C461" s="107"/>
    </row>
    <row r="462" spans="1:21" s="108" customFormat="1" outlineLevel="1">
      <c r="A462" s="107"/>
      <c r="B462" s="109"/>
      <c r="C462" s="110"/>
      <c r="D462" s="107"/>
      <c r="E462" s="111"/>
    </row>
    <row r="463" spans="1:21" s="108" customFormat="1" outlineLevel="1">
      <c r="A463" s="107"/>
      <c r="B463" s="112"/>
      <c r="C463" s="90"/>
      <c r="D463" s="90"/>
      <c r="E463" s="111"/>
    </row>
    <row r="464" spans="1:21" s="108" customFormat="1" outlineLevel="1">
      <c r="A464" s="107"/>
      <c r="B464" s="90"/>
      <c r="C464" s="111"/>
      <c r="D464" s="90"/>
      <c r="E464" s="112"/>
    </row>
    <row r="465" spans="1:21" s="108" customFormat="1" outlineLevel="1">
      <c r="A465" s="113"/>
      <c r="B465" s="109"/>
      <c r="C465" s="109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</row>
    <row r="466" spans="1:21" s="108" customFormat="1" outlineLevel="1">
      <c r="A466" s="82"/>
      <c r="B466" s="107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</row>
    <row r="467" spans="1:21" s="108" customFormat="1" outlineLevel="1">
      <c r="A467" s="81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</row>
    <row r="468" spans="1:21" s="108" customFormat="1" outlineLevel="1">
      <c r="A468" s="81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</row>
    <row r="469" spans="1:21" s="108" customFormat="1" outlineLevel="1">
      <c r="A469" s="81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</row>
    <row r="470" spans="1:21" s="108" customFormat="1" outlineLevel="1">
      <c r="A470" s="80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</row>
    <row r="471" spans="1:21" s="108" customFormat="1" outlineLevel="1">
      <c r="A471" s="71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</row>
    <row r="472" spans="1:21" s="108" customFormat="1" outlineLevel="1">
      <c r="A472" s="82"/>
      <c r="B472" s="114"/>
      <c r="C472" s="114"/>
      <c r="D472" s="114"/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</row>
    <row r="473" spans="1:21" s="108" customFormat="1" outlineLevel="1">
      <c r="A473" s="115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</row>
    <row r="474" spans="1:21" s="108" customFormat="1" outlineLevel="1">
      <c r="A474" s="115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</row>
    <row r="475" spans="1:21" s="108" customFormat="1" outlineLevel="1">
      <c r="A475" s="115"/>
      <c r="B475" s="114"/>
      <c r="C475" s="114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</row>
    <row r="476" spans="1:21" s="108" customFormat="1" outlineLevel="1">
      <c r="A476" s="115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</row>
    <row r="477" spans="1:21" s="108" customFormat="1" outlineLevel="1">
      <c r="A477" s="115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</row>
    <row r="478" spans="1:21" s="108" customFormat="1" outlineLevel="1">
      <c r="A478" s="85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</row>
    <row r="479" spans="1:21" s="108" customFormat="1" outlineLevel="1">
      <c r="A479" s="115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</row>
    <row r="480" spans="1:21" s="108" customFormat="1" outlineLevel="1">
      <c r="A480" s="115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</row>
    <row r="481" spans="1:21" s="108" customFormat="1" outlineLevel="1">
      <c r="A481" s="115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</row>
    <row r="482" spans="1:21" s="108" customFormat="1" outlineLevel="1">
      <c r="A482" s="115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</row>
    <row r="483" spans="1:21" s="108" customFormat="1" outlineLevel="1">
      <c r="A483" s="115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</row>
    <row r="484" spans="1:21" s="108" customFormat="1" outlineLevel="1">
      <c r="A484" s="82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</row>
    <row r="485" spans="1:21" s="108" customFormat="1" outlineLevel="1">
      <c r="A485" s="82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</row>
    <row r="486" spans="1:21" s="108" customFormat="1" outlineLevel="1">
      <c r="A486" s="82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</row>
    <row r="487" spans="1:21" s="108" customFormat="1" outlineLevel="1">
      <c r="A487" s="82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</row>
    <row r="488" spans="1:21" s="108" customFormat="1" outlineLevel="1">
      <c r="A488" s="81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</row>
    <row r="489" spans="1:21" s="108" customFormat="1" outlineLevel="1">
      <c r="A489" s="81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</row>
    <row r="490" spans="1:21" s="108" customFormat="1" outlineLevel="1">
      <c r="A490" s="82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</row>
    <row r="491" spans="1:21" s="108" customFormat="1" outlineLevel="1">
      <c r="A491" s="84"/>
      <c r="B491" s="116"/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</row>
    <row r="492" spans="1:21" s="108" customFormat="1" outlineLevel="1">
      <c r="A492" s="81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</row>
    <row r="493" spans="1:21" s="108" customFormat="1" ht="13.9" customHeight="1" outlineLevel="1">
      <c r="A493" s="80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</row>
    <row r="494" spans="1:21" s="118" customFormat="1" outlineLevel="1">
      <c r="A494" s="117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</row>
    <row r="495" spans="1:21" s="108" customFormat="1" outlineLevel="1">
      <c r="A495" s="80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</row>
    <row r="496" spans="1:21" s="108" customFormat="1" outlineLevel="1">
      <c r="A496" s="81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</row>
    <row r="497" spans="1:21" s="108" customFormat="1" outlineLevel="1">
      <c r="A497" s="81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</row>
    <row r="498" spans="1:21" s="108" customFormat="1" outlineLevel="1">
      <c r="A498" s="81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</row>
    <row r="499" spans="1:21" s="108" customFormat="1" outlineLevel="1">
      <c r="A499" s="81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</row>
    <row r="500" spans="1:21" s="108" customFormat="1" outlineLevel="1">
      <c r="A500" s="82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</row>
    <row r="501" spans="1:21" s="118" customFormat="1" outlineLevel="1">
      <c r="A501" s="119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</row>
    <row r="502" spans="1:21" s="108" customFormat="1" outlineLevel="1">
      <c r="A502" s="81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</row>
    <row r="503" spans="1:21" s="108" customFormat="1" outlineLevel="1">
      <c r="A503" s="8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</row>
    <row r="504" spans="1:21" s="108" customFormat="1" outlineLevel="1">
      <c r="A504" s="84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</row>
    <row r="505" spans="1:21" s="108" customFormat="1" outlineLevel="1">
      <c r="A505" s="84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</row>
    <row r="506" spans="1:21" s="108" customFormat="1" outlineLevel="1">
      <c r="A506" s="81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</row>
    <row r="507" spans="1:21" s="118" customFormat="1" outlineLevel="1">
      <c r="A507" s="117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</row>
    <row r="508" spans="1:21" s="108" customFormat="1" outlineLevel="1">
      <c r="A508" s="81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</row>
    <row r="509" spans="1:21" s="108" customFormat="1" outlineLevel="1">
      <c r="A509" s="84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</row>
    <row r="510" spans="1:21" s="108" customFormat="1" outlineLevel="1">
      <c r="A510" s="80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</row>
    <row r="511" spans="1:21" s="118" customFormat="1" outlineLevel="1">
      <c r="A511" s="119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</row>
    <row r="512" spans="1:21" s="108" customFormat="1" outlineLevel="1">
      <c r="A512" s="82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</row>
    <row r="513" spans="1:21" s="118" customFormat="1" outlineLevel="1">
      <c r="A513" s="119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</row>
    <row r="514" spans="1:21" s="108" customFormat="1" outlineLevel="1">
      <c r="A514" s="82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</row>
    <row r="515" spans="1:21" s="108" customFormat="1" outlineLevel="1">
      <c r="A515" s="82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</row>
    <row r="516" spans="1:21" s="108" customFormat="1" outlineLevel="1">
      <c r="A516" s="82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</row>
    <row r="517" spans="1:21" outlineLevel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outlineLevel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outlineLevel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t="18.75" outlineLevel="1">
      <c r="A520" s="8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59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outlineLevel="1">
      <c r="A522" s="120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outlineLevel="1">
      <c r="A524" s="2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2">
      <c r="A525" s="59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idden="1" outlineLevel="2">
      <c r="A526" s="88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2">
      <c r="A527" s="88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2">
      <c r="A528" s="121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2">
      <c r="A529" s="88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2">
      <c r="A530" s="7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2">
      <c r="A531" s="5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2">
      <c r="A532" s="88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2">
      <c r="A533" s="88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2">
      <c r="A534" s="88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2">
      <c r="A535" s="88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2">
      <c r="A536" s="88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2">
      <c r="A537" s="88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2">
      <c r="A538" s="88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2">
      <c r="A539" s="88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2">
      <c r="A540" s="88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idden="1" outlineLevel="2">
      <c r="A541" s="88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idden="1" outlineLevel="2">
      <c r="A542" s="7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idden="1" outlineLevel="2">
      <c r="A543" s="7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idden="1" outlineLevel="2">
      <c r="A544" s="7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idden="1" outlineLevel="2">
      <c r="A545" s="88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idden="1" outlineLevel="2">
      <c r="A546" s="7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idden="1" outlineLevel="2">
      <c r="A547" s="7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idden="1" outlineLevel="2">
      <c r="A548" s="5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idden="1" outlineLevel="2">
      <c r="A549" s="88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7"/>
      <c r="N549" s="7"/>
      <c r="O549" s="7"/>
      <c r="P549" s="7"/>
      <c r="Q549" s="7"/>
      <c r="R549" s="7"/>
      <c r="S549" s="7"/>
      <c r="T549" s="7"/>
      <c r="U549" s="7"/>
    </row>
    <row r="550" spans="1:21" outlineLevel="1" collapsed="1">
      <c r="A550" s="5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7"/>
      <c r="N550" s="7"/>
      <c r="O550" s="7"/>
      <c r="P550" s="7"/>
      <c r="Q550" s="7"/>
      <c r="R550" s="7"/>
      <c r="S550" s="7"/>
      <c r="T550" s="7"/>
      <c r="U550" s="7"/>
    </row>
    <row r="551" spans="1:21" outlineLevel="1">
      <c r="A551" s="5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7"/>
      <c r="N551" s="7"/>
      <c r="O551" s="7"/>
      <c r="P551" s="7"/>
      <c r="Q551" s="7"/>
      <c r="R551" s="7"/>
      <c r="S551" s="7"/>
      <c r="T551" s="7"/>
      <c r="U551" s="7"/>
    </row>
    <row r="552" spans="1:21" outlineLevel="1">
      <c r="A552" s="5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7"/>
      <c r="N552" s="7"/>
      <c r="O552" s="7"/>
      <c r="P552" s="7"/>
      <c r="Q552" s="7"/>
      <c r="R552" s="7"/>
      <c r="S552" s="7"/>
      <c r="T552" s="7"/>
      <c r="U552" s="7"/>
    </row>
    <row r="553" spans="1:21" outlineLevel="1">
      <c r="A553" s="7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7"/>
      <c r="N553" s="7"/>
      <c r="O553" s="7"/>
      <c r="P553" s="7"/>
      <c r="Q553" s="7"/>
      <c r="R553" s="7"/>
      <c r="S553" s="7"/>
      <c r="T553" s="7"/>
      <c r="U553" s="7"/>
    </row>
    <row r="554" spans="1:21" outlineLevel="1">
      <c r="A554" s="7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7"/>
      <c r="N554" s="7"/>
      <c r="O554" s="7"/>
      <c r="P554" s="7"/>
      <c r="Q554" s="7"/>
      <c r="R554" s="7"/>
      <c r="S554" s="7"/>
      <c r="T554" s="7"/>
      <c r="U554" s="7"/>
    </row>
    <row r="555" spans="1:21" outlineLevel="1">
      <c r="A555" s="5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7"/>
      <c r="N555" s="7"/>
      <c r="O555" s="7"/>
      <c r="P555" s="7"/>
      <c r="Q555" s="7"/>
      <c r="R555" s="7"/>
      <c r="S555" s="7"/>
      <c r="T555" s="7"/>
      <c r="U555" s="7"/>
    </row>
    <row r="556" spans="1:21" outlineLevel="1">
      <c r="A556" s="5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7"/>
      <c r="N556" s="7"/>
      <c r="O556" s="7"/>
      <c r="P556" s="7"/>
      <c r="Q556" s="7"/>
      <c r="R556" s="7"/>
      <c r="S556" s="7"/>
      <c r="T556" s="7"/>
      <c r="U556" s="7"/>
    </row>
    <row r="557" spans="1:21" outlineLevel="1">
      <c r="A557" s="5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7"/>
      <c r="N557" s="7"/>
      <c r="O557" s="7"/>
      <c r="P557" s="7"/>
      <c r="Q557" s="7"/>
      <c r="R557" s="7"/>
      <c r="S557" s="7"/>
      <c r="T557" s="7"/>
      <c r="U557" s="7"/>
    </row>
    <row r="558" spans="1:21" outlineLevel="1">
      <c r="A558" s="5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89"/>
      <c r="E559" s="89"/>
      <c r="F559" s="89"/>
      <c r="G559" s="89"/>
      <c r="H559" s="89"/>
      <c r="I559" s="89"/>
      <c r="J559" s="89"/>
      <c r="K559" s="89"/>
      <c r="L559" s="89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89"/>
      <c r="E560" s="89"/>
      <c r="F560" s="89"/>
      <c r="G560" s="89"/>
      <c r="H560" s="89"/>
      <c r="I560" s="89"/>
      <c r="J560" s="89"/>
      <c r="K560" s="89"/>
      <c r="L560" s="89"/>
      <c r="M560" s="7"/>
      <c r="N560" s="7"/>
      <c r="O560" s="7"/>
      <c r="P560" s="7"/>
      <c r="Q560" s="7"/>
      <c r="R560" s="7"/>
      <c r="S560" s="7"/>
      <c r="T560" s="7"/>
      <c r="U560" s="7"/>
    </row>
    <row r="561" spans="4:12" s="7" customFormat="1">
      <c r="D561" s="89"/>
      <c r="E561" s="89"/>
      <c r="F561" s="89"/>
      <c r="G561" s="89"/>
      <c r="H561" s="89"/>
      <c r="I561" s="89"/>
      <c r="J561" s="89"/>
      <c r="K561" s="89"/>
      <c r="L561" s="89"/>
    </row>
    <row r="562" spans="4:12" s="7" customFormat="1">
      <c r="D562" s="89"/>
      <c r="E562" s="89"/>
      <c r="F562" s="89"/>
      <c r="G562" s="89"/>
      <c r="H562" s="89"/>
      <c r="I562" s="89"/>
      <c r="J562" s="89"/>
      <c r="K562" s="89"/>
      <c r="L562" s="89"/>
    </row>
    <row r="563" spans="4:12" s="7" customFormat="1">
      <c r="D563" s="89"/>
      <c r="E563" s="89"/>
      <c r="F563" s="89"/>
      <c r="G563" s="89"/>
      <c r="H563" s="89"/>
      <c r="I563" s="89"/>
      <c r="J563" s="89"/>
      <c r="K563" s="89"/>
      <c r="L563" s="89"/>
    </row>
    <row r="564" spans="4:12" s="7" customFormat="1"/>
    <row r="565" spans="4:12" s="7" customFormat="1"/>
    <row r="566" spans="4:12" s="7" customFormat="1"/>
    <row r="567" spans="4:12" s="7" customFormat="1"/>
    <row r="568" spans="4:12" s="7" customFormat="1"/>
    <row r="569" spans="4:12" s="7" customFormat="1"/>
    <row r="570" spans="4:12" s="7" customFormat="1"/>
    <row r="571" spans="4:12" s="7" customFormat="1"/>
    <row r="572" spans="4:12" s="7" customFormat="1"/>
    <row r="573" spans="4:12" s="7" customFormat="1"/>
    <row r="574" spans="4:12" s="7" customFormat="1"/>
    <row r="575" spans="4:12" s="7" customFormat="1"/>
    <row r="576" spans="4:12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  <row r="741" s="7" customFormat="1"/>
    <row r="742" s="7" customFormat="1"/>
    <row r="743" s="7" customFormat="1"/>
    <row r="744" s="7" customFormat="1"/>
    <row r="745" s="7" customFormat="1"/>
    <row r="746" s="7" customFormat="1"/>
    <row r="747" s="7" customFormat="1"/>
    <row r="748" s="7" customFormat="1"/>
    <row r="749" s="7" customFormat="1"/>
    <row r="750" s="7" customFormat="1"/>
    <row r="751" s="7" customFormat="1"/>
    <row r="752" s="7" customFormat="1"/>
    <row r="753" s="7" customFormat="1"/>
    <row r="754" s="7" customFormat="1"/>
    <row r="755" s="7" customFormat="1"/>
    <row r="756" s="7" customFormat="1"/>
    <row r="757" s="7" customFormat="1"/>
    <row r="758" s="7" customFormat="1"/>
    <row r="759" s="7" customFormat="1"/>
    <row r="760" s="7" customFormat="1"/>
    <row r="761" s="7" customFormat="1"/>
    <row r="762" s="7" customFormat="1"/>
    <row r="763" s="7" customFormat="1"/>
    <row r="764" s="7" customFormat="1"/>
    <row r="765" s="7" customFormat="1"/>
    <row r="766" s="7" customFormat="1"/>
    <row r="767" s="7" customFormat="1"/>
    <row r="768" s="7" customFormat="1"/>
    <row r="769" s="7" customFormat="1"/>
    <row r="770" s="7" customFormat="1"/>
    <row r="771" s="7" customFormat="1"/>
    <row r="772" s="7" customFormat="1"/>
  </sheetData>
  <pageMargins left="0.18" right="0.17" top="0.37" bottom="0.4" header="0.17" footer="0.21"/>
  <pageSetup scale="54" orientation="landscape" r:id="rId1"/>
  <headerFooter alignWithMargins="0">
    <oddHeader>&amp;L&amp;12Enron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2:IV751"/>
  <sheetViews>
    <sheetView zoomScale="75" zoomScaleNormal="75" workbookViewId="0"/>
  </sheetViews>
  <sheetFormatPr defaultRowHeight="12.75" outlineLevelRow="2" outlineLevelCol="1"/>
  <cols>
    <col min="1" max="1" width="38.855468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" style="7" bestFit="1" customWidth="1"/>
    <col min="24" max="16384" width="9.140625" style="7"/>
  </cols>
  <sheetData>
    <row r="2" spans="1:55" ht="18.75">
      <c r="A2" s="54" t="s">
        <v>119</v>
      </c>
      <c r="B2" s="413"/>
      <c r="C2" s="413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</row>
    <row r="5" spans="1:55" ht="13.5" thickBot="1">
      <c r="A5" s="202" t="s">
        <v>83</v>
      </c>
      <c r="B5" s="8">
        <f>Brownsville!$B$5</f>
        <v>2001</v>
      </c>
      <c r="C5" s="8">
        <f t="shared" ref="C5:U5" si="0">B5+1</f>
        <v>2002</v>
      </c>
      <c r="D5" s="8">
        <f>C5+1</f>
        <v>2003</v>
      </c>
      <c r="E5" s="8">
        <f>D5+1</f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>J5+1</f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  <c r="Y5" s="547">
        <f>SUM(Z5:AS5)-SUM(Z6:AS6)</f>
        <v>0</v>
      </c>
      <c r="Z5" s="548">
        <f>B11+B12</f>
        <v>1773.4746</v>
      </c>
      <c r="AA5" s="548">
        <f>C11+C12</f>
        <v>1826.678838</v>
      </c>
      <c r="AB5" s="548">
        <f>D11+D12</f>
        <v>1881.4792031400002</v>
      </c>
      <c r="AC5" s="548">
        <f t="shared" ref="AC5:AS5" si="1">E16</f>
        <v>1571.642043939516</v>
      </c>
      <c r="AD5" s="548">
        <f t="shared" si="1"/>
        <v>1618.7913052577012</v>
      </c>
      <c r="AE5" s="548">
        <f t="shared" si="1"/>
        <v>1667.3550444154325</v>
      </c>
      <c r="AF5" s="548">
        <f t="shared" si="1"/>
        <v>1717.3756957478956</v>
      </c>
      <c r="AG5" s="548">
        <f t="shared" si="1"/>
        <v>1768.896966620332</v>
      </c>
      <c r="AH5" s="548">
        <f t="shared" si="1"/>
        <v>1821.9638756189424</v>
      </c>
      <c r="AI5" s="548">
        <f t="shared" si="1"/>
        <v>1876.6227918875104</v>
      </c>
      <c r="AJ5" s="548">
        <f t="shared" si="1"/>
        <v>1932.9214756441361</v>
      </c>
      <c r="AK5" s="548">
        <f t="shared" si="1"/>
        <v>1990.9091199134598</v>
      </c>
      <c r="AL5" s="548">
        <f t="shared" si="1"/>
        <v>2050.6363935108634</v>
      </c>
      <c r="AM5" s="548">
        <f t="shared" si="1"/>
        <v>2112.1554853161897</v>
      </c>
      <c r="AN5" s="548">
        <f t="shared" si="1"/>
        <v>2175.5201498756751</v>
      </c>
      <c r="AO5" s="548">
        <f t="shared" si="1"/>
        <v>2240.7857543719451</v>
      </c>
      <c r="AP5" s="548">
        <f t="shared" si="1"/>
        <v>2308.0093270031034</v>
      </c>
      <c r="AQ5" s="548">
        <f t="shared" si="1"/>
        <v>2377.2496068131964</v>
      </c>
      <c r="AR5" s="548">
        <f t="shared" si="1"/>
        <v>2448.5670950175927</v>
      </c>
      <c r="AS5" s="548">
        <f t="shared" si="1"/>
        <v>2522.0241078681202</v>
      </c>
    </row>
    <row r="6" spans="1:55">
      <c r="A6" s="2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Y6" s="547">
        <v>0</v>
      </c>
      <c r="Z6" s="549">
        <f>B24+B25</f>
        <v>1773.4746</v>
      </c>
      <c r="AA6" s="549">
        <f>C24+C25</f>
        <v>1826.678838</v>
      </c>
      <c r="AB6" s="549">
        <f>D24+D25</f>
        <v>1881.4792031400002</v>
      </c>
      <c r="AC6" s="549">
        <f t="shared" ref="AC6:AS6" si="2">E24+1/3*E25</f>
        <v>1571.642043939516</v>
      </c>
      <c r="AD6" s="549">
        <f t="shared" si="2"/>
        <v>1618.7913052577017</v>
      </c>
      <c r="AE6" s="549">
        <f t="shared" si="2"/>
        <v>1667.3550444154328</v>
      </c>
      <c r="AF6" s="549">
        <f t="shared" si="2"/>
        <v>1717.3756957478959</v>
      </c>
      <c r="AG6" s="549">
        <f t="shared" si="2"/>
        <v>1768.8969666203329</v>
      </c>
      <c r="AH6" s="549">
        <f t="shared" si="2"/>
        <v>1821.9638756189429</v>
      </c>
      <c r="AI6" s="549">
        <f t="shared" si="2"/>
        <v>1876.6227918875111</v>
      </c>
      <c r="AJ6" s="549">
        <f t="shared" si="2"/>
        <v>1932.9214756441363</v>
      </c>
      <c r="AK6" s="549">
        <f t="shared" si="2"/>
        <v>1990.9091199134607</v>
      </c>
      <c r="AL6" s="549">
        <f t="shared" si="2"/>
        <v>2050.6363935108643</v>
      </c>
      <c r="AM6" s="549">
        <f t="shared" si="2"/>
        <v>2112.1554853161902</v>
      </c>
      <c r="AN6" s="549">
        <f t="shared" si="2"/>
        <v>2175.520149875676</v>
      </c>
      <c r="AO6" s="549">
        <f t="shared" si="2"/>
        <v>2240.7857543719465</v>
      </c>
      <c r="AP6" s="549">
        <f t="shared" si="2"/>
        <v>2308.0093270031048</v>
      </c>
      <c r="AQ6" s="549">
        <f t="shared" si="2"/>
        <v>2377.2496068131982</v>
      </c>
      <c r="AR6" s="549">
        <f t="shared" si="2"/>
        <v>2448.5670950175941</v>
      </c>
      <c r="AS6" s="549">
        <f t="shared" si="2"/>
        <v>2522.024107868122</v>
      </c>
    </row>
    <row r="7" spans="1:55">
      <c r="A7" s="2"/>
      <c r="B7" s="477"/>
      <c r="C7" s="477"/>
      <c r="D7" s="477"/>
      <c r="E7" s="477"/>
      <c r="F7" s="477"/>
      <c r="G7" s="477"/>
      <c r="H7" s="477"/>
      <c r="I7" s="477"/>
      <c r="J7" s="477"/>
      <c r="K7" s="477"/>
      <c r="L7" s="477"/>
      <c r="M7" s="477"/>
      <c r="N7" s="477"/>
      <c r="O7" s="477"/>
      <c r="P7" s="477"/>
      <c r="Q7" s="477"/>
      <c r="R7" s="477"/>
      <c r="S7" s="477"/>
      <c r="T7" s="477"/>
      <c r="U7" s="477"/>
    </row>
    <row r="8" spans="1:55">
      <c r="A8" s="1" t="s">
        <v>84</v>
      </c>
      <c r="B8" s="478"/>
      <c r="C8" s="478"/>
      <c r="D8" s="478"/>
      <c r="E8" s="478"/>
      <c r="F8" s="478"/>
      <c r="G8" s="478"/>
      <c r="H8" s="478"/>
      <c r="I8" s="478"/>
      <c r="J8" s="478"/>
      <c r="K8" s="478"/>
      <c r="L8" s="478"/>
      <c r="M8" s="478"/>
      <c r="N8" s="478"/>
      <c r="O8" s="478"/>
      <c r="P8" s="478"/>
      <c r="Q8" s="478"/>
      <c r="R8" s="478"/>
      <c r="S8" s="478"/>
      <c r="T8" s="478"/>
      <c r="U8" s="478"/>
      <c r="V8" s="60"/>
      <c r="W8" s="60"/>
      <c r="X8" s="60"/>
    </row>
    <row r="9" spans="1:55">
      <c r="A9" s="385" t="s">
        <v>198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60"/>
      <c r="W9" s="18"/>
      <c r="X9" s="18"/>
      <c r="Y9" s="18"/>
      <c r="Z9" s="18"/>
      <c r="AA9" s="18"/>
      <c r="AB9" s="19"/>
      <c r="AC9" s="19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55">
      <c r="A10" s="3" t="s">
        <v>85</v>
      </c>
      <c r="B10" s="58">
        <f>'Power Price Assumption'!E49*12*Summary!$H$11</f>
        <v>22560</v>
      </c>
      <c r="C10" s="58">
        <f>'Power Price Assumption'!F49*12*Summary!$H$11</f>
        <v>22560</v>
      </c>
      <c r="D10" s="58">
        <f>'Power Price Assumption'!G49*12*Summary!$H$11</f>
        <v>22560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60"/>
      <c r="W10" s="93">
        <f>SUM(B10:U10)</f>
        <v>67680</v>
      </c>
      <c r="X10" s="18"/>
      <c r="Y10" s="18"/>
      <c r="Z10" s="18"/>
      <c r="AA10" s="18"/>
      <c r="AB10" s="19"/>
      <c r="AC10" s="19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1:55">
      <c r="A11" s="3" t="s">
        <v>317</v>
      </c>
      <c r="B11" s="58">
        <f>Summary!H24*Summary!H26/1000*(1+Summary!$H$48)</f>
        <v>1309.9746</v>
      </c>
      <c r="C11" s="58">
        <f>B11*(1+Summary!$H$48)</f>
        <v>1349.2738380000001</v>
      </c>
      <c r="D11" s="58">
        <f>C11*(1+Summary!$H$48)</f>
        <v>1389.75205314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60"/>
      <c r="W11" s="93">
        <f>SUM(B11:U11)</f>
        <v>4049.0004911400001</v>
      </c>
      <c r="X11" s="18"/>
      <c r="Y11" s="18"/>
      <c r="Z11" s="18"/>
      <c r="AA11" s="18"/>
      <c r="AB11" s="19"/>
      <c r="AC11" s="19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1:55">
      <c r="A12" s="3" t="s">
        <v>213</v>
      </c>
      <c r="B12" s="129">
        <f>Summary!$H$25*Summary!$H$14*Summary!$H$9/1000*(1+Summary!$H$48)</f>
        <v>463.5</v>
      </c>
      <c r="C12" s="93">
        <f>B12*(1+Summary!$H$48)</f>
        <v>477.40500000000003</v>
      </c>
      <c r="D12" s="93">
        <f>C12*(1+Summary!$H$48)</f>
        <v>491.72715000000005</v>
      </c>
      <c r="E12" s="58"/>
      <c r="F12" s="58"/>
      <c r="G12" s="58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0"/>
      <c r="W12" s="93">
        <f>SUM(B12:U12)</f>
        <v>1432.6321499999999</v>
      </c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</row>
    <row r="13" spans="1:55">
      <c r="A13" s="1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60"/>
      <c r="W13" s="93"/>
      <c r="X13" s="18"/>
      <c r="Y13" s="18"/>
      <c r="Z13" s="18"/>
      <c r="AA13" s="18"/>
      <c r="AB13" s="19"/>
      <c r="AC13" s="19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</row>
    <row r="14" spans="1:55">
      <c r="A14" s="385" t="s">
        <v>233</v>
      </c>
      <c r="W14" s="93"/>
      <c r="X14" s="18"/>
      <c r="Y14" s="18"/>
      <c r="Z14" s="18"/>
      <c r="AA14" s="18"/>
      <c r="AB14" s="19"/>
      <c r="AC14" s="19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</row>
    <row r="15" spans="1:55" s="64" customFormat="1" ht="12" customHeight="1">
      <c r="A15" s="3" t="s">
        <v>85</v>
      </c>
      <c r="B15" s="21">
        <v>0</v>
      </c>
      <c r="C15" s="21">
        <v>0</v>
      </c>
      <c r="D15" s="21">
        <v>0</v>
      </c>
      <c r="E15" s="21">
        <f>'Power Price Assumption'!H49*Summary!$H$11*12*(1-Summary!$H$29)</f>
        <v>34868.762925331721</v>
      </c>
      <c r="F15" s="21">
        <f>'Power Price Assumption'!I49*Summary!$H$11*12*(1-Summary!$H$29)</f>
        <v>36821.193656955176</v>
      </c>
      <c r="G15" s="21">
        <f>'Power Price Assumption'!J49*Summary!$H$11*12*(1-Summary!$H$29)</f>
        <v>37575.744886971552</v>
      </c>
      <c r="H15" s="21">
        <f>'Power Price Assumption'!K49*Summary!$H$11*12*(1-Summary!$H$29)</f>
        <v>38342.430116497642</v>
      </c>
      <c r="I15" s="21">
        <f>'Power Price Assumption'!L49*Summary!$H$11*12*(1-Summary!$H$29)</f>
        <v>39121.298289397033</v>
      </c>
      <c r="J15" s="21">
        <f>'Power Price Assumption'!M49*Summary!$H$11*12*(1-Summary!$H$29)</f>
        <v>39912.390365565545</v>
      </c>
      <c r="K15" s="21">
        <f>'Power Price Assumption'!N49*Summary!$H$11*12*(1-Summary!$H$29)</f>
        <v>40715.738797843696</v>
      </c>
      <c r="L15" s="21">
        <f>'Power Price Assumption'!O49*Summary!$H$11*12*(1-Summary!$H$29)</f>
        <v>41396.085659046374</v>
      </c>
      <c r="M15" s="21">
        <f>'Power Price Assumption'!P49*Summary!$H$11*12*(1-Summary!$H$29)</f>
        <v>42080.60916700316</v>
      </c>
      <c r="N15" s="21">
        <f>'Power Price Assumption'!Q49*Summary!$H$11*12*(1-Summary!$H$29)</f>
        <v>42768.947608344199</v>
      </c>
      <c r="O15" s="21">
        <f>'Power Price Assumption'!R49*Summary!$H$11*12*(1-Summary!$H$29)</f>
        <v>43460.713807915396</v>
      </c>
      <c r="P15" s="21">
        <f>'Power Price Assumption'!S49*Summary!$H$11*12*(1-Summary!$H$29)</f>
        <v>44155.493926613359</v>
      </c>
      <c r="Q15" s="21">
        <f>'Power Price Assumption'!T49*Summary!$H$11*12*(1-Summary!$H$29)</f>
        <v>44696.018076404667</v>
      </c>
      <c r="R15" s="21">
        <f>'Power Price Assumption'!U49*Summary!$H$11*12*(1-Summary!$H$29)</f>
        <v>45148.467241844759</v>
      </c>
      <c r="S15" s="21">
        <f>'Power Price Assumption'!V49*Summary!$H$11*12*(1-Summary!$H$29)</f>
        <v>45671.026424411364</v>
      </c>
      <c r="T15" s="21">
        <f>'Power Price Assumption'!W49*Summary!$H$11*12*(1-Summary!$H$29)</f>
        <v>46269.990705387252</v>
      </c>
      <c r="U15" s="21">
        <f>'Power Price Assumption'!X49*Summary!$H$11*12*(1-Summary!$H$29)</f>
        <v>46775.533196427605</v>
      </c>
      <c r="W15" s="93">
        <f t="shared" ref="W15:W20" si="3">SUM(B15:U15)</f>
        <v>709780.4448519604</v>
      </c>
      <c r="X15" s="18"/>
      <c r="Y15" s="18"/>
      <c r="Z15" s="18"/>
      <c r="AA15" s="18"/>
      <c r="AB15" s="19"/>
      <c r="AC15" s="19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 spans="1:55" s="64" customFormat="1" ht="12" customHeight="1">
      <c r="A16" s="3" t="s">
        <v>86</v>
      </c>
      <c r="B16" s="21">
        <v>0</v>
      </c>
      <c r="C16" s="21">
        <v>0</v>
      </c>
      <c r="D16" s="21">
        <v>0</v>
      </c>
      <c r="E16" s="129">
        <f>1/3*Summary!$H$25*Summary!$H$14*Summary!$H$9/1000*(1+Summary!$H$48)^(E5-2000)+Summary!$H$31*Summary!$H$24*(1+Summary!$H$48)^(E5-2000)/1000</f>
        <v>1571.642043939516</v>
      </c>
      <c r="F16" s="129">
        <f>1/3*Summary!$H$25*Summary!$H$14*Summary!$H$9/1000*(1+Summary!$H$48)^(F5-2000)+Summary!$H$31*Summary!$H$24*(1+Summary!$H$48)^(F5-2000)/1000</f>
        <v>1618.7913052577012</v>
      </c>
      <c r="G16" s="129">
        <f>1/3*Summary!$H$25*Summary!$H$14*Summary!$H$9/1000*(1+Summary!$H$48)^(G5-2000)+Summary!$H$31*Summary!$H$24*(1+Summary!$H$48)^(G5-2000)/1000</f>
        <v>1667.3550444154325</v>
      </c>
      <c r="H16" s="129">
        <f>1/3*Summary!$H$25*Summary!$H$14*Summary!$H$9/1000*(1+Summary!$H$48)^(H5-2000)+Summary!$H$31*Summary!$H$24*(1+Summary!$H$48)^(H5-2000)/1000</f>
        <v>1717.3756957478956</v>
      </c>
      <c r="I16" s="129">
        <f>1/3*Summary!$H$25*Summary!$H$14*Summary!$H$9/1000*(1+Summary!$H$48)^(I5-2000)+Summary!$H$31*Summary!$H$24*(1+Summary!$H$48)^(I5-2000)/1000</f>
        <v>1768.896966620332</v>
      </c>
      <c r="J16" s="129">
        <f>1/3*Summary!$H$25*Summary!$H$14*Summary!$H$9/1000*(1+Summary!$H$48)^(J5-2000)+Summary!$H$31*Summary!$H$24*(1+Summary!$H$48)^(J5-2000)/1000</f>
        <v>1821.9638756189424</v>
      </c>
      <c r="K16" s="129">
        <f>1/3*Summary!$H$25*Summary!$H$14*Summary!$H$9/1000*(1+Summary!$H$48)^(K5-2000)+Summary!$H$31*Summary!$H$24*(1+Summary!$H$48)^(K5-2000)/1000</f>
        <v>1876.6227918875104</v>
      </c>
      <c r="L16" s="129">
        <f>1/3*Summary!$H$25*Summary!$H$14*Summary!$H$9/1000*(1+Summary!$H$48)^(L5-2000)+Summary!$H$31*Summary!$H$24*(1+Summary!$H$48)^(L5-2000)/1000</f>
        <v>1932.9214756441361</v>
      </c>
      <c r="M16" s="129">
        <f>1/3*Summary!$H$25*Summary!$H$14*Summary!$H$9/1000*(1+Summary!$H$48)^(M5-2000)+Summary!$H$31*Summary!$H$24*(1+Summary!$H$48)^(M5-2000)/1000</f>
        <v>1990.9091199134598</v>
      </c>
      <c r="N16" s="129">
        <f>1/3*Summary!$H$25*Summary!$H$14*Summary!$H$9/1000*(1+Summary!$H$48)^(N5-2000)+Summary!$H$31*Summary!$H$24*(1+Summary!$H$48)^(N5-2000)/1000</f>
        <v>2050.6363935108634</v>
      </c>
      <c r="O16" s="129">
        <f>1/3*Summary!$H$25*Summary!$H$14*Summary!$H$9/1000*(1+Summary!$H$48)^(O5-2000)+Summary!$H$31*Summary!$H$24*(1+Summary!$H$48)^(O5-2000)/1000</f>
        <v>2112.1554853161897</v>
      </c>
      <c r="P16" s="129">
        <f>1/3*Summary!$H$25*Summary!$H$14*Summary!$H$9/1000*(1+Summary!$H$48)^(P5-2000)+Summary!$H$31*Summary!$H$24*(1+Summary!$H$48)^(P5-2000)/1000</f>
        <v>2175.5201498756751</v>
      </c>
      <c r="Q16" s="129">
        <f>1/3*Summary!$H$25*Summary!$H$14*Summary!$H$9/1000*(1+Summary!$H$48)^(Q5-2000)+Summary!$H$31*Summary!$H$24*(1+Summary!$H$48)^(Q5-2000)/1000</f>
        <v>2240.7857543719451</v>
      </c>
      <c r="R16" s="129">
        <f>1/3*Summary!$H$25*Summary!$H$14*Summary!$H$9/1000*(1+Summary!$H$48)^(R5-2000)+Summary!$H$31*Summary!$H$24*(1+Summary!$H$48)^(R5-2000)/1000</f>
        <v>2308.0093270031034</v>
      </c>
      <c r="S16" s="129">
        <f>1/3*Summary!$H$25*Summary!$H$14*Summary!$H$9/1000*(1+Summary!$H$48)^(S5-2000)+Summary!$H$31*Summary!$H$24*(1+Summary!$H$48)^(S5-2000)/1000</f>
        <v>2377.2496068131964</v>
      </c>
      <c r="T16" s="129">
        <f>1/3*Summary!$H$25*Summary!$H$14*Summary!$H$9/1000*(1+Summary!$H$48)^(T5-2000)+Summary!$H$31*Summary!$H$24*(1+Summary!$H$48)^(T5-2000)/1000</f>
        <v>2448.5670950175927</v>
      </c>
      <c r="U16" s="129">
        <f>1/3*Summary!$H$25*Summary!$H$14*Summary!$H$9/1000*(1+Summary!$H$48)^(U5-2000)+Summary!$H$31*Summary!$H$24*(1+Summary!$H$48)^(U5-2000)/1000</f>
        <v>2522.0241078681202</v>
      </c>
      <c r="W16" s="93">
        <f t="shared" si="3"/>
        <v>34201.426238821608</v>
      </c>
      <c r="X16" s="18"/>
      <c r="Y16" s="18"/>
      <c r="Z16" s="18"/>
      <c r="AA16" s="18"/>
      <c r="AB16" s="19"/>
      <c r="AC16" s="19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 spans="1:55" s="64" customFormat="1" ht="12" customHeight="1">
      <c r="A17" s="3" t="s">
        <v>87</v>
      </c>
      <c r="B17" s="21">
        <v>0</v>
      </c>
      <c r="C17" s="21">
        <v>0</v>
      </c>
      <c r="D17" s="21">
        <v>0</v>
      </c>
      <c r="E17" s="21">
        <f>Summary!$H$11*Summary!$H$29*Summary!$H$30*Summary!$H$15/1000</f>
        <v>8.4788000000000014</v>
      </c>
      <c r="F17" s="21">
        <f>Summary!$H$11*Summary!$H$29*Summary!$H$30*Summary!$H$15/1000</f>
        <v>8.4788000000000014</v>
      </c>
      <c r="G17" s="21">
        <f>Summary!$H$11*Summary!$H$29*Summary!$H$30*Summary!$H$15/1000</f>
        <v>8.4788000000000014</v>
      </c>
      <c r="H17" s="21">
        <f>Summary!$H$11*Summary!$H$29*Summary!$H$30*Summary!$H$15/1000</f>
        <v>8.4788000000000014</v>
      </c>
      <c r="I17" s="21">
        <f>Summary!$H$11*Summary!$H$29*Summary!$H$30*Summary!$H$15/1000</f>
        <v>8.4788000000000014</v>
      </c>
      <c r="J17" s="21">
        <f>Summary!$H$11*Summary!$H$29*Summary!$H$30*Summary!$H$15/1000</f>
        <v>8.4788000000000014</v>
      </c>
      <c r="K17" s="21">
        <f>Summary!$H$11*Summary!$H$29*Summary!$H$30*Summary!$H$15/1000</f>
        <v>8.4788000000000014</v>
      </c>
      <c r="L17" s="21">
        <f>Summary!$H$11*Summary!$H$29*Summary!$H$30*Summary!$H$15/1000</f>
        <v>8.4788000000000014</v>
      </c>
      <c r="M17" s="21">
        <f>Summary!$H$11*Summary!$H$29*Summary!$H$30*Summary!$H$15/1000</f>
        <v>8.4788000000000014</v>
      </c>
      <c r="N17" s="21">
        <f>Summary!$H$11*Summary!$H$29*Summary!$H$30*Summary!$H$15/1000</f>
        <v>8.4788000000000014</v>
      </c>
      <c r="O17" s="21">
        <f>Summary!$H$11*Summary!$H$29*Summary!$H$30*Summary!$H$15/1000</f>
        <v>8.4788000000000014</v>
      </c>
      <c r="P17" s="21">
        <f>Summary!$H$11*Summary!$H$29*Summary!$H$30*Summary!$H$15/1000</f>
        <v>8.4788000000000014</v>
      </c>
      <c r="Q17" s="21">
        <f>Summary!$H$11*Summary!$H$29*Summary!$H$30*Summary!$H$15/1000</f>
        <v>8.4788000000000014</v>
      </c>
      <c r="R17" s="21">
        <f>Summary!$H$11*Summary!$H$29*Summary!$H$30*Summary!$H$15/1000</f>
        <v>8.4788000000000014</v>
      </c>
      <c r="S17" s="21">
        <f>Summary!$H$11*Summary!$H$29*Summary!$H$30*Summary!$H$15/1000</f>
        <v>8.4788000000000014</v>
      </c>
      <c r="T17" s="21">
        <f>Summary!$H$11*Summary!$H$29*Summary!$H$30*Summary!$H$15/1000</f>
        <v>8.4788000000000014</v>
      </c>
      <c r="U17" s="21">
        <f>Summary!$H$11*Summary!$H$29*Summary!$H$30*Summary!$H$15/1000</f>
        <v>8.4788000000000014</v>
      </c>
      <c r="W17" s="93">
        <f t="shared" si="3"/>
        <v>144.13960000000006</v>
      </c>
      <c r="X17" s="18"/>
      <c r="Y17" s="18"/>
      <c r="Z17" s="18"/>
      <c r="AA17" s="18"/>
      <c r="AB17" s="19"/>
      <c r="AC17" s="19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 spans="1:55" s="64" customFormat="1" ht="12" customHeight="1">
      <c r="A18" s="3"/>
      <c r="W18" s="93">
        <f t="shared" si="3"/>
        <v>0</v>
      </c>
      <c r="X18" s="18"/>
      <c r="Y18" s="18"/>
      <c r="Z18" s="18"/>
      <c r="AA18" s="18"/>
      <c r="AB18" s="19"/>
      <c r="AC18" s="19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</row>
    <row r="19" spans="1:55" s="64" customFormat="1" ht="12" customHeight="1">
      <c r="A19" s="3" t="s">
        <v>254</v>
      </c>
      <c r="B19" s="206">
        <f>(SUM(B10:B17)-SUM(B23:B32))*Assumptions!$B$32/4</f>
        <v>250.33089315489315</v>
      </c>
      <c r="C19" s="206">
        <f>(SUM(C10:C17)-SUM(C23:C32))*Assumptions!$B$32/4</f>
        <v>248.02990585307313</v>
      </c>
      <c r="D19" s="206">
        <f>(SUM(D10:D17)-SUM(D23:D32))*Assumptions!$B$32/4</f>
        <v>245.95166928031597</v>
      </c>
      <c r="E19" s="206">
        <f>(SUM(E10:E17)-SUM(E23:E32))*Assumptions!$B$32/4</f>
        <v>389.17766315594281</v>
      </c>
      <c r="F19" s="206">
        <f>(SUM(F10:F17)-SUM(F23:F32))*Assumptions!$B$32/4</f>
        <v>411.76631591029047</v>
      </c>
      <c r="G19" s="206">
        <f>(SUM(G10:G17)-SUM(G23:G32))*Assumptions!$B$32/4</f>
        <v>418.4440727028213</v>
      </c>
      <c r="H19" s="206">
        <f>(SUM(H10:H17)-SUM(H23:H32))*Assumptions!$B$32/4</f>
        <v>424.61183273174333</v>
      </c>
      <c r="I19" s="206">
        <f>(SUM(I10:I17)-SUM(I23:I32))*Assumptions!$B$32/4</f>
        <v>431.64691864262687</v>
      </c>
      <c r="J19" s="206">
        <f>(SUM(J10:J17)-SUM(J23:J32))*Assumptions!$B$32/4</f>
        <v>440.04715773186382</v>
      </c>
      <c r="K19" s="206">
        <f>(SUM(K10:K17)-SUM(K23:K32))*Assumptions!$B$32/4</f>
        <v>449.53684941658503</v>
      </c>
      <c r="L19" s="206">
        <f>(SUM(L10:L17)-SUM(L23:L32))*Assumptions!$B$32/4</f>
        <v>454.68372830130033</v>
      </c>
      <c r="M19" s="206">
        <f>(SUM(M10:M17)-SUM(M23:M32))*Assumptions!$B$32/4</f>
        <v>461.77909468903221</v>
      </c>
      <c r="N19" s="206">
        <f>(SUM(N10:N17)-SUM(N23:N32))*Assumptions!$B$32/4</f>
        <v>468.87788754521557</v>
      </c>
      <c r="O19" s="206">
        <f>(SUM(O10:O17)-SUM(O23:O32))*Assumptions!$B$32/4</f>
        <v>475.97436424945846</v>
      </c>
      <c r="P19" s="206">
        <f>(SUM(P10:P17)-SUM(P23:P32))*Assumptions!$B$32/4</f>
        <v>483.06199691907409</v>
      </c>
      <c r="Q19" s="206">
        <f>(SUM(Q10:Q17)-SUM(Q23:Q32))*Assumptions!$B$32/4</f>
        <v>488.17351641293317</v>
      </c>
      <c r="R19" s="206">
        <f>(SUM(R10:R17)-SUM(R23:R32))*Assumptions!$B$32/4</f>
        <v>492.13474763104625</v>
      </c>
      <c r="S19" s="206">
        <f>(SUM(S10:S17)-SUM(S23:S32))*Assumptions!$B$32/4</f>
        <v>496.92152256274386</v>
      </c>
      <c r="T19" s="206">
        <f>(SUM(T10:T17)-SUM(T23:T32))*Assumptions!$B$32/4</f>
        <v>502.61100477904614</v>
      </c>
      <c r="U19" s="206">
        <f>(SUM(U10:U17)-SUM(U23:U32))*Assumptions!$B$32/4</f>
        <v>507.07878748227722</v>
      </c>
      <c r="W19" s="93">
        <f t="shared" si="3"/>
        <v>8540.8399291522837</v>
      </c>
      <c r="X19" s="18"/>
      <c r="Y19" s="18"/>
      <c r="Z19" s="18"/>
      <c r="AA19" s="18"/>
      <c r="AB19" s="19"/>
      <c r="AC19" s="19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 spans="1:55" s="64" customFormat="1" ht="12" customHeight="1">
      <c r="A20" s="3" t="s">
        <v>88</v>
      </c>
      <c r="B20" s="58">
        <f>SUM(B10:B19)</f>
        <v>24583.805493154894</v>
      </c>
      <c r="C20" s="58">
        <f t="shared" ref="C20:U20" si="4">SUM(C10:C19)</f>
        <v>24634.708743853073</v>
      </c>
      <c r="D20" s="58">
        <f t="shared" si="4"/>
        <v>24687.430872420315</v>
      </c>
      <c r="E20" s="58">
        <f t="shared" si="4"/>
        <v>36838.061432427174</v>
      </c>
      <c r="F20" s="58">
        <f t="shared" si="4"/>
        <v>38860.230078123161</v>
      </c>
      <c r="G20" s="58">
        <f t="shared" si="4"/>
        <v>39670.0228040898</v>
      </c>
      <c r="H20" s="58">
        <f t="shared" si="4"/>
        <v>40492.896444977283</v>
      </c>
      <c r="I20" s="58">
        <f t="shared" si="4"/>
        <v>41330.32097465999</v>
      </c>
      <c r="J20" s="58">
        <f t="shared" si="4"/>
        <v>42182.880198916348</v>
      </c>
      <c r="K20" s="58">
        <f t="shared" si="4"/>
        <v>43050.377239147783</v>
      </c>
      <c r="L20" s="58">
        <f t="shared" si="4"/>
        <v>43792.169662991808</v>
      </c>
      <c r="M20" s="58">
        <f t="shared" si="4"/>
        <v>44541.776181605645</v>
      </c>
      <c r="N20" s="58">
        <f t="shared" si="4"/>
        <v>45296.940689400275</v>
      </c>
      <c r="O20" s="58">
        <f t="shared" si="4"/>
        <v>46057.322457481037</v>
      </c>
      <c r="P20" s="58">
        <f t="shared" si="4"/>
        <v>46822.554873408102</v>
      </c>
      <c r="Q20" s="58">
        <f t="shared" si="4"/>
        <v>47433.456147189543</v>
      </c>
      <c r="R20" s="58">
        <f t="shared" si="4"/>
        <v>47957.09011647891</v>
      </c>
      <c r="S20" s="58">
        <f t="shared" si="4"/>
        <v>48553.676353787298</v>
      </c>
      <c r="T20" s="58">
        <f t="shared" si="4"/>
        <v>49229.647605183884</v>
      </c>
      <c r="U20" s="58">
        <f t="shared" si="4"/>
        <v>49813.114891778001</v>
      </c>
      <c r="W20" s="93">
        <f t="shared" si="3"/>
        <v>825828.48326107429</v>
      </c>
      <c r="X20" s="18"/>
      <c r="Y20" s="18"/>
      <c r="Z20" s="18"/>
      <c r="AA20" s="18"/>
      <c r="AB20" s="19"/>
      <c r="AC20" s="19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</row>
    <row r="21" spans="1:55" s="64" customFormat="1" ht="12" customHeight="1">
      <c r="A21" s="4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W21" s="93"/>
    </row>
    <row r="22" spans="1:55">
      <c r="A22" s="1" t="s">
        <v>89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W22" s="93"/>
    </row>
    <row r="23" spans="1:55">
      <c r="A23" s="3" t="s">
        <v>63</v>
      </c>
      <c r="B23" s="129">
        <f>Summary!H51*(1+Summary!$H$48)</f>
        <v>1561.2639942857145</v>
      </c>
      <c r="C23" s="93">
        <f>B23*(1+Summary!$H$48)</f>
        <v>1608.101914114286</v>
      </c>
      <c r="D23" s="93">
        <f>C23*(1+Summary!$H$48)</f>
        <v>1656.3449715377146</v>
      </c>
      <c r="E23" s="93">
        <f>D23*(1+Summary!$H$48)</f>
        <v>1706.0353206838461</v>
      </c>
      <c r="F23" s="93">
        <f>E23*(1+Summary!$H$48)</f>
        <v>1757.2163803043616</v>
      </c>
      <c r="G23" s="93">
        <f>F23*(1+Summary!$H$48)</f>
        <v>1809.9328717134924</v>
      </c>
      <c r="H23" s="93">
        <f>G23*(1+Summary!$H$48)</f>
        <v>1864.2308578648972</v>
      </c>
      <c r="I23" s="93">
        <f>H23*(1+Summary!$H$48)</f>
        <v>1920.1577836008441</v>
      </c>
      <c r="J23" s="93">
        <f>I23*(1+Summary!$H$48)</f>
        <v>1977.7625171088696</v>
      </c>
      <c r="K23" s="93">
        <f>J23*(1+Summary!$H$48)</f>
        <v>2037.0953926221357</v>
      </c>
      <c r="L23" s="93">
        <f>K23*(1+Summary!$H$48)</f>
        <v>2098.2082544007999</v>
      </c>
      <c r="M23" s="93">
        <f>L23*(1+Summary!$H$48)</f>
        <v>2161.154502032824</v>
      </c>
      <c r="N23" s="93">
        <f>M23*(1+Summary!$H$48)</f>
        <v>2225.9891370938089</v>
      </c>
      <c r="O23" s="93">
        <f>N23*(1+Summary!$H$48)</f>
        <v>2292.7688112066235</v>
      </c>
      <c r="P23" s="93">
        <f>O23*(1+Summary!$H$48)</f>
        <v>2361.551875542822</v>
      </c>
      <c r="Q23" s="93">
        <f>P23*(1+Summary!$H$48)</f>
        <v>2432.3984318091066</v>
      </c>
      <c r="R23" s="93">
        <f>Q23*(1+Summary!$H$48)</f>
        <v>2505.3703847633797</v>
      </c>
      <c r="S23" s="93">
        <f>R23*(1+Summary!$H$48)</f>
        <v>2580.531496306281</v>
      </c>
      <c r="T23" s="93">
        <f>S23*(1+Summary!$H$48)</f>
        <v>2657.9474411954698</v>
      </c>
      <c r="U23" s="93">
        <f>T23*(1+Summary!$H$48)</f>
        <v>2737.6858644313338</v>
      </c>
      <c r="W23" s="93">
        <f t="shared" ref="W23:W33" si="5">SUM(B23:U23)</f>
        <v>41951.748202618604</v>
      </c>
    </row>
    <row r="24" spans="1:55">
      <c r="A24" s="3" t="s">
        <v>64</v>
      </c>
      <c r="B24" s="129">
        <f>Summary!H52*(1+Summary!$H$48)</f>
        <v>1309.9746</v>
      </c>
      <c r="C24" s="93">
        <f>B24*(1+Summary!$H$48)</f>
        <v>1349.2738380000001</v>
      </c>
      <c r="D24" s="93">
        <f>C24*(1+Summary!$H$48)</f>
        <v>1389.75205314</v>
      </c>
      <c r="E24" s="129">
        <f>Summary!$H$31*Summary!$H$45*(1+Summary!$H$48)^(E5-2000)/1000</f>
        <v>1402.8157224395161</v>
      </c>
      <c r="F24" s="93">
        <f>E24*(1+Summary!$H$48)</f>
        <v>1444.9001941127017</v>
      </c>
      <c r="G24" s="93">
        <f>F24*(1+Summary!$H$48)</f>
        <v>1488.2471999360828</v>
      </c>
      <c r="H24" s="93">
        <f>G24*(1+Summary!$H$48)</f>
        <v>1532.8946159341654</v>
      </c>
      <c r="I24" s="93">
        <f>H24*(1+Summary!$H$48)</f>
        <v>1578.8814544121904</v>
      </c>
      <c r="J24" s="93">
        <f>I24*(1+Summary!$H$48)</f>
        <v>1626.247898044556</v>
      </c>
      <c r="K24" s="93">
        <f>J24*(1+Summary!$H$48)</f>
        <v>1675.0353349858926</v>
      </c>
      <c r="L24" s="93">
        <f>K24*(1+Summary!$H$48)</f>
        <v>1725.2863950354695</v>
      </c>
      <c r="M24" s="93">
        <f>L24*(1+Summary!$H$48)</f>
        <v>1777.0449868865337</v>
      </c>
      <c r="N24" s="93">
        <f>M24*(1+Summary!$H$48)</f>
        <v>1830.3563364931297</v>
      </c>
      <c r="O24" s="93">
        <f>N24*(1+Summary!$H$48)</f>
        <v>1885.2670265879235</v>
      </c>
      <c r="P24" s="93">
        <f>O24*(1+Summary!$H$48)</f>
        <v>1941.8250373855612</v>
      </c>
      <c r="Q24" s="93">
        <f>P24*(1+Summary!$H$48)</f>
        <v>2000.0797885071281</v>
      </c>
      <c r="R24" s="93">
        <f>Q24*(1+Summary!$H$48)</f>
        <v>2060.0821821623422</v>
      </c>
      <c r="S24" s="93">
        <f>R24*(1+Summary!$H$48)</f>
        <v>2121.8846476272124</v>
      </c>
      <c r="T24" s="93">
        <f>S24*(1+Summary!$H$48)</f>
        <v>2185.5411870560288</v>
      </c>
      <c r="U24" s="93">
        <f>T24*(1+Summary!$H$48)</f>
        <v>2251.1074226677097</v>
      </c>
      <c r="W24" s="93">
        <f t="shared" si="5"/>
        <v>34576.497921414142</v>
      </c>
    </row>
    <row r="25" spans="1:55">
      <c r="A25" s="3" t="s">
        <v>65</v>
      </c>
      <c r="B25" s="129">
        <f>Summary!$H$53*Summary!$H$14*Summary!$H$9/1000*(1+Summary!$H$48)</f>
        <v>463.5</v>
      </c>
      <c r="C25" s="93">
        <f>B25*(1+Summary!$H$48)</f>
        <v>477.40500000000003</v>
      </c>
      <c r="D25" s="93">
        <f>C25*(1+Summary!$H$48)</f>
        <v>491.72715000000005</v>
      </c>
      <c r="E25" s="93">
        <f>D25*(1+Summary!$H$48)</f>
        <v>506.47896450000007</v>
      </c>
      <c r="F25" s="93">
        <f>E25*(1+Summary!$H$48)</f>
        <v>521.67333343500013</v>
      </c>
      <c r="G25" s="93">
        <f>F25*(1+Summary!$H$48)</f>
        <v>537.32353343805016</v>
      </c>
      <c r="H25" s="93">
        <f>G25*(1+Summary!$H$48)</f>
        <v>553.44323944119174</v>
      </c>
      <c r="I25" s="93">
        <f>H25*(1+Summary!$H$48)</f>
        <v>570.04653662442752</v>
      </c>
      <c r="J25" s="93">
        <f>I25*(1+Summary!$H$48)</f>
        <v>587.14793272316035</v>
      </c>
      <c r="K25" s="93">
        <f>J25*(1+Summary!$H$48)</f>
        <v>604.76237070485513</v>
      </c>
      <c r="L25" s="93">
        <f>K25*(1+Summary!$H$48)</f>
        <v>622.90524182600075</v>
      </c>
      <c r="M25" s="93">
        <f>L25*(1+Summary!$H$48)</f>
        <v>641.59239908078075</v>
      </c>
      <c r="N25" s="93">
        <f>M25*(1+Summary!$H$48)</f>
        <v>660.84017105320424</v>
      </c>
      <c r="O25" s="93">
        <f>N25*(1+Summary!$H$48)</f>
        <v>680.66537618480038</v>
      </c>
      <c r="P25" s="93">
        <f>O25*(1+Summary!$H$48)</f>
        <v>701.08533747034437</v>
      </c>
      <c r="Q25" s="93">
        <f>P25*(1+Summary!$H$48)</f>
        <v>722.11789759445469</v>
      </c>
      <c r="R25" s="93">
        <f>Q25*(1+Summary!$H$48)</f>
        <v>743.78143452228835</v>
      </c>
      <c r="S25" s="93">
        <f>R25*(1+Summary!$H$48)</f>
        <v>766.09487755795703</v>
      </c>
      <c r="T25" s="93">
        <f>S25*(1+Summary!$H$48)</f>
        <v>789.07772388469573</v>
      </c>
      <c r="U25" s="93">
        <f>T25*(1+Summary!$H$48)</f>
        <v>812.75005560123657</v>
      </c>
      <c r="W25" s="93">
        <f t="shared" si="5"/>
        <v>12454.418575642445</v>
      </c>
    </row>
    <row r="26" spans="1:55">
      <c r="A26" s="3" t="s">
        <v>158</v>
      </c>
      <c r="B26" s="129">
        <f>Summary!H54*(1+Summary!$H$48)</f>
        <v>353.14285714285717</v>
      </c>
      <c r="C26" s="93">
        <f>B26*(1+Summary!$H$48)</f>
        <v>363.73714285714289</v>
      </c>
      <c r="D26" s="93">
        <f>C26*(1+Summary!$H$48)</f>
        <v>374.64925714285721</v>
      </c>
      <c r="E26" s="93">
        <f>D26*(1+Summary!$H$48)</f>
        <v>385.88873485714294</v>
      </c>
      <c r="F26" s="93">
        <f>E26*(1+Summary!$H$48)</f>
        <v>397.46539690285721</v>
      </c>
      <c r="G26" s="93">
        <f>F26*(1+Summary!$H$48)</f>
        <v>409.38935880994296</v>
      </c>
      <c r="H26" s="93">
        <f>G26*(1+Summary!$H$48)</f>
        <v>421.67103957424126</v>
      </c>
      <c r="I26" s="93">
        <f>H26*(1+Summary!$H$48)</f>
        <v>434.32117076146852</v>
      </c>
      <c r="J26" s="93">
        <f>I26*(1+Summary!$H$48)</f>
        <v>447.35080588431259</v>
      </c>
      <c r="K26" s="93">
        <f>J26*(1+Summary!$H$48)</f>
        <v>460.77133006084199</v>
      </c>
      <c r="L26" s="93">
        <f>K26*(1+Summary!$H$48)</f>
        <v>474.59446996266729</v>
      </c>
      <c r="M26" s="93">
        <f>L26*(1+Summary!$H$48)</f>
        <v>488.83230406154735</v>
      </c>
      <c r="N26" s="93">
        <f>M26*(1+Summary!$H$48)</f>
        <v>503.49727318339376</v>
      </c>
      <c r="O26" s="93">
        <f>N26*(1+Summary!$H$48)</f>
        <v>518.60219137889555</v>
      </c>
      <c r="P26" s="93">
        <f>O26*(1+Summary!$H$48)</f>
        <v>534.16025712026249</v>
      </c>
      <c r="Q26" s="93">
        <f>P26*(1+Summary!$H$48)</f>
        <v>550.18506483387034</v>
      </c>
      <c r="R26" s="93">
        <f>Q26*(1+Summary!$H$48)</f>
        <v>566.69061677888646</v>
      </c>
      <c r="S26" s="93">
        <f>R26*(1+Summary!$H$48)</f>
        <v>583.69133528225302</v>
      </c>
      <c r="T26" s="93">
        <f>S26*(1+Summary!$H$48)</f>
        <v>601.20207534072063</v>
      </c>
      <c r="U26" s="93">
        <f>T26*(1+Summary!$H$48)</f>
        <v>619.23813760094231</v>
      </c>
      <c r="W26" s="93">
        <f t="shared" si="5"/>
        <v>9489.0808195371064</v>
      </c>
    </row>
    <row r="27" spans="1:55">
      <c r="A27" s="3" t="s">
        <v>159</v>
      </c>
      <c r="B27" s="129">
        <f>Summary!H55*(1+Summary!$H$48)</f>
        <v>315.45574571428568</v>
      </c>
      <c r="C27" s="93">
        <f>B27*(1+Summary!$H$48)</f>
        <v>324.91941808571426</v>
      </c>
      <c r="D27" s="93">
        <f>C27*(1+Summary!$H$48)</f>
        <v>334.66700062828568</v>
      </c>
      <c r="E27" s="93">
        <f>D27*(1+Summary!$H$48)</f>
        <v>344.70701064713427</v>
      </c>
      <c r="F27" s="93">
        <f>E27*(1+Summary!$H$48)</f>
        <v>355.04822096654829</v>
      </c>
      <c r="G27" s="93">
        <f>F27*(1+Summary!$H$48)</f>
        <v>365.69966759554472</v>
      </c>
      <c r="H27" s="93">
        <f>G27*(1+Summary!$H$48)</f>
        <v>376.6706576234111</v>
      </c>
      <c r="I27" s="93">
        <f>H27*(1+Summary!$H$48)</f>
        <v>387.97077735211343</v>
      </c>
      <c r="J27" s="93">
        <f>I27*(1+Summary!$H$48)</f>
        <v>399.60990067267682</v>
      </c>
      <c r="K27" s="93">
        <f>J27*(1+Summary!$H$48)</f>
        <v>411.59819769285713</v>
      </c>
      <c r="L27" s="93">
        <f>K27*(1+Summary!$H$48)</f>
        <v>423.94614362364285</v>
      </c>
      <c r="M27" s="93">
        <f>L27*(1+Summary!$H$48)</f>
        <v>436.66452793235214</v>
      </c>
      <c r="N27" s="93">
        <f>M27*(1+Summary!$H$48)</f>
        <v>449.76446377032272</v>
      </c>
      <c r="O27" s="93">
        <f>N27*(1+Summary!$H$48)</f>
        <v>463.25739768343243</v>
      </c>
      <c r="P27" s="93">
        <f>O27*(1+Summary!$H$48)</f>
        <v>477.15511961393543</v>
      </c>
      <c r="Q27" s="93">
        <f>P27*(1+Summary!$H$48)</f>
        <v>491.46977320235351</v>
      </c>
      <c r="R27" s="93">
        <f>Q27*(1+Summary!$H$48)</f>
        <v>506.2138663984241</v>
      </c>
      <c r="S27" s="93">
        <f>R27*(1+Summary!$H$48)</f>
        <v>521.40028239037679</v>
      </c>
      <c r="T27" s="93">
        <f>S27*(1+Summary!$H$48)</f>
        <v>537.04229086208807</v>
      </c>
      <c r="U27" s="93">
        <f>T27*(1+Summary!$H$48)</f>
        <v>553.15355958795067</v>
      </c>
      <c r="W27" s="93">
        <f t="shared" si="5"/>
        <v>8476.4140220434492</v>
      </c>
    </row>
    <row r="28" spans="1:55">
      <c r="A28" s="3" t="s">
        <v>289</v>
      </c>
      <c r="B28" s="527">
        <v>0</v>
      </c>
      <c r="C28" s="527">
        <v>117.98699999999999</v>
      </c>
      <c r="D28" s="527">
        <v>216.84299999999999</v>
      </c>
      <c r="E28" s="527">
        <v>295.98500000000001</v>
      </c>
      <c r="F28" s="527">
        <v>346.25099999999998</v>
      </c>
      <c r="G28" s="527">
        <v>468.65699999999998</v>
      </c>
      <c r="H28" s="527">
        <v>641.05899999999997</v>
      </c>
      <c r="I28" s="527">
        <v>753.23199999999997</v>
      </c>
      <c r="J28" s="527">
        <v>765.3</v>
      </c>
      <c r="K28" s="527">
        <v>699.25800000000004</v>
      </c>
      <c r="L28" s="527">
        <v>854.33299999999997</v>
      </c>
      <c r="M28" s="527">
        <v>854.3</v>
      </c>
      <c r="N28" s="527">
        <v>854.3</v>
      </c>
      <c r="O28" s="527">
        <v>854.3</v>
      </c>
      <c r="P28" s="527">
        <v>854.3</v>
      </c>
      <c r="Q28" s="527">
        <v>854.3</v>
      </c>
      <c r="R28" s="527">
        <v>854.3</v>
      </c>
      <c r="S28" s="527">
        <v>854.3</v>
      </c>
      <c r="T28" s="527">
        <v>854.3</v>
      </c>
      <c r="U28" s="527">
        <v>854.3</v>
      </c>
      <c r="W28" s="93">
        <f t="shared" si="5"/>
        <v>12847.604999999996</v>
      </c>
    </row>
    <row r="29" spans="1:55">
      <c r="A29" s="3" t="s">
        <v>66</v>
      </c>
      <c r="B29" s="129">
        <f>Summary!H57*(1+Summary!$H$48)</f>
        <v>0</v>
      </c>
      <c r="C29" s="93">
        <f>B29*(1+Summary!$H$48)</f>
        <v>0</v>
      </c>
      <c r="D29" s="93">
        <f>C29*(1+Summary!$H$48)</f>
        <v>0</v>
      </c>
      <c r="E29" s="93">
        <f>D29*(1+Summary!$H$48)</f>
        <v>0</v>
      </c>
      <c r="F29" s="93">
        <f>E29*(1+Summary!$H$48)</f>
        <v>0</v>
      </c>
      <c r="G29" s="93">
        <f>F29*(1+Summary!$H$48)</f>
        <v>0</v>
      </c>
      <c r="H29" s="93">
        <f>G29*(1+Summary!$H$48)</f>
        <v>0</v>
      </c>
      <c r="I29" s="93">
        <f>H29*(1+Summary!$H$48)</f>
        <v>0</v>
      </c>
      <c r="J29" s="93">
        <f>I29*(1+Summary!$H$48)</f>
        <v>0</v>
      </c>
      <c r="K29" s="93">
        <f>J29*(1+Summary!$H$48)</f>
        <v>0</v>
      </c>
      <c r="L29" s="93">
        <f>K29*(1+Summary!$H$48)</f>
        <v>0</v>
      </c>
      <c r="M29" s="93">
        <f>L29*(1+Summary!$H$48)</f>
        <v>0</v>
      </c>
      <c r="N29" s="93">
        <f>M29*(1+Summary!$H$48)</f>
        <v>0</v>
      </c>
      <c r="O29" s="93">
        <f>N29*(1+Summary!$H$48)</f>
        <v>0</v>
      </c>
      <c r="P29" s="93">
        <f>O29*(1+Summary!$H$48)</f>
        <v>0</v>
      </c>
      <c r="Q29" s="93">
        <f>P29*(1+Summary!$H$48)</f>
        <v>0</v>
      </c>
      <c r="R29" s="93">
        <f>Q29*(1+Summary!$H$48)</f>
        <v>0</v>
      </c>
      <c r="S29" s="93">
        <f>R29*(1+Summary!$H$48)</f>
        <v>0</v>
      </c>
      <c r="T29" s="93">
        <f>S29*(1+Summary!$H$48)</f>
        <v>0</v>
      </c>
      <c r="U29" s="93">
        <f>T29*(1+Summary!$H$48)</f>
        <v>0</v>
      </c>
      <c r="W29" s="93">
        <f t="shared" si="5"/>
        <v>0</v>
      </c>
    </row>
    <row r="30" spans="1:55" s="18" customFormat="1">
      <c r="A30" s="3" t="s">
        <v>214</v>
      </c>
      <c r="B30" s="129">
        <v>0</v>
      </c>
      <c r="C30" s="93">
        <v>0</v>
      </c>
      <c r="D30" s="93">
        <v>0</v>
      </c>
      <c r="E30" s="93">
        <f>Summary!H46*Summary!H11*12</f>
        <v>394.80000000000007</v>
      </c>
      <c r="F30" s="93">
        <f>E30*(1+Summary!$H$48)</f>
        <v>406.64400000000006</v>
      </c>
      <c r="G30" s="93">
        <f>F30*(1+Summary!$H$48)</f>
        <v>418.84332000000006</v>
      </c>
      <c r="H30" s="93">
        <f>G30*(1+Summary!$H$48)</f>
        <v>431.40861960000007</v>
      </c>
      <c r="I30" s="93">
        <f>H30*(1+Summary!$H$48)</f>
        <v>444.35087818800008</v>
      </c>
      <c r="J30" s="93">
        <f>I30*(1+Summary!$H$48)</f>
        <v>457.68140453364009</v>
      </c>
      <c r="K30" s="93">
        <f>J30*(1+Summary!$H$48)</f>
        <v>471.41184666964932</v>
      </c>
      <c r="L30" s="93">
        <f>K30*(1+Summary!$H$48)</f>
        <v>485.55420206973884</v>
      </c>
      <c r="M30" s="93">
        <f>L30*(1+Summary!$H$48)</f>
        <v>500.12082813183099</v>
      </c>
      <c r="N30" s="93">
        <f>M30*(1+Summary!$H$48)</f>
        <v>515.12445297578597</v>
      </c>
      <c r="O30" s="93">
        <f>N30*(1+Summary!$H$48)</f>
        <v>530.57818656505958</v>
      </c>
      <c r="P30" s="93">
        <f>O30*(1+Summary!$H$48)</f>
        <v>546.49553216201139</v>
      </c>
      <c r="Q30" s="93">
        <f>P30*(1+Summary!$H$48)</f>
        <v>562.89039812687179</v>
      </c>
      <c r="R30" s="93">
        <f>Q30*(1+Summary!$H$48)</f>
        <v>579.77711007067796</v>
      </c>
      <c r="S30" s="93">
        <f>R30*(1+Summary!$H$48)</f>
        <v>597.17042337279827</v>
      </c>
      <c r="T30" s="93">
        <f>S30*(1+Summary!$H$48)</f>
        <v>615.08553607398221</v>
      </c>
      <c r="U30" s="93">
        <f>T30*(1+Summary!$H$48)</f>
        <v>633.53810215620172</v>
      </c>
      <c r="V30" s="93"/>
      <c r="W30" s="93">
        <f t="shared" si="5"/>
        <v>8591.4748406962499</v>
      </c>
      <c r="AB30" s="19"/>
      <c r="AC30" s="19"/>
    </row>
    <row r="31" spans="1:55" s="18" customFormat="1">
      <c r="A31" s="3" t="s">
        <v>37</v>
      </c>
      <c r="B31" s="148">
        <f>IS!B31*Allocation!$F$13</f>
        <v>303.66595046569188</v>
      </c>
      <c r="C31" s="148">
        <f>IS!C31*Allocation!$F$13</f>
        <v>302.86205669700695</v>
      </c>
      <c r="D31" s="148">
        <f>IS!D31*Allocation!$F$13</f>
        <v>301.36222826586442</v>
      </c>
      <c r="E31" s="148">
        <f>IS!E31*Allocation!$F$13</f>
        <v>277.95996366816854</v>
      </c>
      <c r="F31" s="148">
        <f>IS!F31*Allocation!$F$13</f>
        <v>277.95996366816854</v>
      </c>
      <c r="G31" s="148">
        <f>IS!G31*Allocation!$F$13</f>
        <v>277.95996366816854</v>
      </c>
      <c r="H31" s="148">
        <f>IS!H31*Allocation!$F$13</f>
        <v>277.95996366816854</v>
      </c>
      <c r="I31" s="148">
        <f>IS!I31*Allocation!$F$13</f>
        <v>277.95996366816854</v>
      </c>
      <c r="J31" s="148">
        <f>IS!J31*Allocation!$F$13</f>
        <v>277.95996366816854</v>
      </c>
      <c r="K31" s="148">
        <f>IS!K31*Allocation!$F$13</f>
        <v>277.95996366816854</v>
      </c>
      <c r="L31" s="148">
        <f>IS!L31*Allocation!$F$13</f>
        <v>277.95996366816854</v>
      </c>
      <c r="M31" s="148">
        <f>IS!M31*Allocation!$F$13</f>
        <v>277.95996366816854</v>
      </c>
      <c r="N31" s="148">
        <f>IS!N31*Allocation!$F$13</f>
        <v>277.95996366816854</v>
      </c>
      <c r="O31" s="148">
        <f>IS!O31*Allocation!$F$13</f>
        <v>277.95996366816854</v>
      </c>
      <c r="P31" s="148">
        <f>IS!P31*Allocation!$F$13</f>
        <v>277.95996366816854</v>
      </c>
      <c r="Q31" s="148">
        <f>IS!Q31*Allocation!$F$13</f>
        <v>277.95996366816854</v>
      </c>
      <c r="R31" s="148">
        <f>IS!R31*Allocation!$F$13</f>
        <v>277.95996366816854</v>
      </c>
      <c r="S31" s="148">
        <f>IS!S31*Allocation!$F$13</f>
        <v>277.95996366816854</v>
      </c>
      <c r="T31" s="148">
        <f>IS!T31*Allocation!$F$13</f>
        <v>277.95996366816854</v>
      </c>
      <c r="U31" s="148">
        <f>IS!U31*Allocation!$F$13</f>
        <v>277.95996366816854</v>
      </c>
      <c r="V31" s="93"/>
      <c r="W31" s="93">
        <f t="shared" si="5"/>
        <v>5633.20961778743</v>
      </c>
      <c r="AB31" s="19"/>
      <c r="AC31" s="19"/>
    </row>
    <row r="32" spans="1:55" s="18" customFormat="1">
      <c r="A32" s="3" t="s">
        <v>283</v>
      </c>
      <c r="B32" s="149">
        <v>0</v>
      </c>
      <c r="C32" s="149">
        <v>0</v>
      </c>
      <c r="D32" s="149">
        <v>0</v>
      </c>
      <c r="E32" s="149">
        <v>0</v>
      </c>
      <c r="F32" s="149">
        <v>0</v>
      </c>
      <c r="G32" s="149">
        <v>0</v>
      </c>
      <c r="H32" s="149">
        <v>0</v>
      </c>
      <c r="I32" s="149">
        <v>0</v>
      </c>
      <c r="J32" s="149">
        <v>0</v>
      </c>
      <c r="K32" s="149">
        <v>0</v>
      </c>
      <c r="L32" s="149">
        <v>0</v>
      </c>
      <c r="M32" s="149">
        <v>0</v>
      </c>
      <c r="N32" s="149">
        <v>0</v>
      </c>
      <c r="O32" s="149">
        <v>0</v>
      </c>
      <c r="P32" s="149">
        <v>0</v>
      </c>
      <c r="Q32" s="149">
        <v>0</v>
      </c>
      <c r="R32" s="149">
        <v>0</v>
      </c>
      <c r="S32" s="149">
        <v>0</v>
      </c>
      <c r="T32" s="149">
        <v>0</v>
      </c>
      <c r="U32" s="149">
        <v>0</v>
      </c>
      <c r="V32" s="93"/>
      <c r="W32" s="93">
        <f t="shared" si="5"/>
        <v>0</v>
      </c>
      <c r="AB32" s="19"/>
      <c r="AC32" s="19"/>
    </row>
    <row r="33" spans="1:23" ht="12" customHeight="1">
      <c r="A33" s="3" t="s">
        <v>90</v>
      </c>
      <c r="B33" s="129">
        <f>SUM(B23:B32)</f>
        <v>4307.0031476085496</v>
      </c>
      <c r="C33" s="129">
        <f t="shared" ref="C33:U33" si="6">SUM(C23:C32)</f>
        <v>4544.2863697541497</v>
      </c>
      <c r="D33" s="129">
        <f t="shared" si="6"/>
        <v>4765.3456607147218</v>
      </c>
      <c r="E33" s="129">
        <f t="shared" si="6"/>
        <v>5314.6707167958084</v>
      </c>
      <c r="F33" s="129">
        <f t="shared" si="6"/>
        <v>5507.158489389637</v>
      </c>
      <c r="G33" s="129">
        <f t="shared" si="6"/>
        <v>5776.0529151612818</v>
      </c>
      <c r="H33" s="129">
        <f t="shared" si="6"/>
        <v>6099.3379937060754</v>
      </c>
      <c r="I33" s="129">
        <f t="shared" si="6"/>
        <v>6366.9205646072123</v>
      </c>
      <c r="J33" s="129">
        <f t="shared" si="6"/>
        <v>6539.0604226353853</v>
      </c>
      <c r="K33" s="129">
        <f t="shared" si="6"/>
        <v>6637.8924364043996</v>
      </c>
      <c r="L33" s="129">
        <f t="shared" si="6"/>
        <v>6962.7876705864865</v>
      </c>
      <c r="M33" s="129">
        <f t="shared" si="6"/>
        <v>7137.6695117940371</v>
      </c>
      <c r="N33" s="129">
        <f t="shared" si="6"/>
        <v>7317.8317982378139</v>
      </c>
      <c r="O33" s="129">
        <f t="shared" si="6"/>
        <v>7503.3989532749038</v>
      </c>
      <c r="P33" s="129">
        <f t="shared" si="6"/>
        <v>7694.5331229631065</v>
      </c>
      <c r="Q33" s="129">
        <f t="shared" si="6"/>
        <v>7891.4013177419547</v>
      </c>
      <c r="R33" s="129">
        <f t="shared" si="6"/>
        <v>8094.175558364168</v>
      </c>
      <c r="S33" s="129">
        <f t="shared" si="6"/>
        <v>8303.0330262050466</v>
      </c>
      <c r="T33" s="129">
        <f t="shared" si="6"/>
        <v>8518.1562180811525</v>
      </c>
      <c r="U33" s="129">
        <f t="shared" si="6"/>
        <v>8739.7331057135434</v>
      </c>
      <c r="W33" s="93">
        <f t="shared" si="5"/>
        <v>134020.44899973943</v>
      </c>
    </row>
    <row r="34" spans="1:23" s="64" customFormat="1" outlineLevel="1">
      <c r="A34" s="5"/>
      <c r="B34" s="146"/>
      <c r="C34" s="133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W34" s="93"/>
    </row>
    <row r="35" spans="1:23" s="64" customFormat="1" ht="6.75" customHeight="1">
      <c r="A35" s="5"/>
      <c r="B35" s="132"/>
      <c r="C35" s="133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W35" s="93"/>
    </row>
    <row r="36" spans="1:23" s="59" customFormat="1">
      <c r="A36" s="1" t="s">
        <v>91</v>
      </c>
      <c r="B36" s="122">
        <f t="shared" ref="B36:U36" si="7">B20-B33</f>
        <v>20276.802345546344</v>
      </c>
      <c r="C36" s="122">
        <f t="shared" si="7"/>
        <v>20090.422374098922</v>
      </c>
      <c r="D36" s="122">
        <f t="shared" si="7"/>
        <v>19922.085211705591</v>
      </c>
      <c r="E36" s="122">
        <f t="shared" si="7"/>
        <v>31523.390715631365</v>
      </c>
      <c r="F36" s="122">
        <f t="shared" si="7"/>
        <v>33353.071588733525</v>
      </c>
      <c r="G36" s="122">
        <f t="shared" si="7"/>
        <v>33893.969888928521</v>
      </c>
      <c r="H36" s="122">
        <f t="shared" si="7"/>
        <v>34393.558451271208</v>
      </c>
      <c r="I36" s="122">
        <f t="shared" si="7"/>
        <v>34963.400410052775</v>
      </c>
      <c r="J36" s="122">
        <f t="shared" si="7"/>
        <v>35643.819776280965</v>
      </c>
      <c r="K36" s="122">
        <f t="shared" si="7"/>
        <v>36412.484802743384</v>
      </c>
      <c r="L36" s="122">
        <f t="shared" si="7"/>
        <v>36829.381992405324</v>
      </c>
      <c r="M36" s="122">
        <f t="shared" si="7"/>
        <v>37404.106669811605</v>
      </c>
      <c r="N36" s="122">
        <f t="shared" si="7"/>
        <v>37979.108891162461</v>
      </c>
      <c r="O36" s="122">
        <f t="shared" si="7"/>
        <v>38553.923504206134</v>
      </c>
      <c r="P36" s="122">
        <f t="shared" si="7"/>
        <v>39128.021750444997</v>
      </c>
      <c r="Q36" s="122">
        <f t="shared" si="7"/>
        <v>39542.054829447588</v>
      </c>
      <c r="R36" s="122">
        <f t="shared" si="7"/>
        <v>39862.914558114746</v>
      </c>
      <c r="S36" s="122">
        <f t="shared" si="7"/>
        <v>40250.643327582249</v>
      </c>
      <c r="T36" s="122">
        <f t="shared" si="7"/>
        <v>40711.491387102731</v>
      </c>
      <c r="U36" s="122">
        <f t="shared" si="7"/>
        <v>41073.381786064456</v>
      </c>
      <c r="W36" s="93">
        <f>SUM(B36:U36)</f>
        <v>691808.03426133492</v>
      </c>
    </row>
    <row r="37" spans="1:23" s="59" customFormat="1">
      <c r="A37" s="1"/>
      <c r="B37" s="134"/>
      <c r="C37" s="135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W37" s="93"/>
    </row>
    <row r="38" spans="1:23">
      <c r="A38" s="3" t="s">
        <v>92</v>
      </c>
      <c r="B38" s="129">
        <f>Depreciation!C45</f>
        <v>5720.977398884711</v>
      </c>
      <c r="C38" s="129">
        <f>Depreciation!D45</f>
        <v>5720.977398884711</v>
      </c>
      <c r="D38" s="129">
        <f>Depreciation!E45</f>
        <v>5720.977398884711</v>
      </c>
      <c r="E38" s="129">
        <f>Depreciation!F45</f>
        <v>5720.977398884711</v>
      </c>
      <c r="F38" s="129">
        <f>Depreciation!G45</f>
        <v>5720.977398884711</v>
      </c>
      <c r="G38" s="129">
        <f>Depreciation!H45</f>
        <v>5720.977398884711</v>
      </c>
      <c r="H38" s="129">
        <f>Depreciation!I45</f>
        <v>5720.977398884711</v>
      </c>
      <c r="I38" s="129">
        <f>Depreciation!J45</f>
        <v>5720.977398884711</v>
      </c>
      <c r="J38" s="129">
        <f>Depreciation!K45</f>
        <v>5720.977398884711</v>
      </c>
      <c r="K38" s="129">
        <f>Depreciation!L45</f>
        <v>5720.977398884711</v>
      </c>
      <c r="L38" s="129">
        <f>Depreciation!M45</f>
        <v>5720.977398884711</v>
      </c>
      <c r="M38" s="129">
        <f>Depreciation!N45</f>
        <v>5720.977398884711</v>
      </c>
      <c r="N38" s="129">
        <f>Depreciation!O45</f>
        <v>5720.977398884711</v>
      </c>
      <c r="O38" s="129">
        <f>Depreciation!P45</f>
        <v>5720.977398884711</v>
      </c>
      <c r="P38" s="129">
        <f>Depreciation!Q45</f>
        <v>5720.977398884711</v>
      </c>
      <c r="Q38" s="129">
        <f>Depreciation!R45</f>
        <v>5720.977398884711</v>
      </c>
      <c r="R38" s="129">
        <f>Depreciation!S45</f>
        <v>5720.977398884711</v>
      </c>
      <c r="S38" s="129">
        <f>Depreciation!T45</f>
        <v>5720.977398884711</v>
      </c>
      <c r="T38" s="129">
        <f>Depreciation!U45</f>
        <v>5720.977398884711</v>
      </c>
      <c r="U38" s="129">
        <f>Depreciation!V45</f>
        <v>5720.977398884711</v>
      </c>
      <c r="W38" s="93">
        <f>SUM(B38:U38)</f>
        <v>114419.54797769424</v>
      </c>
    </row>
    <row r="39" spans="1:23">
      <c r="A39" s="3"/>
      <c r="B39" s="129"/>
      <c r="C39" s="93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W39" s="93"/>
    </row>
    <row r="40" spans="1:23" s="59" customFormat="1">
      <c r="A40" s="1" t="s">
        <v>93</v>
      </c>
      <c r="B40" s="134">
        <f t="shared" ref="B40:U40" si="8">B36-B38</f>
        <v>14555.824946661633</v>
      </c>
      <c r="C40" s="134">
        <f t="shared" si="8"/>
        <v>14369.44497521421</v>
      </c>
      <c r="D40" s="134">
        <f t="shared" si="8"/>
        <v>14201.107812820879</v>
      </c>
      <c r="E40" s="134">
        <f t="shared" si="8"/>
        <v>25802.413316746653</v>
      </c>
      <c r="F40" s="134">
        <f t="shared" si="8"/>
        <v>27632.094189848813</v>
      </c>
      <c r="G40" s="134">
        <f t="shared" si="8"/>
        <v>28172.992490043809</v>
      </c>
      <c r="H40" s="134">
        <f t="shared" si="8"/>
        <v>28672.581052386497</v>
      </c>
      <c r="I40" s="134">
        <f t="shared" si="8"/>
        <v>29242.423011168063</v>
      </c>
      <c r="J40" s="134">
        <f t="shared" si="8"/>
        <v>29922.842377396253</v>
      </c>
      <c r="K40" s="134">
        <f t="shared" si="8"/>
        <v>30691.507403858672</v>
      </c>
      <c r="L40" s="134">
        <f t="shared" si="8"/>
        <v>31108.404593520612</v>
      </c>
      <c r="M40" s="134">
        <f t="shared" si="8"/>
        <v>31683.129270926893</v>
      </c>
      <c r="N40" s="134">
        <f t="shared" si="8"/>
        <v>32258.131492277749</v>
      </c>
      <c r="O40" s="134">
        <f t="shared" si="8"/>
        <v>32832.946105321425</v>
      </c>
      <c r="P40" s="134">
        <f t="shared" si="8"/>
        <v>33407.044351560289</v>
      </c>
      <c r="Q40" s="134">
        <f t="shared" si="8"/>
        <v>33821.07743056288</v>
      </c>
      <c r="R40" s="134">
        <f t="shared" si="8"/>
        <v>34141.937159230038</v>
      </c>
      <c r="S40" s="134">
        <f t="shared" si="8"/>
        <v>34529.665928697541</v>
      </c>
      <c r="T40" s="134">
        <f t="shared" si="8"/>
        <v>34990.513988218023</v>
      </c>
      <c r="U40" s="134">
        <f t="shared" si="8"/>
        <v>35352.404387179748</v>
      </c>
      <c r="W40" s="93">
        <f>SUM(B40:U40)</f>
        <v>577388.48628364061</v>
      </c>
    </row>
    <row r="41" spans="1:23" s="59" customFormat="1">
      <c r="A41" s="1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W41" s="93"/>
    </row>
    <row r="42" spans="1:23">
      <c r="A42" s="6" t="s">
        <v>94</v>
      </c>
      <c r="B42" s="129">
        <f>IS!B42*Allocation!$F$13</f>
        <v>10803.89627698404</v>
      </c>
      <c r="C42" s="129">
        <f>IS!C42*Allocation!$F$13</f>
        <v>10440.201915442101</v>
      </c>
      <c r="D42" s="129">
        <f>IS!D42*Allocation!$F$13</f>
        <v>10017.751191572668</v>
      </c>
      <c r="E42" s="129">
        <f>IS!E42*Allocation!$F$13</f>
        <v>9686.7835631806556</v>
      </c>
      <c r="F42" s="129">
        <f>IS!F42*Allocation!$F$13</f>
        <v>9557.9702075168061</v>
      </c>
      <c r="G42" s="129">
        <f>IS!G42*Allocation!$F$13</f>
        <v>9397.7558553731506</v>
      </c>
      <c r="H42" s="129">
        <f>IS!H42*Allocation!$F$13</f>
        <v>9205.5539658197704</v>
      </c>
      <c r="I42" s="129">
        <f>IS!I42*Allocation!$F$13</f>
        <v>9002.9029830448999</v>
      </c>
      <c r="J42" s="129">
        <f>IS!J42*Allocation!$F$13</f>
        <v>8710.4861614312322</v>
      </c>
      <c r="K42" s="129">
        <f>IS!K42*Allocation!$F$13</f>
        <v>8398.9186859838192</v>
      </c>
      <c r="L42" s="129">
        <f>IS!L42*Allocation!$F$13</f>
        <v>8037.9996616168137</v>
      </c>
      <c r="M42" s="129">
        <f>IS!M42*Allocation!$F$13</f>
        <v>7626.2584738222913</v>
      </c>
      <c r="N42" s="129">
        <f>IS!N42*Allocation!$F$13</f>
        <v>7101.6637265567488</v>
      </c>
      <c r="O42" s="129">
        <f>IS!O42*Allocation!$F$13</f>
        <v>6522.8760356307175</v>
      </c>
      <c r="P42" s="129">
        <f>IS!P42*Allocation!$F$13</f>
        <v>5860.2108772168285</v>
      </c>
      <c r="Q42" s="129">
        <f>IS!Q42*Allocation!$F$13</f>
        <v>5120.2037782766274</v>
      </c>
      <c r="R42" s="129">
        <f>IS!R42*Allocation!$F$13</f>
        <v>4251.2105472967523</v>
      </c>
      <c r="S42" s="129">
        <f>IS!S42*Allocation!$F$13</f>
        <v>3290.5577357910356</v>
      </c>
      <c r="T42" s="129">
        <f>IS!T42*Allocation!$F$13</f>
        <v>2210.9824668992437</v>
      </c>
      <c r="U42" s="129">
        <f>IS!U42*Allocation!$F$13</f>
        <v>1001.740483103905</v>
      </c>
      <c r="W42" s="93">
        <f>SUM(B42:U42)</f>
        <v>146245.92459256007</v>
      </c>
    </row>
    <row r="43" spans="1:23" ht="6" customHeight="1">
      <c r="B43" s="69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W43" s="93"/>
    </row>
    <row r="44" spans="1:23" s="59" customFormat="1">
      <c r="A44" s="1" t="s">
        <v>95</v>
      </c>
      <c r="B44" s="134">
        <f t="shared" ref="B44:U44" si="9">B40-B42</f>
        <v>3751.9286696775926</v>
      </c>
      <c r="C44" s="134">
        <f t="shared" si="9"/>
        <v>3929.2430597721086</v>
      </c>
      <c r="D44" s="134">
        <f t="shared" si="9"/>
        <v>4183.356621248211</v>
      </c>
      <c r="E44" s="134">
        <f t="shared" si="9"/>
        <v>16115.629753565998</v>
      </c>
      <c r="F44" s="134">
        <f t="shared" si="9"/>
        <v>18074.123982332007</v>
      </c>
      <c r="G44" s="134">
        <f t="shared" si="9"/>
        <v>18775.236634670659</v>
      </c>
      <c r="H44" s="134">
        <f t="shared" si="9"/>
        <v>19467.027086566726</v>
      </c>
      <c r="I44" s="134">
        <f t="shared" si="9"/>
        <v>20239.520028123163</v>
      </c>
      <c r="J44" s="134">
        <f t="shared" si="9"/>
        <v>21212.356215965021</v>
      </c>
      <c r="K44" s="134">
        <f t="shared" si="9"/>
        <v>22292.588717874853</v>
      </c>
      <c r="L44" s="134">
        <f t="shared" si="9"/>
        <v>23070.404931903799</v>
      </c>
      <c r="M44" s="134">
        <f t="shared" si="9"/>
        <v>24056.870797104602</v>
      </c>
      <c r="N44" s="134">
        <f t="shared" si="9"/>
        <v>25156.467765721001</v>
      </c>
      <c r="O44" s="134">
        <f t="shared" si="9"/>
        <v>26310.070069690708</v>
      </c>
      <c r="P44" s="134">
        <f t="shared" si="9"/>
        <v>27546.833474343461</v>
      </c>
      <c r="Q44" s="134">
        <f t="shared" si="9"/>
        <v>28700.873652286253</v>
      </c>
      <c r="R44" s="134">
        <f t="shared" si="9"/>
        <v>29890.726611933285</v>
      </c>
      <c r="S44" s="134">
        <f t="shared" si="9"/>
        <v>31239.108192906504</v>
      </c>
      <c r="T44" s="134">
        <f t="shared" si="9"/>
        <v>32779.531521318779</v>
      </c>
      <c r="U44" s="134">
        <f t="shared" si="9"/>
        <v>34350.663904075845</v>
      </c>
      <c r="W44" s="93">
        <f>SUM(B44:U44)</f>
        <v>431142.56169108051</v>
      </c>
    </row>
    <row r="45" spans="1:23" s="59" customFormat="1">
      <c r="A45" s="1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W45" s="93"/>
    </row>
    <row r="46" spans="1:23">
      <c r="A46" s="3" t="s">
        <v>96</v>
      </c>
      <c r="B46" s="129">
        <f>B44*-Summary!$H$37</f>
        <v>-168.83679013549167</v>
      </c>
      <c r="C46" s="129">
        <f>C44*-Summary!$H$37</f>
        <v>-176.81593768974489</v>
      </c>
      <c r="D46" s="129">
        <f>D44*-Summary!$H$37</f>
        <v>-188.25104795616949</v>
      </c>
      <c r="E46" s="129">
        <f>E44*-Summary!$H$37</f>
        <v>-725.20333891046982</v>
      </c>
      <c r="F46" s="129">
        <f>F44*-Summary!$H$37</f>
        <v>-813.33557920494025</v>
      </c>
      <c r="G46" s="129">
        <f>G44*-Summary!$H$37</f>
        <v>-844.88564856017956</v>
      </c>
      <c r="H46" s="129">
        <f>H44*-Summary!$H$37</f>
        <v>-876.01621889550267</v>
      </c>
      <c r="I46" s="129">
        <f>I44*-Summary!$H$37</f>
        <v>-910.77840126554224</v>
      </c>
      <c r="J46" s="129">
        <f>J44*-Summary!$H$37</f>
        <v>-954.55602971842586</v>
      </c>
      <c r="K46" s="129">
        <f>K44*-Summary!$H$37</f>
        <v>-1003.1664923043684</v>
      </c>
      <c r="L46" s="129">
        <f>L44*-Summary!$H$37</f>
        <v>-1038.168221935671</v>
      </c>
      <c r="M46" s="129">
        <f>M44*-Summary!$H$37</f>
        <v>-1082.5591858697071</v>
      </c>
      <c r="N46" s="129">
        <f>N44*-Summary!$H$37</f>
        <v>-1132.0410494574451</v>
      </c>
      <c r="O46" s="129">
        <f>O44*-Summary!$H$37</f>
        <v>-1183.9531531360817</v>
      </c>
      <c r="P46" s="129">
        <f>P44*-Summary!$H$37</f>
        <v>-1239.6075063454557</v>
      </c>
      <c r="Q46" s="129">
        <f>Q44*-Summary!$H$37</f>
        <v>-1291.5393143528813</v>
      </c>
      <c r="R46" s="129">
        <f>R44*-Summary!$H$37</f>
        <v>-1345.0826975369978</v>
      </c>
      <c r="S46" s="129">
        <f>S44*-Summary!$H$37</f>
        <v>-1405.7598686807926</v>
      </c>
      <c r="T46" s="129">
        <f>T44*-Summary!$H$37</f>
        <v>-1475.078918459345</v>
      </c>
      <c r="U46" s="129">
        <f>U44*-Summary!$H$37</f>
        <v>-1545.7798756834129</v>
      </c>
      <c r="W46" s="93">
        <f>SUM(B46:U46)</f>
        <v>-19401.415276098625</v>
      </c>
    </row>
    <row r="47" spans="1:23">
      <c r="A47" s="3" t="s">
        <v>97</v>
      </c>
      <c r="B47" s="123">
        <f>(B44+B46)*-Summary!$H$36</f>
        <v>-1254.0821578397351</v>
      </c>
      <c r="C47" s="123">
        <f>(C44+C46)*-Summary!$H$36</f>
        <v>-1313.3494927288273</v>
      </c>
      <c r="D47" s="123">
        <f>(D44+D46)*-Summary!$H$36</f>
        <v>-1398.2869506522143</v>
      </c>
      <c r="E47" s="123">
        <f>(E44+E46)*-Summary!$H$36</f>
        <v>-5386.6492451294343</v>
      </c>
      <c r="F47" s="123">
        <f>(F44+F46)*-Summary!$H$36</f>
        <v>-6041.2759410944727</v>
      </c>
      <c r="G47" s="123">
        <f>(G44+G46)*-Summary!$H$36</f>
        <v>-6275.6228451386678</v>
      </c>
      <c r="H47" s="123">
        <f>(H44+H46)*-Summary!$H$36</f>
        <v>-6506.8538036849277</v>
      </c>
      <c r="I47" s="123">
        <f>(I44+I46)*-Summary!$H$36</f>
        <v>-6765.0595694001668</v>
      </c>
      <c r="J47" s="123">
        <f>(J44+J46)*-Summary!$H$36</f>
        <v>-7090.230065186307</v>
      </c>
      <c r="K47" s="123">
        <f>(K44+K46)*-Summary!$H$36</f>
        <v>-7451.297778949669</v>
      </c>
      <c r="L47" s="123">
        <f>(L44+L46)*-Summary!$H$36</f>
        <v>-7711.2828484888441</v>
      </c>
      <c r="M47" s="123">
        <f>(M44+M46)*-Summary!$H$36</f>
        <v>-8041.0090639322125</v>
      </c>
      <c r="N47" s="123">
        <f>(N44+N46)*-Summary!$H$36</f>
        <v>-8408.549350692243</v>
      </c>
      <c r="O47" s="123">
        <f>(O44+O46)*-Summary!$H$36</f>
        <v>-8794.1409207941197</v>
      </c>
      <c r="P47" s="123">
        <f>(P44+P46)*-Summary!$H$36</f>
        <v>-9207.5290887993015</v>
      </c>
      <c r="Q47" s="123">
        <f>(Q44+Q46)*-Summary!$H$36</f>
        <v>-9593.2670182766797</v>
      </c>
      <c r="R47" s="123">
        <f>(R44+R46)*-Summary!$H$36</f>
        <v>-9990.9753700387009</v>
      </c>
      <c r="S47" s="123">
        <f>(S44+S46)*-Summary!$H$36</f>
        <v>-10441.671913478998</v>
      </c>
      <c r="T47" s="123">
        <f>(T44+T46)*-Summary!$H$36</f>
        <v>-10956.5584110008</v>
      </c>
      <c r="U47" s="123">
        <f>(U44+U46)*-Summary!$H$36</f>
        <v>-11481.70940993735</v>
      </c>
      <c r="W47" s="93">
        <f>SUM(B47:U47)</f>
        <v>-144109.40124524367</v>
      </c>
    </row>
    <row r="48" spans="1:23" ht="6" customHeight="1">
      <c r="B48" s="129"/>
      <c r="C48" s="93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W48" s="93"/>
    </row>
    <row r="49" spans="1:55" s="66" customFormat="1" ht="15.75">
      <c r="A49" s="47" t="s">
        <v>120</v>
      </c>
      <c r="B49" s="136">
        <f t="shared" ref="B49:U49" si="10">SUM(B44:B47)</f>
        <v>2329.0097217023658</v>
      </c>
      <c r="C49" s="136">
        <f t="shared" si="10"/>
        <v>2439.0776293535364</v>
      </c>
      <c r="D49" s="136">
        <f t="shared" si="10"/>
        <v>2596.818622639827</v>
      </c>
      <c r="E49" s="136">
        <f t="shared" si="10"/>
        <v>10003.777169526094</v>
      </c>
      <c r="F49" s="136">
        <f t="shared" si="10"/>
        <v>11219.512462032593</v>
      </c>
      <c r="G49" s="136">
        <f t="shared" si="10"/>
        <v>11654.728140971813</v>
      </c>
      <c r="H49" s="136">
        <f t="shared" si="10"/>
        <v>12084.157063986295</v>
      </c>
      <c r="I49" s="136">
        <f t="shared" si="10"/>
        <v>12563.682057457452</v>
      </c>
      <c r="J49" s="136">
        <f t="shared" si="10"/>
        <v>13167.570121060286</v>
      </c>
      <c r="K49" s="136">
        <f t="shared" si="10"/>
        <v>13838.124446620815</v>
      </c>
      <c r="L49" s="136">
        <f t="shared" si="10"/>
        <v>14320.953861479284</v>
      </c>
      <c r="M49" s="136">
        <f t="shared" si="10"/>
        <v>14933.302547302683</v>
      </c>
      <c r="N49" s="136">
        <f t="shared" si="10"/>
        <v>15615.877365571312</v>
      </c>
      <c r="O49" s="136">
        <f t="shared" si="10"/>
        <v>16331.975995760507</v>
      </c>
      <c r="P49" s="136">
        <f t="shared" si="10"/>
        <v>17099.696879198702</v>
      </c>
      <c r="Q49" s="136">
        <f t="shared" si="10"/>
        <v>17816.067319656693</v>
      </c>
      <c r="R49" s="136">
        <f t="shared" si="10"/>
        <v>18554.668544357588</v>
      </c>
      <c r="S49" s="136">
        <f t="shared" si="10"/>
        <v>19391.67641074671</v>
      </c>
      <c r="T49" s="136">
        <f t="shared" si="10"/>
        <v>20347.894191858635</v>
      </c>
      <c r="U49" s="136">
        <f t="shared" si="10"/>
        <v>21323.174618455079</v>
      </c>
      <c r="W49" s="93">
        <f>SUM(B49:U49)</f>
        <v>267631.74516973819</v>
      </c>
    </row>
    <row r="50" spans="1:55" s="64" customFormat="1" ht="9" outlineLevel="1">
      <c r="A50" s="4"/>
      <c r="B50" s="62"/>
      <c r="C50" s="63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</row>
    <row r="51" spans="1:55">
      <c r="A51" s="1"/>
      <c r="B51" s="58"/>
      <c r="C51" s="61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</row>
    <row r="52" spans="1:55" outlineLevel="1">
      <c r="A52" s="13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</row>
    <row r="53" spans="1:55" ht="18.75" outlineLevel="1">
      <c r="A53" s="57" t="s">
        <v>121</v>
      </c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</row>
    <row r="54" spans="1:55" outlineLevel="1">
      <c r="A54" s="1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</row>
    <row r="55" spans="1:55" ht="12.75" customHeight="1" outlineLevel="1">
      <c r="A55" s="1" t="s">
        <v>116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</row>
    <row r="56" spans="1:55" ht="12.75" customHeight="1" outlineLevel="1">
      <c r="A56" s="1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</row>
    <row r="57" spans="1:55" ht="13.5" outlineLevel="1" thickBot="1">
      <c r="A57" s="202" t="s">
        <v>83</v>
      </c>
      <c r="B57" s="8">
        <v>2001</v>
      </c>
      <c r="C57" s="8">
        <f t="shared" ref="C57:U57" si="11">B57+1</f>
        <v>2002</v>
      </c>
      <c r="D57" s="8">
        <f t="shared" si="11"/>
        <v>2003</v>
      </c>
      <c r="E57" s="8">
        <f>D57+1</f>
        <v>2004</v>
      </c>
      <c r="F57" s="8">
        <f t="shared" si="11"/>
        <v>2005</v>
      </c>
      <c r="G57" s="8">
        <f t="shared" si="11"/>
        <v>2006</v>
      </c>
      <c r="H57" s="8">
        <f t="shared" si="11"/>
        <v>2007</v>
      </c>
      <c r="I57" s="8">
        <f t="shared" si="11"/>
        <v>2008</v>
      </c>
      <c r="J57" s="8">
        <f t="shared" si="11"/>
        <v>2009</v>
      </c>
      <c r="K57" s="8">
        <f>J57+1</f>
        <v>2010</v>
      </c>
      <c r="L57" s="8">
        <f t="shared" si="11"/>
        <v>2011</v>
      </c>
      <c r="M57" s="8">
        <f t="shared" si="11"/>
        <v>2012</v>
      </c>
      <c r="N57" s="8">
        <f t="shared" si="11"/>
        <v>2013</v>
      </c>
      <c r="O57" s="8">
        <f t="shared" si="11"/>
        <v>2014</v>
      </c>
      <c r="P57" s="8">
        <f t="shared" si="11"/>
        <v>2015</v>
      </c>
      <c r="Q57" s="8">
        <f t="shared" si="11"/>
        <v>2016</v>
      </c>
      <c r="R57" s="8">
        <f t="shared" si="11"/>
        <v>2017</v>
      </c>
      <c r="S57" s="8">
        <f t="shared" si="11"/>
        <v>2018</v>
      </c>
      <c r="T57" s="8">
        <f t="shared" si="11"/>
        <v>2019</v>
      </c>
      <c r="U57" s="8">
        <f t="shared" si="11"/>
        <v>2020</v>
      </c>
      <c r="W57" s="456" t="s">
        <v>231</v>
      </c>
    </row>
    <row r="58" spans="1:55" outlineLevel="1">
      <c r="A58" s="12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W58" s="25"/>
    </row>
    <row r="59" spans="1:55" outlineLevel="1">
      <c r="A59" s="13" t="s">
        <v>91</v>
      </c>
      <c r="B59" s="58">
        <f t="shared" ref="B59:U59" si="12">B36</f>
        <v>20276.802345546344</v>
      </c>
      <c r="C59" s="58">
        <f t="shared" si="12"/>
        <v>20090.422374098922</v>
      </c>
      <c r="D59" s="58">
        <f t="shared" si="12"/>
        <v>19922.085211705591</v>
      </c>
      <c r="E59" s="58">
        <f t="shared" si="12"/>
        <v>31523.390715631365</v>
      </c>
      <c r="F59" s="58">
        <f t="shared" si="12"/>
        <v>33353.071588733525</v>
      </c>
      <c r="G59" s="58">
        <f t="shared" si="12"/>
        <v>33893.969888928521</v>
      </c>
      <c r="H59" s="58">
        <f t="shared" si="12"/>
        <v>34393.558451271208</v>
      </c>
      <c r="I59" s="58">
        <f t="shared" si="12"/>
        <v>34963.400410052775</v>
      </c>
      <c r="J59" s="58">
        <f t="shared" si="12"/>
        <v>35643.819776280965</v>
      </c>
      <c r="K59" s="58">
        <f t="shared" si="12"/>
        <v>36412.484802743384</v>
      </c>
      <c r="L59" s="58">
        <f t="shared" si="12"/>
        <v>36829.381992405324</v>
      </c>
      <c r="M59" s="58">
        <f t="shared" si="12"/>
        <v>37404.106669811605</v>
      </c>
      <c r="N59" s="58">
        <f t="shared" si="12"/>
        <v>37979.108891162461</v>
      </c>
      <c r="O59" s="58">
        <f t="shared" si="12"/>
        <v>38553.923504206134</v>
      </c>
      <c r="P59" s="58">
        <f t="shared" si="12"/>
        <v>39128.021750444997</v>
      </c>
      <c r="Q59" s="58">
        <f t="shared" si="12"/>
        <v>39542.054829447588</v>
      </c>
      <c r="R59" s="58">
        <f t="shared" si="12"/>
        <v>39862.914558114746</v>
      </c>
      <c r="S59" s="58">
        <f t="shared" si="12"/>
        <v>40250.643327582249</v>
      </c>
      <c r="T59" s="58">
        <f t="shared" si="12"/>
        <v>40711.491387102731</v>
      </c>
      <c r="U59" s="58">
        <f t="shared" si="12"/>
        <v>41073.381786064456</v>
      </c>
      <c r="W59" s="457">
        <f>SUM(B59:U59)</f>
        <v>691808.03426133492</v>
      </c>
    </row>
    <row r="60" spans="1:55">
      <c r="A60" s="13" t="s">
        <v>255</v>
      </c>
      <c r="B60" s="69">
        <f>B28</f>
        <v>0</v>
      </c>
      <c r="C60" s="69">
        <f t="shared" ref="C60:U60" si="13">C28</f>
        <v>117.98699999999999</v>
      </c>
      <c r="D60" s="69">
        <f t="shared" si="13"/>
        <v>216.84299999999999</v>
      </c>
      <c r="E60" s="69">
        <f t="shared" si="13"/>
        <v>295.98500000000001</v>
      </c>
      <c r="F60" s="69">
        <f t="shared" si="13"/>
        <v>346.25099999999998</v>
      </c>
      <c r="G60" s="69">
        <f t="shared" si="13"/>
        <v>468.65699999999998</v>
      </c>
      <c r="H60" s="69">
        <f t="shared" si="13"/>
        <v>641.05899999999997</v>
      </c>
      <c r="I60" s="69">
        <f t="shared" si="13"/>
        <v>753.23199999999997</v>
      </c>
      <c r="J60" s="69">
        <f t="shared" si="13"/>
        <v>765.3</v>
      </c>
      <c r="K60" s="69">
        <f t="shared" si="13"/>
        <v>699.25800000000004</v>
      </c>
      <c r="L60" s="69">
        <f t="shared" si="13"/>
        <v>854.33299999999997</v>
      </c>
      <c r="M60" s="69">
        <f t="shared" si="13"/>
        <v>854.3</v>
      </c>
      <c r="N60" s="69">
        <f t="shared" si="13"/>
        <v>854.3</v>
      </c>
      <c r="O60" s="69">
        <f t="shared" si="13"/>
        <v>854.3</v>
      </c>
      <c r="P60" s="69">
        <f t="shared" si="13"/>
        <v>854.3</v>
      </c>
      <c r="Q60" s="69">
        <f t="shared" si="13"/>
        <v>854.3</v>
      </c>
      <c r="R60" s="69">
        <f t="shared" si="13"/>
        <v>854.3</v>
      </c>
      <c r="S60" s="69">
        <f t="shared" si="13"/>
        <v>854.3</v>
      </c>
      <c r="T60" s="69">
        <f t="shared" si="13"/>
        <v>854.3</v>
      </c>
      <c r="U60" s="69">
        <f t="shared" si="13"/>
        <v>854.3</v>
      </c>
      <c r="W60" s="457">
        <f>SUM(B60:U60)</f>
        <v>12847.604999999996</v>
      </c>
      <c r="X60" s="18"/>
      <c r="Y60" s="18"/>
      <c r="Z60" s="18"/>
      <c r="AA60" s="18"/>
      <c r="AB60" s="19"/>
      <c r="AC60" s="19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</row>
    <row r="61" spans="1:55">
      <c r="A61" s="13" t="s">
        <v>256</v>
      </c>
      <c r="B61" s="537">
        <v>-203.273</v>
      </c>
      <c r="C61" s="69">
        <f>-B60</f>
        <v>0</v>
      </c>
      <c r="D61" s="69">
        <f t="shared" ref="D61:U61" si="14">-C60</f>
        <v>-117.98699999999999</v>
      </c>
      <c r="E61" s="69">
        <f t="shared" si="14"/>
        <v>-216.84299999999999</v>
      </c>
      <c r="F61" s="69">
        <f t="shared" si="14"/>
        <v>-295.98500000000001</v>
      </c>
      <c r="G61" s="69">
        <f t="shared" si="14"/>
        <v>-346.25099999999998</v>
      </c>
      <c r="H61" s="69">
        <f t="shared" si="14"/>
        <v>-468.65699999999998</v>
      </c>
      <c r="I61" s="69">
        <f t="shared" si="14"/>
        <v>-641.05899999999997</v>
      </c>
      <c r="J61" s="69">
        <f t="shared" si="14"/>
        <v>-753.23199999999997</v>
      </c>
      <c r="K61" s="69">
        <f t="shared" si="14"/>
        <v>-765.3</v>
      </c>
      <c r="L61" s="69">
        <f t="shared" si="14"/>
        <v>-699.25800000000004</v>
      </c>
      <c r="M61" s="69">
        <f t="shared" si="14"/>
        <v>-854.33299999999997</v>
      </c>
      <c r="N61" s="69">
        <f t="shared" si="14"/>
        <v>-854.3</v>
      </c>
      <c r="O61" s="69">
        <f t="shared" si="14"/>
        <v>-854.3</v>
      </c>
      <c r="P61" s="69">
        <f t="shared" si="14"/>
        <v>-854.3</v>
      </c>
      <c r="Q61" s="69">
        <f t="shared" si="14"/>
        <v>-854.3</v>
      </c>
      <c r="R61" s="69">
        <f t="shared" si="14"/>
        <v>-854.3</v>
      </c>
      <c r="S61" s="69">
        <f t="shared" si="14"/>
        <v>-854.3</v>
      </c>
      <c r="T61" s="69">
        <f t="shared" si="14"/>
        <v>-854.3</v>
      </c>
      <c r="U61" s="69">
        <f t="shared" si="14"/>
        <v>-854.3</v>
      </c>
      <c r="W61" s="457">
        <f>SUM(B61:U61)</f>
        <v>-12196.577999999996</v>
      </c>
      <c r="X61" s="18"/>
      <c r="Y61" s="18"/>
      <c r="Z61" s="18"/>
      <c r="AA61" s="18"/>
      <c r="AB61" s="19"/>
      <c r="AC61" s="19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</row>
    <row r="62" spans="1:55" outlineLevel="1">
      <c r="A62" s="13" t="s">
        <v>99</v>
      </c>
      <c r="B62" s="455">
        <f>-Debt!B75*Allocation!$F$13</f>
        <v>-15182.79387215745</v>
      </c>
      <c r="C62" s="455">
        <f>-Debt!C75*Allocation!$F$13</f>
        <v>-15142.700258306073</v>
      </c>
      <c r="D62" s="455">
        <f>-Debt!D75*Allocation!$F$13</f>
        <v>-15065.547784672366</v>
      </c>
      <c r="E62" s="455">
        <f>-Debt!E75*Allocation!$F$13</f>
        <v>-10554.096895627885</v>
      </c>
      <c r="F62" s="455">
        <f>-Debt!F75*Allocation!$F$13</f>
        <v>-11093.645180735462</v>
      </c>
      <c r="G62" s="455">
        <f>-Debt!G75*Allocation!$F$13</f>
        <v>-11250.098111590743</v>
      </c>
      <c r="H62" s="455">
        <f>-Debt!H75*Allocation!$F$13</f>
        <v>-11396.534681778465</v>
      </c>
      <c r="I62" s="455">
        <f>-Debt!I75*Allocation!$F$13</f>
        <v>-11590.773962947147</v>
      </c>
      <c r="J62" s="455">
        <f>-Debt!J75*Allocation!$F$13</f>
        <v>-11742.381626407092</v>
      </c>
      <c r="K62" s="455">
        <f>-Debt!K75*Allocation!$F$13</f>
        <v>-11857.494518335767</v>
      </c>
      <c r="L62" s="455">
        <f>-Debt!L75*Allocation!$F$13</f>
        <v>-12090.995425436406</v>
      </c>
      <c r="M62" s="455">
        <f>-Debt!M75*Allocation!$F$13</f>
        <v>-12369.111785984138</v>
      </c>
      <c r="N62" s="455">
        <f>-Debt!N75*Allocation!$F$13</f>
        <v>-12553.432739802609</v>
      </c>
      <c r="O62" s="455">
        <f>-Debt!O75*Allocation!$F$13</f>
        <v>-12779.000439200165</v>
      </c>
      <c r="P62" s="455">
        <f>-Debt!P75*Allocation!$F$13</f>
        <v>-12978.632164925839</v>
      </c>
      <c r="Q62" s="455">
        <f>-Debt!Q75*Allocation!$F$13</f>
        <v>-13219.823376390574</v>
      </c>
      <c r="R62" s="455">
        <f>-Debt!R75*Allocation!$F$13</f>
        <v>-13349.685503415953</v>
      </c>
      <c r="S62" s="455">
        <f>-Debt!S75*Allocation!$F$13</f>
        <v>-13519.72684562581</v>
      </c>
      <c r="T62" s="455">
        <f>-Debt!T75*Allocation!$F$13</f>
        <v>-13692.917073398097</v>
      </c>
      <c r="U62" s="455">
        <f>-Debt!U75*Allocation!$F$13</f>
        <v>-13893.211305506793</v>
      </c>
      <c r="W62" s="457">
        <f>SUM(B62:U62)</f>
        <v>-255322.60355224481</v>
      </c>
    </row>
    <row r="63" spans="1:55" outlineLevel="1">
      <c r="A63" s="13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W63" s="458"/>
    </row>
    <row r="64" spans="1:55" s="59" customFormat="1" outlineLevel="1">
      <c r="A64" s="12" t="s">
        <v>100</v>
      </c>
      <c r="B64" s="67">
        <f t="shared" ref="B64:U64" si="15">SUM(B59:B62)</f>
        <v>4890.7354733888933</v>
      </c>
      <c r="C64" s="67">
        <f t="shared" si="15"/>
        <v>5065.7091157928498</v>
      </c>
      <c r="D64" s="67">
        <f t="shared" si="15"/>
        <v>4955.3934270332247</v>
      </c>
      <c r="E64" s="67">
        <f t="shared" si="15"/>
        <v>21048.43582000348</v>
      </c>
      <c r="F64" s="67">
        <f t="shared" si="15"/>
        <v>22309.69240799806</v>
      </c>
      <c r="G64" s="67">
        <f t="shared" si="15"/>
        <v>22766.277777337782</v>
      </c>
      <c r="H64" s="67">
        <f t="shared" si="15"/>
        <v>23169.425769492744</v>
      </c>
      <c r="I64" s="67">
        <f t="shared" si="15"/>
        <v>23484.799447105623</v>
      </c>
      <c r="J64" s="67">
        <f t="shared" si="15"/>
        <v>23913.50614987388</v>
      </c>
      <c r="K64" s="67">
        <f t="shared" si="15"/>
        <v>24488.948284407616</v>
      </c>
      <c r="L64" s="67">
        <f t="shared" si="15"/>
        <v>24893.461566968916</v>
      </c>
      <c r="M64" s="67">
        <f t="shared" si="15"/>
        <v>25034.961883827469</v>
      </c>
      <c r="N64" s="67">
        <f t="shared" si="15"/>
        <v>25425.676151359854</v>
      </c>
      <c r="O64" s="67">
        <f t="shared" si="15"/>
        <v>25774.923065005969</v>
      </c>
      <c r="P64" s="67">
        <f t="shared" si="15"/>
        <v>26149.389585519159</v>
      </c>
      <c r="Q64" s="67">
        <f t="shared" si="15"/>
        <v>26322.231453057015</v>
      </c>
      <c r="R64" s="67">
        <f t="shared" si="15"/>
        <v>26513.229054698793</v>
      </c>
      <c r="S64" s="67">
        <f t="shared" si="15"/>
        <v>26730.916481956439</v>
      </c>
      <c r="T64" s="67">
        <f t="shared" si="15"/>
        <v>27018.574313704634</v>
      </c>
      <c r="U64" s="67">
        <f t="shared" si="15"/>
        <v>27180.170480557663</v>
      </c>
      <c r="W64" s="457">
        <f>SUM(B64:U64)</f>
        <v>437136.45770908997</v>
      </c>
    </row>
    <row r="65" spans="1:23" outlineLevel="1">
      <c r="A65" s="12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W65" s="458"/>
    </row>
    <row r="66" spans="1:23" ht="15" outlineLevel="1">
      <c r="A66" s="13" t="s">
        <v>136</v>
      </c>
      <c r="B66" s="235">
        <f>-B115</f>
        <v>-295.00566591785872</v>
      </c>
      <c r="C66" s="235">
        <f t="shared" ref="C66:U66" si="16">-C115</f>
        <v>-295.61650492623687</v>
      </c>
      <c r="D66" s="235">
        <f t="shared" si="16"/>
        <v>-296.2491704690438</v>
      </c>
      <c r="E66" s="235">
        <f t="shared" si="16"/>
        <v>-547.93141162124391</v>
      </c>
      <c r="F66" s="235">
        <f t="shared" si="16"/>
        <v>-740.68639819552641</v>
      </c>
      <c r="G66" s="235">
        <f t="shared" si="16"/>
        <v>-1206.0623391630179</v>
      </c>
      <c r="H66" s="235">
        <f t="shared" si="16"/>
        <v>-1289.0326229872867</v>
      </c>
      <c r="I66" s="235">
        <f t="shared" si="16"/>
        <v>-1349.2014187604123</v>
      </c>
      <c r="J66" s="235">
        <f t="shared" si="16"/>
        <v>-1426.913624209752</v>
      </c>
      <c r="K66" s="235">
        <f t="shared" si="16"/>
        <v>-1511.3938452507957</v>
      </c>
      <c r="L66" s="235">
        <f t="shared" si="16"/>
        <v>-1573.6994727689153</v>
      </c>
      <c r="M66" s="235">
        <f t="shared" si="16"/>
        <v>-1650.7721295099459</v>
      </c>
      <c r="N66" s="235">
        <f t="shared" si="16"/>
        <v>-1738.4984366404742</v>
      </c>
      <c r="O66" s="235">
        <f t="shared" si="16"/>
        <v>-1828.7748720442482</v>
      </c>
      <c r="P66" s="235">
        <f t="shared" si="16"/>
        <v>-1927.3373276216485</v>
      </c>
      <c r="Q66" s="235">
        <f t="shared" si="16"/>
        <v>-2271.6597515797775</v>
      </c>
      <c r="R66" s="235">
        <f t="shared" si="16"/>
        <v>-2618.8113852925417</v>
      </c>
      <c r="S66" s="235">
        <f t="shared" si="16"/>
        <v>-2725.3335301894258</v>
      </c>
      <c r="T66" s="235">
        <f t="shared" si="16"/>
        <v>-2847.0269731339954</v>
      </c>
      <c r="U66" s="235">
        <f t="shared" si="16"/>
        <v>-2971.1464313718034</v>
      </c>
      <c r="W66" s="457">
        <f>SUM(B66:U66)</f>
        <v>-31111.153311653947</v>
      </c>
    </row>
    <row r="67" spans="1:23" outlineLevel="1">
      <c r="A67" s="13" t="s">
        <v>137</v>
      </c>
      <c r="B67" s="130">
        <f>-Allocation!$F$13*Tax!B19</f>
        <v>254.50105138614259</v>
      </c>
      <c r="C67" s="130">
        <f>-Allocation!$F$13*Tax!C19</f>
        <v>3442.5290779283841</v>
      </c>
      <c r="D67" s="130">
        <f>-Allocation!$F$13*Tax!D19</f>
        <v>2636.987471590779</v>
      </c>
      <c r="E67" s="130">
        <f>-Allocation!$F$13*Tax!E19</f>
        <v>-2018.5285846282682</v>
      </c>
      <c r="F67" s="130">
        <f>-Allocation!$F$13*Tax!F19</f>
        <v>-3166.7857589815699</v>
      </c>
      <c r="G67" s="130">
        <f>-Allocation!$F$13*Tax!G19</f>
        <v>-3793.0716447905456</v>
      </c>
      <c r="H67" s="130">
        <f>-Allocation!$F$13*Tax!H19</f>
        <v>-4209.3708979011317</v>
      </c>
      <c r="I67" s="130">
        <f>-Allocation!$F$13*Tax!I19</f>
        <v>-4375.0267158570159</v>
      </c>
      <c r="J67" s="130">
        <f>-Allocation!$F$13*Tax!J19</f>
        <v>-4657.7257693385327</v>
      </c>
      <c r="K67" s="130">
        <f>-Allocation!$F$13*Tax!K19</f>
        <v>-4867.6510381305234</v>
      </c>
      <c r="L67" s="130">
        <f>-Allocation!$F$13*Tax!L19</f>
        <v>-5220.5814251872334</v>
      </c>
      <c r="M67" s="130">
        <f>-Allocation!$F$13*Tax!M19</f>
        <v>-5589.6084597248855</v>
      </c>
      <c r="N67" s="130">
        <f>-Allocation!$F$13*Tax!N19</f>
        <v>-5983.4195620796254</v>
      </c>
      <c r="O67" s="130">
        <f>-Allocation!$F$13*Tax!O19</f>
        <v>-6388.4554108539905</v>
      </c>
      <c r="P67" s="130">
        <f>-Allocation!$F$13*Tax!P19</f>
        <v>-6809.1281875768545</v>
      </c>
      <c r="Q67" s="130">
        <f>-Allocation!$F$13*Tax!Q19</f>
        <v>-9281.861771094651</v>
      </c>
      <c r="R67" s="130">
        <f>-Allocation!$F$13*Tax!R19</f>
        <v>-11758.38691248885</v>
      </c>
      <c r="S67" s="130">
        <f>-Allocation!$F$13*Tax!S19</f>
        <v>-12240.854090333552</v>
      </c>
      <c r="T67" s="130">
        <f>-Allocation!$F$13*Tax!T19</f>
        <v>-12765.341838627675</v>
      </c>
      <c r="U67" s="130">
        <f>-Allocation!$F$13*Tax!U19</f>
        <v>-13326.26682318834</v>
      </c>
      <c r="W67" s="457">
        <f>SUM(B67:U67)</f>
        <v>-110118.04728987794</v>
      </c>
    </row>
    <row r="68" spans="1:23" ht="15" outlineLevel="1">
      <c r="A68" s="13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W68" s="458"/>
    </row>
    <row r="69" spans="1:23" s="66" customFormat="1" ht="15.75" outlineLevel="1">
      <c r="A69" s="48" t="s">
        <v>101</v>
      </c>
      <c r="B69" s="139">
        <f t="shared" ref="B69:U69" si="17">B64+B67+B66</f>
        <v>4850.2308588571768</v>
      </c>
      <c r="C69" s="139">
        <f t="shared" si="17"/>
        <v>8212.6216887949977</v>
      </c>
      <c r="D69" s="139">
        <f t="shared" si="17"/>
        <v>7296.13172815496</v>
      </c>
      <c r="E69" s="139">
        <f t="shared" si="17"/>
        <v>18481.975823753968</v>
      </c>
      <c r="F69" s="139">
        <f t="shared" si="17"/>
        <v>18402.220250820967</v>
      </c>
      <c r="G69" s="139">
        <f t="shared" si="17"/>
        <v>17767.143793384217</v>
      </c>
      <c r="H69" s="139">
        <f t="shared" si="17"/>
        <v>17671.022248604324</v>
      </c>
      <c r="I69" s="139">
        <f t="shared" si="17"/>
        <v>17760.571312488195</v>
      </c>
      <c r="J69" s="139">
        <f t="shared" si="17"/>
        <v>17828.866756325595</v>
      </c>
      <c r="K69" s="139">
        <f t="shared" si="17"/>
        <v>18109.903401026295</v>
      </c>
      <c r="L69" s="139">
        <f t="shared" si="17"/>
        <v>18099.180669012767</v>
      </c>
      <c r="M69" s="139">
        <f t="shared" si="17"/>
        <v>17794.581294592637</v>
      </c>
      <c r="N69" s="139">
        <f t="shared" si="17"/>
        <v>17703.758152639755</v>
      </c>
      <c r="O69" s="139">
        <f t="shared" si="17"/>
        <v>17557.692782107733</v>
      </c>
      <c r="P69" s="139">
        <f t="shared" si="17"/>
        <v>17412.924070320656</v>
      </c>
      <c r="Q69" s="139">
        <f t="shared" si="17"/>
        <v>14768.709930382589</v>
      </c>
      <c r="R69" s="139">
        <f t="shared" si="17"/>
        <v>12136.030756917402</v>
      </c>
      <c r="S69" s="139">
        <f t="shared" si="17"/>
        <v>11764.728861433461</v>
      </c>
      <c r="T69" s="139">
        <f t="shared" si="17"/>
        <v>11406.205501942963</v>
      </c>
      <c r="U69" s="139">
        <f t="shared" si="17"/>
        <v>10882.75722599752</v>
      </c>
      <c r="W69" s="457">
        <f>SUM(B69:U69)</f>
        <v>295907.25710755814</v>
      </c>
    </row>
    <row r="70" spans="1:23" outlineLevel="1">
      <c r="A70" s="15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</row>
    <row r="71" spans="1:23" outlineLevel="1">
      <c r="A71" s="14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</row>
    <row r="72" spans="1:23" outlineLevel="1">
      <c r="A72" s="14">
        <v>0</v>
      </c>
      <c r="B72" s="69">
        <f>B36</f>
        <v>20276.802345546344</v>
      </c>
      <c r="C72" s="69">
        <f t="shared" ref="C72:U72" si="18">C36</f>
        <v>20090.422374098922</v>
      </c>
      <c r="D72" s="69">
        <f t="shared" si="18"/>
        <v>19922.085211705591</v>
      </c>
      <c r="E72" s="69">
        <f t="shared" si="18"/>
        <v>31523.390715631365</v>
      </c>
      <c r="F72" s="69">
        <f t="shared" si="18"/>
        <v>33353.071588733525</v>
      </c>
      <c r="G72" s="69">
        <f t="shared" si="18"/>
        <v>33893.969888928521</v>
      </c>
      <c r="H72" s="69">
        <f t="shared" si="18"/>
        <v>34393.558451271208</v>
      </c>
      <c r="I72" s="69">
        <f t="shared" si="18"/>
        <v>34963.400410052775</v>
      </c>
      <c r="J72" s="69">
        <f t="shared" si="18"/>
        <v>35643.819776280965</v>
      </c>
      <c r="K72" s="69">
        <f t="shared" si="18"/>
        <v>36412.484802743384</v>
      </c>
      <c r="L72" s="69">
        <f t="shared" si="18"/>
        <v>36829.381992405324</v>
      </c>
      <c r="M72" s="69">
        <f t="shared" si="18"/>
        <v>37404.106669811605</v>
      </c>
      <c r="N72" s="69">
        <f t="shared" si="18"/>
        <v>37979.108891162461</v>
      </c>
      <c r="O72" s="69">
        <f t="shared" si="18"/>
        <v>38553.923504206134</v>
      </c>
      <c r="P72" s="69">
        <f t="shared" si="18"/>
        <v>39128.021750444997</v>
      </c>
      <c r="Q72" s="69">
        <f t="shared" si="18"/>
        <v>39542.054829447588</v>
      </c>
      <c r="R72" s="69">
        <f t="shared" si="18"/>
        <v>39862.914558114746</v>
      </c>
      <c r="S72" s="69">
        <f t="shared" si="18"/>
        <v>40250.643327582249</v>
      </c>
      <c r="T72" s="69">
        <f t="shared" si="18"/>
        <v>40711.491387102731</v>
      </c>
      <c r="U72" s="69">
        <f t="shared" si="18"/>
        <v>41073.381786064456</v>
      </c>
    </row>
    <row r="73" spans="1:23" outlineLevel="1">
      <c r="A73" s="14" t="s">
        <v>239</v>
      </c>
      <c r="B73" s="463">
        <f>Assumptions!B39</f>
        <v>0.11443483820421446</v>
      </c>
      <c r="C73" s="464">
        <f>[7]!_xludf.xnpv(B73,A72:U72,CF!$B$8:$V$8)</f>
        <v>238571.83265029709</v>
      </c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</row>
    <row r="74" spans="1:23" outlineLevel="1">
      <c r="A74" s="7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61"/>
      <c r="M74" s="61"/>
      <c r="N74" s="61"/>
      <c r="O74" s="61"/>
      <c r="P74" s="61"/>
      <c r="Q74" s="61"/>
      <c r="R74" s="61"/>
      <c r="S74" s="61"/>
      <c r="T74" s="61"/>
      <c r="U74" s="61"/>
    </row>
    <row r="75" spans="1:23" ht="14.25" outlineLevel="1">
      <c r="A75" s="77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61"/>
      <c r="M75" s="61"/>
      <c r="N75" s="61"/>
      <c r="O75" s="61"/>
      <c r="P75" s="61"/>
      <c r="Q75" s="61"/>
      <c r="R75" s="61"/>
      <c r="S75" s="61"/>
      <c r="T75" s="61"/>
      <c r="U75" s="61"/>
    </row>
    <row r="76" spans="1:23" outlineLevel="1">
      <c r="A76" s="80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</row>
    <row r="77" spans="1:23" ht="18.75" outlineLevel="1">
      <c r="A77" s="57" t="s">
        <v>278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</row>
    <row r="78" spans="1:23" outlineLevel="1">
      <c r="A78" s="59"/>
      <c r="B78" s="20"/>
      <c r="C78" s="20"/>
      <c r="D78" s="20"/>
      <c r="E78" s="20"/>
      <c r="F78" s="20"/>
      <c r="G78" s="140"/>
      <c r="H78" s="20"/>
      <c r="I78" s="20"/>
      <c r="J78" s="20"/>
      <c r="K78" s="20"/>
      <c r="L78" s="20"/>
      <c r="M78" s="140"/>
      <c r="N78" s="20"/>
      <c r="O78" s="20"/>
      <c r="P78" s="20"/>
      <c r="Q78" s="20"/>
      <c r="R78" s="20"/>
      <c r="S78" s="140"/>
      <c r="T78" s="20"/>
      <c r="U78" s="20"/>
    </row>
    <row r="79" spans="1:23" outlineLevel="1">
      <c r="A79" s="236"/>
      <c r="B79" s="257">
        <v>3</v>
      </c>
      <c r="C79" s="257">
        <v>4</v>
      </c>
      <c r="D79" s="257">
        <v>5</v>
      </c>
      <c r="E79" s="258">
        <v>6</v>
      </c>
      <c r="F79" s="257">
        <v>7</v>
      </c>
      <c r="G79" s="257">
        <v>8</v>
      </c>
      <c r="H79" s="257">
        <v>9</v>
      </c>
      <c r="I79" s="257">
        <v>10</v>
      </c>
      <c r="J79" s="257">
        <v>11</v>
      </c>
      <c r="K79" s="258">
        <v>12</v>
      </c>
      <c r="L79" s="257">
        <v>13</v>
      </c>
      <c r="M79" s="257">
        <v>14</v>
      </c>
      <c r="N79" s="257">
        <v>15</v>
      </c>
      <c r="O79" s="257">
        <v>16</v>
      </c>
      <c r="P79" s="257">
        <v>17</v>
      </c>
      <c r="Q79" s="258">
        <v>18</v>
      </c>
      <c r="R79" s="257">
        <v>19</v>
      </c>
      <c r="S79" s="257">
        <v>20</v>
      </c>
      <c r="T79" s="257">
        <v>21</v>
      </c>
      <c r="U79" s="257">
        <v>22</v>
      </c>
    </row>
    <row r="80" spans="1:23" ht="13.5" outlineLevel="1" thickBot="1">
      <c r="A80" s="202" t="s">
        <v>83</v>
      </c>
      <c r="B80" s="8">
        <v>2001</v>
      </c>
      <c r="C80" s="8">
        <v>2002</v>
      </c>
      <c r="D80" s="8">
        <v>2003</v>
      </c>
      <c r="E80" s="8">
        <v>2004</v>
      </c>
      <c r="F80" s="8">
        <v>2005</v>
      </c>
      <c r="G80" s="8">
        <v>2006</v>
      </c>
      <c r="H80" s="8">
        <v>2007</v>
      </c>
      <c r="I80" s="8">
        <v>2008</v>
      </c>
      <c r="J80" s="8">
        <v>2009</v>
      </c>
      <c r="K80" s="8">
        <v>2010</v>
      </c>
      <c r="L80" s="8">
        <v>2011</v>
      </c>
      <c r="M80" s="8">
        <v>2012</v>
      </c>
      <c r="N80" s="8">
        <v>2013</v>
      </c>
      <c r="O80" s="8">
        <v>2014</v>
      </c>
      <c r="P80" s="8">
        <v>2015</v>
      </c>
      <c r="Q80" s="8">
        <v>2016</v>
      </c>
      <c r="R80" s="8">
        <v>2017</v>
      </c>
      <c r="S80" s="8">
        <v>2018</v>
      </c>
      <c r="T80" s="8">
        <v>2019</v>
      </c>
      <c r="U80" s="8">
        <v>2020</v>
      </c>
    </row>
    <row r="81" spans="1:256" outlineLevel="1">
      <c r="A81" s="236"/>
      <c r="B81" s="264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56" outlineLevel="1">
      <c r="A82" s="237" t="s">
        <v>277</v>
      </c>
      <c r="B82" s="264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56" outlineLevel="1">
      <c r="A83" s="236"/>
      <c r="B83" s="264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56" s="492" customFormat="1" ht="12" customHeight="1">
      <c r="A84" s="237" t="s">
        <v>122</v>
      </c>
      <c r="B84" s="488"/>
      <c r="C84" s="488"/>
      <c r="D84" s="261"/>
      <c r="E84" s="261"/>
      <c r="F84" s="261"/>
      <c r="G84" s="261"/>
      <c r="H84" s="261"/>
      <c r="I84" s="261"/>
      <c r="J84" s="261"/>
      <c r="K84" s="261"/>
      <c r="L84" s="261"/>
      <c r="M84" s="261"/>
      <c r="N84" s="261"/>
      <c r="O84" s="261"/>
      <c r="P84" s="261"/>
      <c r="Q84" s="261"/>
      <c r="R84" s="261"/>
      <c r="S84" s="261"/>
      <c r="T84" s="261"/>
      <c r="U84" s="261"/>
      <c r="V84" s="261"/>
      <c r="W84" s="261"/>
      <c r="X84" s="261"/>
      <c r="Y84" s="261"/>
      <c r="Z84" s="261"/>
      <c r="AA84" s="261"/>
      <c r="AB84" s="261"/>
      <c r="AC84" s="488"/>
      <c r="AD84" s="488"/>
      <c r="AE84" s="490"/>
      <c r="AF84" s="490"/>
      <c r="AG84" s="490"/>
      <c r="AH84" s="491"/>
      <c r="AI84" s="491"/>
      <c r="AJ84" s="491"/>
      <c r="AK84" s="491"/>
      <c r="AL84" s="491"/>
      <c r="AM84" s="491"/>
      <c r="AN84" s="491"/>
      <c r="AO84" s="491"/>
      <c r="AP84" s="491"/>
      <c r="AQ84" s="491"/>
      <c r="AR84" s="491"/>
      <c r="AS84" s="491"/>
      <c r="AT84" s="491"/>
      <c r="AU84" s="491"/>
      <c r="AV84" s="491"/>
      <c r="AW84" s="491"/>
      <c r="AX84" s="491"/>
      <c r="AY84" s="491"/>
      <c r="AZ84" s="491"/>
      <c r="BA84" s="491"/>
      <c r="BB84" s="491"/>
      <c r="BC84" s="491"/>
      <c r="BD84" s="491"/>
      <c r="BE84" s="491"/>
      <c r="BF84" s="491"/>
      <c r="BG84" s="491"/>
      <c r="BH84" s="491"/>
      <c r="BI84" s="491"/>
      <c r="BJ84" s="491"/>
      <c r="BK84" s="491"/>
      <c r="BL84" s="491"/>
      <c r="BM84" s="491"/>
      <c r="BN84" s="491"/>
      <c r="BO84" s="491"/>
      <c r="BP84" s="491"/>
      <c r="BQ84" s="491"/>
      <c r="BR84" s="491"/>
      <c r="BS84" s="491"/>
      <c r="BT84" s="491"/>
      <c r="BU84" s="491"/>
      <c r="BV84" s="491"/>
      <c r="BW84" s="491"/>
      <c r="BX84" s="491"/>
      <c r="BY84" s="491"/>
      <c r="BZ84" s="491"/>
      <c r="CA84" s="491"/>
      <c r="CB84" s="491"/>
      <c r="CC84" s="491"/>
      <c r="CD84" s="491"/>
      <c r="CE84" s="491"/>
      <c r="CF84" s="491"/>
      <c r="CG84" s="491"/>
      <c r="CH84" s="491"/>
      <c r="CI84" s="491"/>
      <c r="CJ84" s="491"/>
      <c r="CK84" s="491"/>
      <c r="CL84" s="491"/>
      <c r="CM84" s="491"/>
      <c r="CN84" s="491"/>
      <c r="CO84" s="491"/>
      <c r="CP84" s="491"/>
      <c r="CQ84" s="491"/>
      <c r="CR84" s="491"/>
      <c r="CS84" s="491"/>
      <c r="CT84" s="491"/>
      <c r="CU84" s="491"/>
      <c r="CV84" s="491"/>
      <c r="CW84" s="491"/>
      <c r="CX84" s="491"/>
      <c r="CY84" s="491"/>
      <c r="CZ84" s="491"/>
      <c r="DA84" s="491"/>
      <c r="DB84" s="491"/>
      <c r="DC84" s="491"/>
      <c r="DD84" s="491"/>
      <c r="DE84" s="491"/>
      <c r="DF84" s="491"/>
      <c r="DG84" s="491"/>
      <c r="DH84" s="491"/>
      <c r="DI84" s="491"/>
      <c r="DJ84" s="491"/>
      <c r="DK84" s="491"/>
      <c r="DL84" s="491"/>
      <c r="DM84" s="491"/>
      <c r="DN84" s="491"/>
      <c r="DO84" s="491"/>
      <c r="DP84" s="491"/>
      <c r="DQ84" s="491"/>
      <c r="DR84" s="491"/>
      <c r="DS84" s="491"/>
      <c r="DT84" s="491"/>
      <c r="DU84" s="491"/>
      <c r="DV84" s="491"/>
      <c r="DW84" s="491"/>
      <c r="DX84" s="491"/>
      <c r="DY84" s="491"/>
      <c r="DZ84" s="491"/>
      <c r="EA84" s="491"/>
      <c r="EB84" s="491"/>
      <c r="EC84" s="491"/>
      <c r="ED84" s="491"/>
      <c r="EE84" s="491"/>
      <c r="EF84" s="491"/>
      <c r="EG84" s="491"/>
      <c r="EH84" s="491"/>
      <c r="EI84" s="491"/>
      <c r="EJ84" s="491"/>
      <c r="EK84" s="491"/>
      <c r="EL84" s="491"/>
      <c r="EM84" s="491"/>
      <c r="EN84" s="491"/>
      <c r="EO84" s="491"/>
      <c r="EP84" s="491"/>
      <c r="EQ84" s="491"/>
      <c r="ER84" s="491"/>
      <c r="ES84" s="491"/>
      <c r="ET84" s="491"/>
      <c r="EU84" s="491"/>
      <c r="EV84" s="491"/>
      <c r="EW84" s="491"/>
      <c r="EX84" s="491"/>
      <c r="EY84" s="491"/>
      <c r="EZ84" s="491"/>
      <c r="FA84" s="491"/>
      <c r="FB84" s="491"/>
      <c r="FC84" s="491"/>
      <c r="FD84" s="491"/>
      <c r="FE84" s="491"/>
      <c r="FF84" s="491"/>
      <c r="FG84" s="491"/>
      <c r="FH84" s="491"/>
      <c r="FI84" s="491"/>
      <c r="FJ84" s="491"/>
      <c r="FK84" s="491"/>
      <c r="FL84" s="491"/>
      <c r="FM84" s="491"/>
      <c r="FN84" s="491"/>
      <c r="FO84" s="491"/>
      <c r="FP84" s="491"/>
      <c r="FQ84" s="491"/>
      <c r="FR84" s="491"/>
      <c r="FS84" s="491"/>
      <c r="FT84" s="491"/>
      <c r="FU84" s="491"/>
      <c r="FV84" s="491"/>
      <c r="FW84" s="491"/>
      <c r="FX84" s="491"/>
      <c r="FY84" s="491"/>
      <c r="FZ84" s="491"/>
      <c r="GA84" s="491"/>
      <c r="GB84" s="491"/>
      <c r="GC84" s="491"/>
      <c r="GD84" s="491"/>
      <c r="GE84" s="491"/>
      <c r="GF84" s="491"/>
      <c r="GG84" s="491"/>
      <c r="GH84" s="491"/>
      <c r="GI84" s="491"/>
      <c r="GJ84" s="491"/>
      <c r="GK84" s="491"/>
      <c r="GL84" s="491"/>
      <c r="GM84" s="491"/>
      <c r="GN84" s="491"/>
      <c r="GO84" s="491"/>
      <c r="GP84" s="491"/>
      <c r="GQ84" s="491"/>
      <c r="GR84" s="491"/>
      <c r="GS84" s="491"/>
      <c r="GT84" s="491"/>
      <c r="GU84" s="491"/>
      <c r="GV84" s="491"/>
      <c r="GW84" s="491"/>
      <c r="GX84" s="491"/>
      <c r="GY84" s="491"/>
      <c r="GZ84" s="491"/>
      <c r="HA84" s="491"/>
      <c r="HB84" s="491"/>
      <c r="HC84" s="491"/>
      <c r="HD84" s="491"/>
      <c r="HE84" s="491"/>
      <c r="HF84" s="491"/>
      <c r="HG84" s="491"/>
      <c r="HH84" s="491"/>
      <c r="HI84" s="491"/>
      <c r="HJ84" s="491"/>
      <c r="HK84" s="491"/>
      <c r="HL84" s="491"/>
      <c r="HM84" s="491"/>
      <c r="HN84" s="491"/>
      <c r="HO84" s="491"/>
      <c r="HP84" s="491"/>
      <c r="HQ84" s="491"/>
      <c r="HR84" s="491"/>
      <c r="HS84" s="491"/>
      <c r="HT84" s="491"/>
      <c r="HU84" s="491"/>
      <c r="HV84" s="491"/>
      <c r="HW84" s="491"/>
      <c r="HX84" s="491"/>
      <c r="HY84" s="491"/>
      <c r="HZ84" s="491"/>
      <c r="IA84" s="491"/>
      <c r="IB84" s="491"/>
      <c r="IC84" s="491"/>
      <c r="ID84" s="491"/>
      <c r="IE84" s="491"/>
      <c r="IF84" s="491"/>
      <c r="IG84" s="491"/>
      <c r="IH84" s="491"/>
      <c r="II84" s="491"/>
      <c r="IJ84" s="491"/>
      <c r="IK84" s="491"/>
      <c r="IL84" s="491"/>
      <c r="IM84" s="491"/>
      <c r="IN84" s="491"/>
      <c r="IO84" s="491"/>
      <c r="IP84" s="491"/>
      <c r="IQ84" s="491"/>
      <c r="IR84" s="491"/>
      <c r="IS84" s="491"/>
      <c r="IT84" s="491"/>
      <c r="IU84" s="491"/>
      <c r="IV84" s="491"/>
    </row>
    <row r="85" spans="1:256" s="492" customFormat="1" ht="12" customHeight="1">
      <c r="A85" s="23" t="s">
        <v>266</v>
      </c>
      <c r="B85" s="148">
        <f>B44</f>
        <v>3751.9286696775926</v>
      </c>
      <c r="C85" s="148">
        <f t="shared" ref="C85:U85" si="19">C44</f>
        <v>3929.2430597721086</v>
      </c>
      <c r="D85" s="148">
        <f t="shared" si="19"/>
        <v>4183.356621248211</v>
      </c>
      <c r="E85" s="148">
        <f t="shared" si="19"/>
        <v>16115.629753565998</v>
      </c>
      <c r="F85" s="148">
        <f t="shared" si="19"/>
        <v>18074.123982332007</v>
      </c>
      <c r="G85" s="148">
        <f t="shared" si="19"/>
        <v>18775.236634670659</v>
      </c>
      <c r="H85" s="148">
        <f t="shared" si="19"/>
        <v>19467.027086566726</v>
      </c>
      <c r="I85" s="148">
        <f t="shared" si="19"/>
        <v>20239.520028123163</v>
      </c>
      <c r="J85" s="148">
        <f t="shared" si="19"/>
        <v>21212.356215965021</v>
      </c>
      <c r="K85" s="148">
        <f t="shared" si="19"/>
        <v>22292.588717874853</v>
      </c>
      <c r="L85" s="148">
        <f t="shared" si="19"/>
        <v>23070.404931903799</v>
      </c>
      <c r="M85" s="148">
        <f t="shared" si="19"/>
        <v>24056.870797104602</v>
      </c>
      <c r="N85" s="148">
        <f t="shared" si="19"/>
        <v>25156.467765721001</v>
      </c>
      <c r="O85" s="148">
        <f t="shared" si="19"/>
        <v>26310.070069690708</v>
      </c>
      <c r="P85" s="148">
        <f t="shared" si="19"/>
        <v>27546.833474343461</v>
      </c>
      <c r="Q85" s="148">
        <f t="shared" si="19"/>
        <v>28700.873652286253</v>
      </c>
      <c r="R85" s="148">
        <f t="shared" si="19"/>
        <v>29890.726611933285</v>
      </c>
      <c r="S85" s="148">
        <f t="shared" si="19"/>
        <v>31239.108192906504</v>
      </c>
      <c r="T85" s="148">
        <f t="shared" si="19"/>
        <v>32779.531521318779</v>
      </c>
      <c r="U85" s="148">
        <f t="shared" si="19"/>
        <v>34350.663904075845</v>
      </c>
      <c r="V85" s="499"/>
      <c r="W85" s="499"/>
      <c r="X85" s="499"/>
      <c r="Y85" s="499"/>
      <c r="Z85" s="499"/>
      <c r="AA85" s="499"/>
      <c r="AB85" s="499"/>
      <c r="AC85" s="488"/>
      <c r="AD85" s="488"/>
      <c r="AE85" s="490"/>
      <c r="AF85" s="490"/>
      <c r="AG85" s="490"/>
      <c r="AH85" s="491"/>
      <c r="AI85" s="491"/>
      <c r="AJ85" s="491"/>
      <c r="AK85" s="491"/>
      <c r="AL85" s="491"/>
      <c r="AM85" s="491"/>
      <c r="AN85" s="491"/>
      <c r="AO85" s="491"/>
      <c r="AP85" s="491"/>
      <c r="AQ85" s="491"/>
      <c r="AR85" s="491"/>
      <c r="AS85" s="491"/>
      <c r="AT85" s="491"/>
      <c r="AU85" s="491"/>
      <c r="AV85" s="491"/>
      <c r="AW85" s="491"/>
      <c r="AX85" s="491"/>
      <c r="AY85" s="491"/>
      <c r="AZ85" s="491"/>
      <c r="BA85" s="491"/>
      <c r="BB85" s="491"/>
      <c r="BC85" s="491"/>
      <c r="BD85" s="491"/>
      <c r="BE85" s="491"/>
      <c r="BF85" s="491"/>
      <c r="BG85" s="491"/>
      <c r="BH85" s="491"/>
      <c r="BI85" s="491"/>
      <c r="BJ85" s="491"/>
      <c r="BK85" s="491"/>
      <c r="BL85" s="491"/>
      <c r="BM85" s="491"/>
      <c r="BN85" s="491"/>
      <c r="BO85" s="491"/>
      <c r="BP85" s="491"/>
      <c r="BQ85" s="491"/>
      <c r="BR85" s="491"/>
      <c r="BS85" s="491"/>
      <c r="BT85" s="491"/>
      <c r="BU85" s="491"/>
      <c r="BV85" s="491"/>
      <c r="BW85" s="491"/>
      <c r="BX85" s="491"/>
      <c r="BY85" s="491"/>
      <c r="BZ85" s="491"/>
      <c r="CA85" s="491"/>
      <c r="CB85" s="491"/>
      <c r="CC85" s="491"/>
      <c r="CD85" s="491"/>
      <c r="CE85" s="491"/>
      <c r="CF85" s="491"/>
      <c r="CG85" s="491"/>
      <c r="CH85" s="491"/>
      <c r="CI85" s="491"/>
      <c r="CJ85" s="491"/>
      <c r="CK85" s="491"/>
      <c r="CL85" s="491"/>
      <c r="CM85" s="491"/>
      <c r="CN85" s="491"/>
      <c r="CO85" s="491"/>
      <c r="CP85" s="491"/>
      <c r="CQ85" s="491"/>
      <c r="CR85" s="491"/>
      <c r="CS85" s="491"/>
      <c r="CT85" s="491"/>
      <c r="CU85" s="491"/>
      <c r="CV85" s="491"/>
      <c r="CW85" s="491"/>
      <c r="CX85" s="491"/>
      <c r="CY85" s="491"/>
      <c r="CZ85" s="491"/>
      <c r="DA85" s="491"/>
      <c r="DB85" s="491"/>
      <c r="DC85" s="491"/>
      <c r="DD85" s="491"/>
      <c r="DE85" s="491"/>
      <c r="DF85" s="491"/>
      <c r="DG85" s="491"/>
      <c r="DH85" s="491"/>
      <c r="DI85" s="491"/>
      <c r="DJ85" s="491"/>
      <c r="DK85" s="491"/>
      <c r="DL85" s="491"/>
      <c r="DM85" s="491"/>
      <c r="DN85" s="491"/>
      <c r="DO85" s="491"/>
      <c r="DP85" s="491"/>
      <c r="DQ85" s="491"/>
      <c r="DR85" s="491"/>
      <c r="DS85" s="491"/>
      <c r="DT85" s="491"/>
      <c r="DU85" s="491"/>
      <c r="DV85" s="491"/>
      <c r="DW85" s="491"/>
      <c r="DX85" s="491"/>
      <c r="DY85" s="491"/>
      <c r="DZ85" s="491"/>
      <c r="EA85" s="491"/>
      <c r="EB85" s="491"/>
      <c r="EC85" s="491"/>
      <c r="ED85" s="491"/>
      <c r="EE85" s="491"/>
      <c r="EF85" s="491"/>
      <c r="EG85" s="491"/>
      <c r="EH85" s="491"/>
      <c r="EI85" s="491"/>
      <c r="EJ85" s="491"/>
      <c r="EK85" s="491"/>
      <c r="EL85" s="491"/>
      <c r="EM85" s="491"/>
      <c r="EN85" s="491"/>
      <c r="EO85" s="491"/>
      <c r="EP85" s="491"/>
      <c r="EQ85" s="491"/>
      <c r="ER85" s="491"/>
      <c r="ES85" s="491"/>
      <c r="ET85" s="491"/>
      <c r="EU85" s="491"/>
      <c r="EV85" s="491"/>
      <c r="EW85" s="491"/>
      <c r="EX85" s="491"/>
      <c r="EY85" s="491"/>
      <c r="EZ85" s="491"/>
      <c r="FA85" s="491"/>
      <c r="FB85" s="491"/>
      <c r="FC85" s="491"/>
      <c r="FD85" s="491"/>
      <c r="FE85" s="491"/>
      <c r="FF85" s="491"/>
      <c r="FG85" s="491"/>
      <c r="FH85" s="491"/>
      <c r="FI85" s="491"/>
      <c r="FJ85" s="491"/>
      <c r="FK85" s="491"/>
      <c r="FL85" s="491"/>
      <c r="FM85" s="491"/>
      <c r="FN85" s="491"/>
      <c r="FO85" s="491"/>
      <c r="FP85" s="491"/>
      <c r="FQ85" s="491"/>
      <c r="FR85" s="491"/>
      <c r="FS85" s="491"/>
      <c r="FT85" s="491"/>
      <c r="FU85" s="491"/>
      <c r="FV85" s="491"/>
      <c r="FW85" s="491"/>
      <c r="FX85" s="491"/>
      <c r="FY85" s="491"/>
      <c r="FZ85" s="491"/>
      <c r="GA85" s="491"/>
      <c r="GB85" s="491"/>
      <c r="GC85" s="491"/>
      <c r="GD85" s="491"/>
      <c r="GE85" s="491"/>
      <c r="GF85" s="491"/>
      <c r="GG85" s="491"/>
      <c r="GH85" s="491"/>
      <c r="GI85" s="491"/>
      <c r="GJ85" s="491"/>
      <c r="GK85" s="491"/>
      <c r="GL85" s="491"/>
      <c r="GM85" s="491"/>
      <c r="GN85" s="491"/>
      <c r="GO85" s="491"/>
      <c r="GP85" s="491"/>
      <c r="GQ85" s="491"/>
      <c r="GR85" s="491"/>
      <c r="GS85" s="491"/>
      <c r="GT85" s="491"/>
      <c r="GU85" s="491"/>
      <c r="GV85" s="491"/>
      <c r="GW85" s="491"/>
      <c r="GX85" s="491"/>
      <c r="GY85" s="491"/>
      <c r="GZ85" s="491"/>
      <c r="HA85" s="491"/>
      <c r="HB85" s="491"/>
      <c r="HC85" s="491"/>
      <c r="HD85" s="491"/>
      <c r="HE85" s="491"/>
      <c r="HF85" s="491"/>
      <c r="HG85" s="491"/>
      <c r="HH85" s="491"/>
      <c r="HI85" s="491"/>
      <c r="HJ85" s="491"/>
      <c r="HK85" s="491"/>
      <c r="HL85" s="491"/>
      <c r="HM85" s="491"/>
      <c r="HN85" s="491"/>
      <c r="HO85" s="491"/>
      <c r="HP85" s="491"/>
      <c r="HQ85" s="491"/>
      <c r="HR85" s="491"/>
      <c r="HS85" s="491"/>
      <c r="HT85" s="491"/>
      <c r="HU85" s="491"/>
      <c r="HV85" s="491"/>
      <c r="HW85" s="491"/>
      <c r="HX85" s="491"/>
      <c r="HY85" s="491"/>
      <c r="HZ85" s="491"/>
      <c r="IA85" s="491"/>
      <c r="IB85" s="491"/>
      <c r="IC85" s="491"/>
      <c r="ID85" s="491"/>
      <c r="IE85" s="491"/>
      <c r="IF85" s="491"/>
      <c r="IG85" s="491"/>
      <c r="IH85" s="491"/>
      <c r="II85" s="491"/>
      <c r="IJ85" s="491"/>
      <c r="IK85" s="491"/>
      <c r="IL85" s="491"/>
      <c r="IM85" s="491"/>
      <c r="IN85" s="491"/>
      <c r="IO85" s="491"/>
      <c r="IP85" s="491"/>
      <c r="IQ85" s="491"/>
      <c r="IR85" s="491"/>
      <c r="IS85" s="491"/>
      <c r="IT85" s="491"/>
      <c r="IU85" s="491"/>
      <c r="IV85" s="491"/>
    </row>
    <row r="86" spans="1:256" s="493" customFormat="1" ht="12" customHeight="1">
      <c r="A86" s="23" t="s">
        <v>267</v>
      </c>
      <c r="B86" s="500">
        <f>Summary!$H$38</f>
        <v>3.4000000000000002E-2</v>
      </c>
      <c r="C86" s="500">
        <f>Summary!$H$38</f>
        <v>3.4000000000000002E-2</v>
      </c>
      <c r="D86" s="500">
        <f>Summary!$H$38</f>
        <v>3.4000000000000002E-2</v>
      </c>
      <c r="E86" s="500">
        <f>Summary!$H$38</f>
        <v>3.4000000000000002E-2</v>
      </c>
      <c r="F86" s="500">
        <f>Summary!$H$38</f>
        <v>3.4000000000000002E-2</v>
      </c>
      <c r="G86" s="500">
        <f>Summary!$H$38</f>
        <v>3.4000000000000002E-2</v>
      </c>
      <c r="H86" s="500">
        <f>Summary!$H$38</f>
        <v>3.4000000000000002E-2</v>
      </c>
      <c r="I86" s="500">
        <f>Summary!$H$38</f>
        <v>3.4000000000000002E-2</v>
      </c>
      <c r="J86" s="500">
        <f>Summary!$H$38</f>
        <v>3.4000000000000002E-2</v>
      </c>
      <c r="K86" s="500">
        <f>Summary!$H$38</f>
        <v>3.4000000000000002E-2</v>
      </c>
      <c r="L86" s="500">
        <f>Summary!$H$38</f>
        <v>3.4000000000000002E-2</v>
      </c>
      <c r="M86" s="500">
        <f>Summary!$H$38</f>
        <v>3.4000000000000002E-2</v>
      </c>
      <c r="N86" s="500">
        <f>Summary!$H$38</f>
        <v>3.4000000000000002E-2</v>
      </c>
      <c r="O86" s="500">
        <f>Summary!$H$38</f>
        <v>3.4000000000000002E-2</v>
      </c>
      <c r="P86" s="500">
        <f>Summary!$H$38</f>
        <v>3.4000000000000002E-2</v>
      </c>
      <c r="Q86" s="500">
        <f>Summary!$H$38</f>
        <v>3.4000000000000002E-2</v>
      </c>
      <c r="R86" s="500">
        <f>Summary!$H$38</f>
        <v>3.4000000000000002E-2</v>
      </c>
      <c r="S86" s="500">
        <f>Summary!$H$38</f>
        <v>3.4000000000000002E-2</v>
      </c>
      <c r="T86" s="500">
        <f>Summary!$H$38</f>
        <v>3.4000000000000002E-2</v>
      </c>
      <c r="U86" s="500">
        <f>Summary!$H$38</f>
        <v>3.4000000000000002E-2</v>
      </c>
      <c r="V86" s="500"/>
      <c r="W86" s="500"/>
      <c r="X86" s="500"/>
      <c r="Y86" s="500"/>
      <c r="Z86" s="500"/>
      <c r="AA86" s="500"/>
      <c r="AB86" s="500"/>
      <c r="AC86" s="490"/>
      <c r="AD86" s="490"/>
      <c r="AE86" s="490"/>
      <c r="AF86" s="490"/>
      <c r="AG86" s="490"/>
      <c r="AH86" s="491"/>
      <c r="AI86" s="491"/>
      <c r="AJ86" s="491"/>
      <c r="AK86" s="491"/>
      <c r="AL86" s="491"/>
      <c r="AM86" s="491"/>
      <c r="AN86" s="491"/>
      <c r="AO86" s="491"/>
      <c r="AP86" s="491"/>
      <c r="AQ86" s="491"/>
      <c r="AR86" s="491"/>
      <c r="AS86" s="491"/>
      <c r="AT86" s="491"/>
      <c r="AU86" s="491"/>
      <c r="AV86" s="491"/>
      <c r="AW86" s="491"/>
      <c r="AX86" s="491"/>
      <c r="AY86" s="491"/>
      <c r="AZ86" s="491"/>
      <c r="BA86" s="491"/>
      <c r="BB86" s="491"/>
      <c r="BC86" s="491"/>
      <c r="BD86" s="491"/>
      <c r="BE86" s="491"/>
      <c r="BF86" s="491"/>
      <c r="BG86" s="491"/>
      <c r="BH86" s="491"/>
      <c r="BI86" s="491"/>
      <c r="BJ86" s="491"/>
      <c r="BK86" s="491"/>
      <c r="BL86" s="491"/>
      <c r="BM86" s="491"/>
      <c r="BN86" s="491"/>
      <c r="BO86" s="491"/>
      <c r="BP86" s="491"/>
      <c r="BQ86" s="491"/>
      <c r="BR86" s="491"/>
      <c r="BS86" s="491"/>
      <c r="BT86" s="491"/>
      <c r="BU86" s="491"/>
      <c r="BV86" s="491"/>
      <c r="BW86" s="491"/>
      <c r="BX86" s="491"/>
      <c r="BY86" s="491"/>
      <c r="BZ86" s="491"/>
      <c r="CA86" s="491"/>
      <c r="CB86" s="491"/>
      <c r="CC86" s="491"/>
      <c r="CD86" s="491"/>
      <c r="CE86" s="491"/>
      <c r="CF86" s="491"/>
      <c r="CG86" s="491"/>
      <c r="CH86" s="491"/>
      <c r="CI86" s="491"/>
      <c r="CJ86" s="491"/>
      <c r="CK86" s="491"/>
      <c r="CL86" s="491"/>
      <c r="CM86" s="491"/>
      <c r="CN86" s="491"/>
      <c r="CO86" s="491"/>
      <c r="CP86" s="491"/>
      <c r="CQ86" s="491"/>
      <c r="CR86" s="491"/>
      <c r="CS86" s="491"/>
      <c r="CT86" s="491"/>
      <c r="CU86" s="491"/>
      <c r="CV86" s="491"/>
      <c r="CW86" s="491"/>
      <c r="CX86" s="491"/>
      <c r="CY86" s="491"/>
      <c r="CZ86" s="491"/>
      <c r="DA86" s="491"/>
      <c r="DB86" s="491"/>
      <c r="DC86" s="491"/>
      <c r="DD86" s="491"/>
      <c r="DE86" s="491"/>
      <c r="DF86" s="491"/>
      <c r="DG86" s="491"/>
      <c r="DH86" s="491"/>
      <c r="DI86" s="491"/>
      <c r="DJ86" s="491"/>
      <c r="DK86" s="491"/>
      <c r="DL86" s="491"/>
      <c r="DM86" s="491"/>
      <c r="DN86" s="491"/>
      <c r="DO86" s="491"/>
      <c r="DP86" s="491"/>
      <c r="DQ86" s="491"/>
      <c r="DR86" s="491"/>
      <c r="DS86" s="491"/>
      <c r="DT86" s="491"/>
      <c r="DU86" s="491"/>
      <c r="DV86" s="491"/>
      <c r="DW86" s="491"/>
      <c r="DX86" s="491"/>
      <c r="DY86" s="491"/>
      <c r="DZ86" s="491"/>
      <c r="EA86" s="491"/>
      <c r="EB86" s="491"/>
      <c r="EC86" s="491"/>
      <c r="ED86" s="491"/>
      <c r="EE86" s="491"/>
      <c r="EF86" s="491"/>
      <c r="EG86" s="491"/>
      <c r="EH86" s="491"/>
      <c r="EI86" s="491"/>
      <c r="EJ86" s="491"/>
      <c r="EK86" s="491"/>
      <c r="EL86" s="491"/>
      <c r="EM86" s="491"/>
      <c r="EN86" s="491"/>
      <c r="EO86" s="491"/>
      <c r="EP86" s="491"/>
      <c r="EQ86" s="491"/>
      <c r="ER86" s="491"/>
      <c r="ES86" s="491"/>
      <c r="ET86" s="491"/>
      <c r="EU86" s="491"/>
      <c r="EV86" s="491"/>
      <c r="EW86" s="491"/>
      <c r="EX86" s="491"/>
      <c r="EY86" s="491"/>
      <c r="EZ86" s="491"/>
      <c r="FA86" s="491"/>
      <c r="FB86" s="491"/>
      <c r="FC86" s="491"/>
      <c r="FD86" s="491"/>
      <c r="FE86" s="491"/>
      <c r="FF86" s="491"/>
      <c r="FG86" s="491"/>
      <c r="FH86" s="491"/>
      <c r="FI86" s="491"/>
      <c r="FJ86" s="491"/>
      <c r="FK86" s="491"/>
      <c r="FL86" s="491"/>
      <c r="FM86" s="491"/>
      <c r="FN86" s="491"/>
      <c r="FO86" s="491"/>
      <c r="FP86" s="491"/>
      <c r="FQ86" s="491"/>
      <c r="FR86" s="491"/>
      <c r="FS86" s="491"/>
      <c r="FT86" s="491"/>
      <c r="FU86" s="491"/>
      <c r="FV86" s="491"/>
      <c r="FW86" s="491"/>
      <c r="FX86" s="491"/>
      <c r="FY86" s="491"/>
      <c r="FZ86" s="491"/>
      <c r="GA86" s="491"/>
      <c r="GB86" s="491"/>
      <c r="GC86" s="491"/>
      <c r="GD86" s="491"/>
      <c r="GE86" s="491"/>
      <c r="GF86" s="491"/>
      <c r="GG86" s="491"/>
      <c r="GH86" s="491"/>
      <c r="GI86" s="491"/>
      <c r="GJ86" s="491"/>
      <c r="GK86" s="491"/>
      <c r="GL86" s="491"/>
      <c r="GM86" s="491"/>
      <c r="GN86" s="491"/>
      <c r="GO86" s="491"/>
      <c r="GP86" s="491"/>
      <c r="GQ86" s="491"/>
      <c r="GR86" s="491"/>
      <c r="GS86" s="491"/>
      <c r="GT86" s="491"/>
      <c r="GU86" s="491"/>
      <c r="GV86" s="491"/>
      <c r="GW86" s="491"/>
      <c r="GX86" s="491"/>
      <c r="GY86" s="491"/>
      <c r="GZ86" s="491"/>
      <c r="HA86" s="491"/>
      <c r="HB86" s="491"/>
      <c r="HC86" s="491"/>
      <c r="HD86" s="491"/>
      <c r="HE86" s="491"/>
      <c r="HF86" s="491"/>
      <c r="HG86" s="491"/>
      <c r="HH86" s="491"/>
      <c r="HI86" s="491"/>
      <c r="HJ86" s="491"/>
      <c r="HK86" s="491"/>
      <c r="HL86" s="491"/>
      <c r="HM86" s="491"/>
      <c r="HN86" s="491"/>
      <c r="HO86" s="491"/>
      <c r="HP86" s="491"/>
      <c r="HQ86" s="491"/>
      <c r="HR86" s="491"/>
      <c r="HS86" s="491"/>
      <c r="HT86" s="491"/>
      <c r="HU86" s="491"/>
      <c r="HV86" s="491"/>
      <c r="HW86" s="491"/>
      <c r="HX86" s="491"/>
      <c r="HY86" s="491"/>
      <c r="HZ86" s="491"/>
      <c r="IA86" s="491"/>
      <c r="IB86" s="491"/>
      <c r="IC86" s="491"/>
      <c r="ID86" s="491"/>
      <c r="IE86" s="491"/>
      <c r="IF86" s="491"/>
      <c r="IG86" s="491"/>
      <c r="IH86" s="491"/>
      <c r="II86" s="491"/>
      <c r="IJ86" s="491"/>
      <c r="IK86" s="491"/>
      <c r="IL86" s="491"/>
      <c r="IM86" s="491"/>
      <c r="IN86" s="491"/>
      <c r="IO86" s="491"/>
      <c r="IP86" s="491"/>
      <c r="IQ86" s="491"/>
      <c r="IR86" s="491"/>
      <c r="IS86" s="491"/>
    </row>
    <row r="87" spans="1:256" s="493" customFormat="1" ht="12" customHeight="1">
      <c r="A87" s="23" t="s">
        <v>268</v>
      </c>
      <c r="B87" s="24">
        <f>B85*B86</f>
        <v>127.56557476903815</v>
      </c>
      <c r="C87" s="24">
        <f t="shared" ref="C87:U87" si="20">C85*C86</f>
        <v>133.59426403225171</v>
      </c>
      <c r="D87" s="24">
        <f t="shared" si="20"/>
        <v>142.2341251224392</v>
      </c>
      <c r="E87" s="24">
        <f t="shared" si="20"/>
        <v>547.93141162124391</v>
      </c>
      <c r="F87" s="24">
        <f t="shared" si="20"/>
        <v>614.5202153992883</v>
      </c>
      <c r="G87" s="24">
        <f t="shared" si="20"/>
        <v>638.35804557880249</v>
      </c>
      <c r="H87" s="24">
        <f t="shared" si="20"/>
        <v>661.87892094326878</v>
      </c>
      <c r="I87" s="24">
        <f t="shared" si="20"/>
        <v>688.14368095618761</v>
      </c>
      <c r="J87" s="24">
        <f t="shared" si="20"/>
        <v>721.22011134281081</v>
      </c>
      <c r="K87" s="24">
        <f t="shared" si="20"/>
        <v>757.94801640774506</v>
      </c>
      <c r="L87" s="24">
        <f t="shared" si="20"/>
        <v>784.39376768472926</v>
      </c>
      <c r="M87" s="24">
        <f t="shared" si="20"/>
        <v>817.9336071015565</v>
      </c>
      <c r="N87" s="24">
        <f t="shared" si="20"/>
        <v>855.31990403451414</v>
      </c>
      <c r="O87" s="24">
        <f t="shared" si="20"/>
        <v>894.54238236948413</v>
      </c>
      <c r="P87" s="24">
        <f t="shared" si="20"/>
        <v>936.59233812767775</v>
      </c>
      <c r="Q87" s="24">
        <f t="shared" si="20"/>
        <v>975.82970417773265</v>
      </c>
      <c r="R87" s="24">
        <f t="shared" si="20"/>
        <v>1016.2847048057317</v>
      </c>
      <c r="S87" s="24">
        <f t="shared" si="20"/>
        <v>1062.1296785588213</v>
      </c>
      <c r="T87" s="24">
        <f t="shared" si="20"/>
        <v>1114.5040717248385</v>
      </c>
      <c r="U87" s="24">
        <f t="shared" si="20"/>
        <v>1167.9225727385788</v>
      </c>
      <c r="V87" s="501"/>
      <c r="W87" s="501"/>
      <c r="X87" s="501"/>
      <c r="Y87" s="501"/>
      <c r="Z87" s="501"/>
      <c r="AA87" s="501"/>
      <c r="AB87" s="501"/>
      <c r="AC87" s="488"/>
      <c r="AD87" s="490"/>
      <c r="AE87" s="490"/>
      <c r="AF87" s="490"/>
      <c r="AG87" s="490"/>
      <c r="AH87" s="491"/>
      <c r="AI87" s="491"/>
      <c r="AJ87" s="491"/>
      <c r="AK87" s="491"/>
      <c r="AL87" s="491"/>
      <c r="AM87" s="491"/>
      <c r="AN87" s="491"/>
      <c r="AO87" s="491"/>
      <c r="AP87" s="491"/>
      <c r="AQ87" s="491"/>
      <c r="AR87" s="491"/>
      <c r="AS87" s="491"/>
      <c r="AT87" s="491"/>
      <c r="AU87" s="491"/>
      <c r="AV87" s="491"/>
      <c r="AW87" s="491"/>
      <c r="AX87" s="491"/>
      <c r="AY87" s="491"/>
      <c r="AZ87" s="491"/>
      <c r="BA87" s="491"/>
      <c r="BB87" s="491"/>
      <c r="BC87" s="491"/>
      <c r="BD87" s="491"/>
      <c r="BE87" s="491"/>
      <c r="BF87" s="491"/>
      <c r="BG87" s="491"/>
      <c r="BH87" s="491"/>
      <c r="BI87" s="491"/>
      <c r="BJ87" s="491"/>
      <c r="BK87" s="491"/>
      <c r="BL87" s="491"/>
      <c r="BM87" s="491"/>
      <c r="BN87" s="491"/>
      <c r="BO87" s="491"/>
      <c r="BP87" s="491"/>
      <c r="BQ87" s="491"/>
      <c r="BR87" s="491"/>
      <c r="BS87" s="491"/>
      <c r="BT87" s="491"/>
      <c r="BU87" s="491"/>
      <c r="BV87" s="491"/>
      <c r="BW87" s="491"/>
      <c r="BX87" s="491"/>
      <c r="BY87" s="491"/>
      <c r="BZ87" s="491"/>
      <c r="CA87" s="491"/>
      <c r="CB87" s="491"/>
      <c r="CC87" s="491"/>
      <c r="CD87" s="491"/>
      <c r="CE87" s="491"/>
      <c r="CF87" s="491"/>
      <c r="CG87" s="491"/>
      <c r="CH87" s="491"/>
      <c r="CI87" s="491"/>
      <c r="CJ87" s="491"/>
      <c r="CK87" s="491"/>
      <c r="CL87" s="491"/>
      <c r="CM87" s="491"/>
      <c r="CN87" s="491"/>
      <c r="CO87" s="491"/>
      <c r="CP87" s="491"/>
      <c r="CQ87" s="491"/>
      <c r="CR87" s="491"/>
      <c r="CS87" s="491"/>
      <c r="CT87" s="491"/>
      <c r="CU87" s="491"/>
      <c r="CV87" s="491"/>
      <c r="CW87" s="491"/>
      <c r="CX87" s="491"/>
      <c r="CY87" s="491"/>
      <c r="CZ87" s="491"/>
      <c r="DA87" s="491"/>
      <c r="DB87" s="491"/>
      <c r="DC87" s="491"/>
      <c r="DD87" s="491"/>
      <c r="DE87" s="491"/>
      <c r="DF87" s="491"/>
      <c r="DG87" s="491"/>
      <c r="DH87" s="491"/>
      <c r="DI87" s="491"/>
      <c r="DJ87" s="491"/>
      <c r="DK87" s="491"/>
      <c r="DL87" s="491"/>
      <c r="DM87" s="491"/>
      <c r="DN87" s="491"/>
      <c r="DO87" s="491"/>
      <c r="DP87" s="491"/>
      <c r="DQ87" s="491"/>
      <c r="DR87" s="491"/>
      <c r="DS87" s="491"/>
      <c r="DT87" s="491"/>
      <c r="DU87" s="491"/>
      <c r="DV87" s="491"/>
      <c r="DW87" s="491"/>
      <c r="DX87" s="491"/>
      <c r="DY87" s="491"/>
      <c r="DZ87" s="491"/>
      <c r="EA87" s="491"/>
      <c r="EB87" s="491"/>
      <c r="EC87" s="491"/>
      <c r="ED87" s="491"/>
      <c r="EE87" s="491"/>
      <c r="EF87" s="491"/>
      <c r="EG87" s="491"/>
      <c r="EH87" s="491"/>
      <c r="EI87" s="491"/>
      <c r="EJ87" s="491"/>
      <c r="EK87" s="491"/>
      <c r="EL87" s="491"/>
      <c r="EM87" s="491"/>
      <c r="EN87" s="491"/>
      <c r="EO87" s="491"/>
      <c r="EP87" s="491"/>
      <c r="EQ87" s="491"/>
      <c r="ER87" s="491"/>
      <c r="ES87" s="491"/>
      <c r="ET87" s="491"/>
      <c r="EU87" s="491"/>
      <c r="EV87" s="491"/>
      <c r="EW87" s="491"/>
      <c r="EX87" s="491"/>
      <c r="EY87" s="491"/>
      <c r="EZ87" s="491"/>
      <c r="FA87" s="491"/>
      <c r="FB87" s="491"/>
      <c r="FC87" s="491"/>
      <c r="FD87" s="491"/>
      <c r="FE87" s="491"/>
      <c r="FF87" s="491"/>
      <c r="FG87" s="491"/>
      <c r="FH87" s="491"/>
      <c r="FI87" s="491"/>
      <c r="FJ87" s="491"/>
      <c r="FK87" s="491"/>
      <c r="FL87" s="491"/>
      <c r="FM87" s="491"/>
      <c r="FN87" s="491"/>
      <c r="FO87" s="491"/>
      <c r="FP87" s="491"/>
      <c r="FQ87" s="491"/>
      <c r="FR87" s="491"/>
      <c r="FS87" s="491"/>
      <c r="FT87" s="491"/>
      <c r="FU87" s="491"/>
      <c r="FV87" s="491"/>
      <c r="FW87" s="491"/>
      <c r="FX87" s="491"/>
      <c r="FY87" s="491"/>
      <c r="FZ87" s="491"/>
      <c r="GA87" s="491"/>
      <c r="GB87" s="491"/>
      <c r="GC87" s="491"/>
      <c r="GD87" s="491"/>
      <c r="GE87" s="491"/>
      <c r="GF87" s="491"/>
      <c r="GG87" s="491"/>
      <c r="GH87" s="491"/>
      <c r="GI87" s="491"/>
      <c r="GJ87" s="491"/>
      <c r="GK87" s="491"/>
      <c r="GL87" s="491"/>
      <c r="GM87" s="491"/>
      <c r="GN87" s="491"/>
      <c r="GO87" s="491"/>
      <c r="GP87" s="491"/>
      <c r="GQ87" s="491"/>
      <c r="GR87" s="491"/>
      <c r="GS87" s="491"/>
      <c r="GT87" s="491"/>
      <c r="GU87" s="491"/>
      <c r="GV87" s="491"/>
      <c r="GW87" s="491"/>
      <c r="GX87" s="491"/>
      <c r="GY87" s="491"/>
      <c r="GZ87" s="491"/>
      <c r="HA87" s="491"/>
      <c r="HB87" s="491"/>
      <c r="HC87" s="491"/>
      <c r="HD87" s="491"/>
      <c r="HE87" s="491"/>
      <c r="HF87" s="491"/>
      <c r="HG87" s="491"/>
      <c r="HH87" s="491"/>
      <c r="HI87" s="491"/>
      <c r="HJ87" s="491"/>
      <c r="HK87" s="491"/>
      <c r="HL87" s="491"/>
      <c r="HM87" s="491"/>
      <c r="HN87" s="491"/>
      <c r="HO87" s="491"/>
      <c r="HP87" s="491"/>
      <c r="HQ87" s="491"/>
      <c r="HR87" s="491"/>
      <c r="HS87" s="491"/>
      <c r="HT87" s="491"/>
      <c r="HU87" s="491"/>
      <c r="HV87" s="491"/>
      <c r="HW87" s="491"/>
      <c r="HX87" s="491"/>
      <c r="HY87" s="491"/>
      <c r="HZ87" s="491"/>
      <c r="IA87" s="491"/>
      <c r="IB87" s="491"/>
      <c r="IC87" s="491"/>
      <c r="ID87" s="491"/>
      <c r="IE87" s="491"/>
      <c r="IF87" s="491"/>
      <c r="IG87" s="491"/>
      <c r="IH87" s="491"/>
      <c r="II87" s="491"/>
      <c r="IJ87" s="491"/>
      <c r="IK87" s="491"/>
      <c r="IL87" s="491"/>
      <c r="IM87" s="491"/>
      <c r="IN87" s="491"/>
      <c r="IO87" s="491"/>
      <c r="IP87" s="491"/>
      <c r="IQ87" s="491"/>
      <c r="IR87" s="491"/>
      <c r="IS87" s="491"/>
      <c r="IT87" s="491"/>
      <c r="IU87" s="491"/>
    </row>
    <row r="88" spans="1:256" s="493" customFormat="1" ht="12" customHeight="1">
      <c r="A88" s="496"/>
      <c r="B88" s="19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497"/>
      <c r="AD88" s="497"/>
      <c r="AE88" s="488"/>
      <c r="AF88" s="488"/>
      <c r="AG88" s="488"/>
    </row>
    <row r="89" spans="1:256" s="492" customFormat="1" ht="12" customHeight="1">
      <c r="A89" s="237" t="s">
        <v>123</v>
      </c>
      <c r="B89" s="19"/>
      <c r="C89" s="19"/>
      <c r="D89" s="502"/>
      <c r="E89" s="502"/>
      <c r="F89" s="502"/>
      <c r="G89" s="502"/>
      <c r="H89" s="502"/>
      <c r="I89" s="502"/>
      <c r="J89" s="502"/>
      <c r="K89" s="502"/>
      <c r="L89" s="502"/>
      <c r="M89" s="502"/>
      <c r="N89" s="502"/>
      <c r="O89" s="502"/>
      <c r="P89" s="502"/>
      <c r="Q89" s="502"/>
      <c r="R89" s="502"/>
      <c r="S89" s="502"/>
      <c r="T89" s="502"/>
      <c r="U89" s="502"/>
      <c r="V89" s="502"/>
      <c r="W89" s="502"/>
      <c r="X89" s="502"/>
      <c r="Y89" s="502"/>
      <c r="Z89" s="502"/>
      <c r="AA89" s="502"/>
      <c r="AB89" s="502"/>
      <c r="AC89" s="488"/>
      <c r="AD89" s="488"/>
      <c r="AE89" s="490"/>
      <c r="AF89" s="490"/>
      <c r="AG89" s="490"/>
      <c r="AH89" s="491"/>
      <c r="AI89" s="491"/>
      <c r="AJ89" s="491"/>
      <c r="AK89" s="491"/>
      <c r="AL89" s="491"/>
      <c r="AM89" s="491"/>
      <c r="AN89" s="491"/>
      <c r="AO89" s="491"/>
      <c r="AP89" s="491"/>
      <c r="AQ89" s="491"/>
      <c r="AR89" s="491"/>
      <c r="AS89" s="491"/>
      <c r="AT89" s="491"/>
      <c r="AU89" s="491"/>
      <c r="AV89" s="491"/>
      <c r="AW89" s="491"/>
      <c r="AX89" s="491"/>
      <c r="AY89" s="491"/>
      <c r="AZ89" s="491"/>
      <c r="BA89" s="491"/>
      <c r="BB89" s="491"/>
      <c r="BC89" s="491"/>
      <c r="BD89" s="491"/>
      <c r="BE89" s="491"/>
      <c r="BF89" s="491"/>
      <c r="BG89" s="491"/>
      <c r="BH89" s="491"/>
      <c r="BI89" s="491"/>
      <c r="BJ89" s="491"/>
      <c r="BK89" s="491"/>
      <c r="BL89" s="491"/>
      <c r="BM89" s="491"/>
      <c r="BN89" s="491"/>
      <c r="BO89" s="491"/>
      <c r="BP89" s="491"/>
      <c r="BQ89" s="491"/>
      <c r="BR89" s="491"/>
      <c r="BS89" s="491"/>
      <c r="BT89" s="491"/>
      <c r="BU89" s="491"/>
      <c r="BV89" s="491"/>
      <c r="BW89" s="491"/>
      <c r="BX89" s="491"/>
      <c r="BY89" s="491"/>
      <c r="BZ89" s="491"/>
      <c r="CA89" s="491"/>
      <c r="CB89" s="491"/>
      <c r="CC89" s="491"/>
      <c r="CD89" s="491"/>
      <c r="CE89" s="491"/>
      <c r="CF89" s="491"/>
      <c r="CG89" s="491"/>
      <c r="CH89" s="491"/>
      <c r="CI89" s="491"/>
      <c r="CJ89" s="491"/>
      <c r="CK89" s="491"/>
      <c r="CL89" s="491"/>
      <c r="CM89" s="491"/>
      <c r="CN89" s="491"/>
      <c r="CO89" s="491"/>
      <c r="CP89" s="491"/>
      <c r="CQ89" s="491"/>
      <c r="CR89" s="491"/>
      <c r="CS89" s="491"/>
      <c r="CT89" s="491"/>
      <c r="CU89" s="491"/>
      <c r="CV89" s="491"/>
      <c r="CW89" s="491"/>
      <c r="CX89" s="491"/>
      <c r="CY89" s="491"/>
      <c r="CZ89" s="491"/>
      <c r="DA89" s="491"/>
      <c r="DB89" s="491"/>
      <c r="DC89" s="491"/>
      <c r="DD89" s="491"/>
      <c r="DE89" s="491"/>
      <c r="DF89" s="491"/>
      <c r="DG89" s="491"/>
      <c r="DH89" s="491"/>
      <c r="DI89" s="491"/>
      <c r="DJ89" s="491"/>
      <c r="DK89" s="491"/>
      <c r="DL89" s="491"/>
      <c r="DM89" s="491"/>
      <c r="DN89" s="491"/>
      <c r="DO89" s="491"/>
      <c r="DP89" s="491"/>
      <c r="DQ89" s="491"/>
      <c r="DR89" s="491"/>
      <c r="DS89" s="491"/>
      <c r="DT89" s="491"/>
      <c r="DU89" s="491"/>
      <c r="DV89" s="491"/>
      <c r="DW89" s="491"/>
      <c r="DX89" s="491"/>
      <c r="DY89" s="491"/>
      <c r="DZ89" s="491"/>
      <c r="EA89" s="491"/>
      <c r="EB89" s="491"/>
      <c r="EC89" s="491"/>
      <c r="ED89" s="491"/>
      <c r="EE89" s="491"/>
      <c r="EF89" s="491"/>
      <c r="EG89" s="491"/>
      <c r="EH89" s="491"/>
      <c r="EI89" s="491"/>
      <c r="EJ89" s="491"/>
      <c r="EK89" s="491"/>
      <c r="EL89" s="491"/>
      <c r="EM89" s="491"/>
      <c r="EN89" s="491"/>
      <c r="EO89" s="491"/>
      <c r="EP89" s="491"/>
      <c r="EQ89" s="491"/>
      <c r="ER89" s="491"/>
      <c r="ES89" s="491"/>
      <c r="ET89" s="491"/>
      <c r="EU89" s="491"/>
      <c r="EV89" s="491"/>
      <c r="EW89" s="491"/>
      <c r="EX89" s="491"/>
      <c r="EY89" s="491"/>
      <c r="EZ89" s="491"/>
      <c r="FA89" s="491"/>
      <c r="FB89" s="491"/>
      <c r="FC89" s="491"/>
      <c r="FD89" s="491"/>
      <c r="FE89" s="491"/>
      <c r="FF89" s="491"/>
      <c r="FG89" s="491"/>
      <c r="FH89" s="491"/>
      <c r="FI89" s="491"/>
      <c r="FJ89" s="491"/>
      <c r="FK89" s="491"/>
      <c r="FL89" s="491"/>
      <c r="FM89" s="491"/>
      <c r="FN89" s="491"/>
      <c r="FO89" s="491"/>
      <c r="FP89" s="491"/>
      <c r="FQ89" s="491"/>
      <c r="FR89" s="491"/>
      <c r="FS89" s="491"/>
      <c r="FT89" s="491"/>
      <c r="FU89" s="491"/>
      <c r="FV89" s="491"/>
      <c r="FW89" s="491"/>
      <c r="FX89" s="491"/>
      <c r="FY89" s="491"/>
      <c r="FZ89" s="491"/>
      <c r="GA89" s="491"/>
      <c r="GB89" s="491"/>
      <c r="GC89" s="491"/>
      <c r="GD89" s="491"/>
      <c r="GE89" s="491"/>
      <c r="GF89" s="491"/>
      <c r="GG89" s="491"/>
      <c r="GH89" s="491"/>
      <c r="GI89" s="491"/>
      <c r="GJ89" s="491"/>
      <c r="GK89" s="491"/>
      <c r="GL89" s="491"/>
      <c r="GM89" s="491"/>
      <c r="GN89" s="491"/>
      <c r="GO89" s="491"/>
      <c r="GP89" s="491"/>
      <c r="GQ89" s="491"/>
      <c r="GR89" s="491"/>
      <c r="GS89" s="491"/>
      <c r="GT89" s="491"/>
      <c r="GU89" s="491"/>
      <c r="GV89" s="491"/>
      <c r="GW89" s="491"/>
      <c r="GX89" s="491"/>
      <c r="GY89" s="491"/>
      <c r="GZ89" s="491"/>
      <c r="HA89" s="491"/>
      <c r="HB89" s="491"/>
      <c r="HC89" s="491"/>
      <c r="HD89" s="491"/>
      <c r="HE89" s="491"/>
      <c r="HF89" s="491"/>
      <c r="HG89" s="491"/>
      <c r="HH89" s="491"/>
      <c r="HI89" s="491"/>
      <c r="HJ89" s="491"/>
      <c r="HK89" s="491"/>
      <c r="HL89" s="491"/>
      <c r="HM89" s="491"/>
      <c r="HN89" s="491"/>
      <c r="HO89" s="491"/>
      <c r="HP89" s="491"/>
      <c r="HQ89" s="491"/>
      <c r="HR89" s="491"/>
      <c r="HS89" s="491"/>
      <c r="HT89" s="491"/>
      <c r="HU89" s="491"/>
      <c r="HV89" s="491"/>
      <c r="HW89" s="491"/>
      <c r="HX89" s="491"/>
      <c r="HY89" s="491"/>
      <c r="HZ89" s="491"/>
      <c r="IA89" s="491"/>
      <c r="IB89" s="491"/>
      <c r="IC89" s="491"/>
      <c r="ID89" s="491"/>
      <c r="IE89" s="491"/>
      <c r="IF89" s="491"/>
      <c r="IG89" s="491"/>
      <c r="IH89" s="491"/>
      <c r="II89" s="491"/>
      <c r="IJ89" s="491"/>
      <c r="IK89" s="491"/>
      <c r="IL89" s="491"/>
      <c r="IM89" s="491"/>
      <c r="IN89" s="491"/>
      <c r="IO89" s="491"/>
      <c r="IP89" s="491"/>
      <c r="IQ89" s="491"/>
      <c r="IR89" s="491"/>
      <c r="IS89" s="491"/>
      <c r="IT89" s="491"/>
      <c r="IU89" s="491"/>
      <c r="IV89" s="491"/>
    </row>
    <row r="90" spans="1:256" s="492" customFormat="1" ht="12" customHeight="1">
      <c r="A90" s="23" t="s">
        <v>269</v>
      </c>
      <c r="B90" s="503">
        <f>B20</f>
        <v>24583.805493154894</v>
      </c>
      <c r="C90" s="503">
        <f t="shared" ref="C90:U90" si="21">C20</f>
        <v>24634.708743853073</v>
      </c>
      <c r="D90" s="503">
        <f t="shared" si="21"/>
        <v>24687.430872420315</v>
      </c>
      <c r="E90" s="503">
        <f t="shared" si="21"/>
        <v>36838.061432427174</v>
      </c>
      <c r="F90" s="503">
        <f t="shared" si="21"/>
        <v>38860.230078123161</v>
      </c>
      <c r="G90" s="503">
        <f t="shared" si="21"/>
        <v>39670.0228040898</v>
      </c>
      <c r="H90" s="503">
        <f t="shared" si="21"/>
        <v>40492.896444977283</v>
      </c>
      <c r="I90" s="503">
        <f t="shared" si="21"/>
        <v>41330.32097465999</v>
      </c>
      <c r="J90" s="503">
        <f t="shared" si="21"/>
        <v>42182.880198916348</v>
      </c>
      <c r="K90" s="503">
        <f t="shared" si="21"/>
        <v>43050.377239147783</v>
      </c>
      <c r="L90" s="503">
        <f t="shared" si="21"/>
        <v>43792.169662991808</v>
      </c>
      <c r="M90" s="503">
        <f t="shared" si="21"/>
        <v>44541.776181605645</v>
      </c>
      <c r="N90" s="503">
        <f t="shared" si="21"/>
        <v>45296.940689400275</v>
      </c>
      <c r="O90" s="503">
        <f t="shared" si="21"/>
        <v>46057.322457481037</v>
      </c>
      <c r="P90" s="503">
        <f t="shared" si="21"/>
        <v>46822.554873408102</v>
      </c>
      <c r="Q90" s="503">
        <f t="shared" si="21"/>
        <v>47433.456147189543</v>
      </c>
      <c r="R90" s="503">
        <f t="shared" si="21"/>
        <v>47957.09011647891</v>
      </c>
      <c r="S90" s="503">
        <f t="shared" si="21"/>
        <v>48553.676353787298</v>
      </c>
      <c r="T90" s="503">
        <f t="shared" si="21"/>
        <v>49229.647605183884</v>
      </c>
      <c r="U90" s="503">
        <f t="shared" si="21"/>
        <v>49813.114891778001</v>
      </c>
      <c r="V90" s="499"/>
      <c r="W90" s="499"/>
      <c r="X90" s="499"/>
      <c r="Y90" s="499"/>
      <c r="Z90" s="499"/>
      <c r="AA90" s="499"/>
      <c r="AB90" s="499"/>
      <c r="AC90" s="488"/>
      <c r="AD90" s="488"/>
      <c r="AE90" s="490"/>
      <c r="AF90" s="490"/>
      <c r="AG90" s="490"/>
      <c r="AH90" s="491"/>
      <c r="AI90" s="491"/>
      <c r="AJ90" s="491"/>
      <c r="AK90" s="491"/>
      <c r="AL90" s="491"/>
      <c r="AM90" s="491"/>
      <c r="AN90" s="491"/>
      <c r="AO90" s="491"/>
      <c r="AP90" s="491"/>
      <c r="AQ90" s="491"/>
      <c r="AR90" s="491"/>
      <c r="AS90" s="491"/>
      <c r="AT90" s="491"/>
      <c r="AU90" s="491"/>
      <c r="AV90" s="491"/>
      <c r="AW90" s="491"/>
      <c r="AX90" s="491"/>
      <c r="AY90" s="491"/>
      <c r="AZ90" s="491"/>
      <c r="BA90" s="491"/>
      <c r="BB90" s="491"/>
      <c r="BC90" s="491"/>
      <c r="BD90" s="491"/>
      <c r="BE90" s="491"/>
      <c r="BF90" s="491"/>
      <c r="BG90" s="491"/>
      <c r="BH90" s="491"/>
      <c r="BI90" s="491"/>
      <c r="BJ90" s="491"/>
      <c r="BK90" s="491"/>
      <c r="BL90" s="491"/>
      <c r="BM90" s="491"/>
      <c r="BN90" s="491"/>
      <c r="BO90" s="491"/>
      <c r="BP90" s="491"/>
      <c r="BQ90" s="491"/>
      <c r="BR90" s="491"/>
      <c r="BS90" s="491"/>
      <c r="BT90" s="491"/>
      <c r="BU90" s="491"/>
      <c r="BV90" s="491"/>
      <c r="BW90" s="491"/>
      <c r="BX90" s="491"/>
      <c r="BY90" s="491"/>
      <c r="BZ90" s="491"/>
      <c r="CA90" s="491"/>
      <c r="CB90" s="491"/>
      <c r="CC90" s="491"/>
      <c r="CD90" s="491"/>
      <c r="CE90" s="491"/>
      <c r="CF90" s="491"/>
      <c r="CG90" s="491"/>
      <c r="CH90" s="491"/>
      <c r="CI90" s="491"/>
      <c r="CJ90" s="491"/>
      <c r="CK90" s="491"/>
      <c r="CL90" s="491"/>
      <c r="CM90" s="491"/>
      <c r="CN90" s="491"/>
      <c r="CO90" s="491"/>
      <c r="CP90" s="491"/>
      <c r="CQ90" s="491"/>
      <c r="CR90" s="491"/>
      <c r="CS90" s="491"/>
      <c r="CT90" s="491"/>
      <c r="CU90" s="491"/>
      <c r="CV90" s="491"/>
      <c r="CW90" s="491"/>
      <c r="CX90" s="491"/>
      <c r="CY90" s="491"/>
      <c r="CZ90" s="491"/>
      <c r="DA90" s="491"/>
      <c r="DB90" s="491"/>
      <c r="DC90" s="491"/>
      <c r="DD90" s="491"/>
      <c r="DE90" s="491"/>
      <c r="DF90" s="491"/>
      <c r="DG90" s="491"/>
      <c r="DH90" s="491"/>
      <c r="DI90" s="491"/>
      <c r="DJ90" s="491"/>
      <c r="DK90" s="491"/>
      <c r="DL90" s="491"/>
      <c r="DM90" s="491"/>
      <c r="DN90" s="491"/>
      <c r="DO90" s="491"/>
      <c r="DP90" s="491"/>
      <c r="DQ90" s="491"/>
      <c r="DR90" s="491"/>
      <c r="DS90" s="491"/>
      <c r="DT90" s="491"/>
      <c r="DU90" s="491"/>
      <c r="DV90" s="491"/>
      <c r="DW90" s="491"/>
      <c r="DX90" s="491"/>
      <c r="DY90" s="491"/>
      <c r="DZ90" s="491"/>
      <c r="EA90" s="491"/>
      <c r="EB90" s="491"/>
      <c r="EC90" s="491"/>
      <c r="ED90" s="491"/>
      <c r="EE90" s="491"/>
      <c r="EF90" s="491"/>
      <c r="EG90" s="491"/>
      <c r="EH90" s="491"/>
      <c r="EI90" s="491"/>
      <c r="EJ90" s="491"/>
      <c r="EK90" s="491"/>
      <c r="EL90" s="491"/>
      <c r="EM90" s="491"/>
      <c r="EN90" s="491"/>
      <c r="EO90" s="491"/>
      <c r="EP90" s="491"/>
      <c r="EQ90" s="491"/>
      <c r="ER90" s="491"/>
      <c r="ES90" s="491"/>
      <c r="ET90" s="491"/>
      <c r="EU90" s="491"/>
      <c r="EV90" s="491"/>
      <c r="EW90" s="491"/>
      <c r="EX90" s="491"/>
      <c r="EY90" s="491"/>
      <c r="EZ90" s="491"/>
      <c r="FA90" s="491"/>
      <c r="FB90" s="491"/>
      <c r="FC90" s="491"/>
      <c r="FD90" s="491"/>
      <c r="FE90" s="491"/>
      <c r="FF90" s="491"/>
      <c r="FG90" s="491"/>
      <c r="FH90" s="491"/>
      <c r="FI90" s="491"/>
      <c r="FJ90" s="491"/>
      <c r="FK90" s="491"/>
      <c r="FL90" s="491"/>
      <c r="FM90" s="491"/>
      <c r="FN90" s="491"/>
      <c r="FO90" s="491"/>
      <c r="FP90" s="491"/>
      <c r="FQ90" s="491"/>
      <c r="FR90" s="491"/>
      <c r="FS90" s="491"/>
      <c r="FT90" s="491"/>
      <c r="FU90" s="491"/>
      <c r="FV90" s="491"/>
      <c r="FW90" s="491"/>
      <c r="FX90" s="491"/>
      <c r="FY90" s="491"/>
      <c r="FZ90" s="491"/>
      <c r="GA90" s="491"/>
      <c r="GB90" s="491"/>
      <c r="GC90" s="491"/>
      <c r="GD90" s="491"/>
      <c r="GE90" s="491"/>
      <c r="GF90" s="491"/>
      <c r="GG90" s="491"/>
      <c r="GH90" s="491"/>
      <c r="GI90" s="491"/>
      <c r="GJ90" s="491"/>
      <c r="GK90" s="491"/>
      <c r="GL90" s="491"/>
      <c r="GM90" s="491"/>
      <c r="GN90" s="491"/>
      <c r="GO90" s="491"/>
      <c r="GP90" s="491"/>
      <c r="GQ90" s="491"/>
      <c r="GR90" s="491"/>
      <c r="GS90" s="491"/>
      <c r="GT90" s="491"/>
      <c r="GU90" s="491"/>
      <c r="GV90" s="491"/>
      <c r="GW90" s="491"/>
      <c r="GX90" s="491"/>
      <c r="GY90" s="491"/>
      <c r="GZ90" s="491"/>
      <c r="HA90" s="491"/>
      <c r="HB90" s="491"/>
      <c r="HC90" s="491"/>
      <c r="HD90" s="491"/>
      <c r="HE90" s="491"/>
      <c r="HF90" s="491"/>
      <c r="HG90" s="491"/>
      <c r="HH90" s="491"/>
      <c r="HI90" s="491"/>
      <c r="HJ90" s="491"/>
      <c r="HK90" s="491"/>
      <c r="HL90" s="491"/>
      <c r="HM90" s="491"/>
      <c r="HN90" s="491"/>
      <c r="HO90" s="491"/>
      <c r="HP90" s="491"/>
      <c r="HQ90" s="491"/>
      <c r="HR90" s="491"/>
      <c r="HS90" s="491"/>
      <c r="HT90" s="491"/>
      <c r="HU90" s="491"/>
      <c r="HV90" s="491"/>
      <c r="HW90" s="491"/>
      <c r="HX90" s="491"/>
      <c r="HY90" s="491"/>
      <c r="HZ90" s="491"/>
      <c r="IA90" s="491"/>
      <c r="IB90" s="491"/>
      <c r="IC90" s="491"/>
      <c r="ID90" s="491"/>
      <c r="IE90" s="491"/>
      <c r="IF90" s="491"/>
      <c r="IG90" s="491"/>
      <c r="IH90" s="491"/>
      <c r="II90" s="491"/>
      <c r="IJ90" s="491"/>
      <c r="IK90" s="491"/>
      <c r="IL90" s="491"/>
      <c r="IM90" s="491"/>
      <c r="IN90" s="491"/>
      <c r="IO90" s="491"/>
      <c r="IP90" s="491"/>
      <c r="IQ90" s="491"/>
      <c r="IR90" s="491"/>
      <c r="IS90" s="491"/>
      <c r="IT90" s="491"/>
      <c r="IU90" s="491"/>
      <c r="IV90" s="491"/>
    </row>
    <row r="91" spans="1:256" s="492" customFormat="1" ht="12" customHeight="1">
      <c r="A91" s="23" t="s">
        <v>270</v>
      </c>
      <c r="B91" s="500">
        <f>Summary!$H$39</f>
        <v>1.2E-2</v>
      </c>
      <c r="C91" s="500">
        <f>Summary!$H$39</f>
        <v>1.2E-2</v>
      </c>
      <c r="D91" s="500">
        <f>Summary!$H$39</f>
        <v>1.2E-2</v>
      </c>
      <c r="E91" s="500">
        <f>Summary!$H$39</f>
        <v>1.2E-2</v>
      </c>
      <c r="F91" s="500">
        <f>Summary!$H$39</f>
        <v>1.2E-2</v>
      </c>
      <c r="G91" s="500">
        <f>Summary!$H$39</f>
        <v>1.2E-2</v>
      </c>
      <c r="H91" s="500">
        <f>Summary!$H$39</f>
        <v>1.2E-2</v>
      </c>
      <c r="I91" s="500">
        <f>Summary!$H$39</f>
        <v>1.2E-2</v>
      </c>
      <c r="J91" s="500">
        <f>Summary!$H$39</f>
        <v>1.2E-2</v>
      </c>
      <c r="K91" s="500">
        <f>Summary!$H$39</f>
        <v>1.2E-2</v>
      </c>
      <c r="L91" s="500">
        <f>Summary!$H$39</f>
        <v>1.2E-2</v>
      </c>
      <c r="M91" s="500">
        <f>Summary!$H$39</f>
        <v>1.2E-2</v>
      </c>
      <c r="N91" s="500">
        <f>Summary!$H$39</f>
        <v>1.2E-2</v>
      </c>
      <c r="O91" s="500">
        <f>Summary!$H$39</f>
        <v>1.2E-2</v>
      </c>
      <c r="P91" s="500">
        <f>Summary!$H$39</f>
        <v>1.2E-2</v>
      </c>
      <c r="Q91" s="500">
        <f>Summary!$H$39</f>
        <v>1.2E-2</v>
      </c>
      <c r="R91" s="500">
        <f>Summary!$H$39</f>
        <v>1.2E-2</v>
      </c>
      <c r="S91" s="500">
        <f>Summary!$H$39</f>
        <v>1.2E-2</v>
      </c>
      <c r="T91" s="500">
        <f>Summary!$H$39</f>
        <v>1.2E-2</v>
      </c>
      <c r="U91" s="500">
        <f>Summary!$H$39</f>
        <v>1.2E-2</v>
      </c>
      <c r="V91" s="500"/>
      <c r="W91" s="500"/>
      <c r="X91" s="500"/>
      <c r="Y91" s="500"/>
      <c r="Z91" s="500"/>
      <c r="AA91" s="500"/>
      <c r="AB91" s="500"/>
      <c r="AC91" s="488"/>
      <c r="AD91" s="488"/>
      <c r="AE91" s="490"/>
      <c r="AF91" s="490"/>
      <c r="AG91" s="490"/>
      <c r="AH91" s="491"/>
      <c r="AI91" s="491"/>
      <c r="AJ91" s="491"/>
      <c r="AK91" s="491"/>
      <c r="AL91" s="491"/>
      <c r="AM91" s="491"/>
      <c r="AN91" s="491"/>
      <c r="AO91" s="491"/>
      <c r="AP91" s="491"/>
      <c r="AQ91" s="491"/>
      <c r="AR91" s="491"/>
      <c r="AS91" s="491"/>
      <c r="AT91" s="491"/>
      <c r="AU91" s="491"/>
      <c r="AV91" s="491"/>
      <c r="AW91" s="491"/>
      <c r="AX91" s="491"/>
      <c r="AY91" s="491"/>
      <c r="AZ91" s="491"/>
      <c r="BA91" s="491"/>
      <c r="BB91" s="491"/>
      <c r="BC91" s="491"/>
      <c r="BD91" s="491"/>
      <c r="BE91" s="491"/>
      <c r="BF91" s="491"/>
      <c r="BG91" s="491"/>
      <c r="BH91" s="491"/>
      <c r="BI91" s="491"/>
      <c r="BJ91" s="491"/>
      <c r="BK91" s="491"/>
      <c r="BL91" s="491"/>
      <c r="BM91" s="491"/>
      <c r="BN91" s="491"/>
      <c r="BO91" s="491"/>
      <c r="BP91" s="491"/>
      <c r="BQ91" s="491"/>
      <c r="BR91" s="491"/>
      <c r="BS91" s="491"/>
      <c r="BT91" s="491"/>
      <c r="BU91" s="491"/>
      <c r="BV91" s="491"/>
      <c r="BW91" s="491"/>
      <c r="BX91" s="491"/>
      <c r="BY91" s="491"/>
      <c r="BZ91" s="491"/>
      <c r="CA91" s="491"/>
      <c r="CB91" s="491"/>
      <c r="CC91" s="491"/>
      <c r="CD91" s="491"/>
      <c r="CE91" s="491"/>
      <c r="CF91" s="491"/>
      <c r="CG91" s="491"/>
      <c r="CH91" s="491"/>
      <c r="CI91" s="491"/>
      <c r="CJ91" s="491"/>
      <c r="CK91" s="491"/>
      <c r="CL91" s="491"/>
      <c r="CM91" s="491"/>
      <c r="CN91" s="491"/>
      <c r="CO91" s="491"/>
      <c r="CP91" s="491"/>
      <c r="CQ91" s="491"/>
      <c r="CR91" s="491"/>
      <c r="CS91" s="491"/>
      <c r="CT91" s="491"/>
      <c r="CU91" s="491"/>
      <c r="CV91" s="491"/>
      <c r="CW91" s="491"/>
      <c r="CX91" s="491"/>
      <c r="CY91" s="491"/>
      <c r="CZ91" s="491"/>
      <c r="DA91" s="491"/>
      <c r="DB91" s="491"/>
      <c r="DC91" s="491"/>
      <c r="DD91" s="491"/>
      <c r="DE91" s="491"/>
      <c r="DF91" s="491"/>
      <c r="DG91" s="491"/>
      <c r="DH91" s="491"/>
      <c r="DI91" s="491"/>
      <c r="DJ91" s="491"/>
      <c r="DK91" s="491"/>
      <c r="DL91" s="491"/>
      <c r="DM91" s="491"/>
      <c r="DN91" s="491"/>
      <c r="DO91" s="491"/>
      <c r="DP91" s="491"/>
      <c r="DQ91" s="491"/>
      <c r="DR91" s="491"/>
      <c r="DS91" s="491"/>
      <c r="DT91" s="491"/>
      <c r="DU91" s="491"/>
      <c r="DV91" s="491"/>
      <c r="DW91" s="491"/>
      <c r="DX91" s="491"/>
      <c r="DY91" s="491"/>
      <c r="DZ91" s="491"/>
      <c r="EA91" s="491"/>
      <c r="EB91" s="491"/>
      <c r="EC91" s="491"/>
      <c r="ED91" s="491"/>
      <c r="EE91" s="491"/>
      <c r="EF91" s="491"/>
      <c r="EG91" s="491"/>
      <c r="EH91" s="491"/>
      <c r="EI91" s="491"/>
      <c r="EJ91" s="491"/>
      <c r="EK91" s="491"/>
      <c r="EL91" s="491"/>
      <c r="EM91" s="491"/>
      <c r="EN91" s="491"/>
      <c r="EO91" s="491"/>
      <c r="EP91" s="491"/>
      <c r="EQ91" s="491"/>
      <c r="ER91" s="491"/>
      <c r="ES91" s="491"/>
      <c r="ET91" s="491"/>
      <c r="EU91" s="491"/>
      <c r="EV91" s="491"/>
      <c r="EW91" s="491"/>
      <c r="EX91" s="491"/>
      <c r="EY91" s="491"/>
      <c r="EZ91" s="491"/>
      <c r="FA91" s="491"/>
      <c r="FB91" s="491"/>
      <c r="FC91" s="491"/>
      <c r="FD91" s="491"/>
      <c r="FE91" s="491"/>
      <c r="FF91" s="491"/>
      <c r="FG91" s="491"/>
      <c r="FH91" s="491"/>
      <c r="FI91" s="491"/>
      <c r="FJ91" s="491"/>
      <c r="FK91" s="491"/>
      <c r="FL91" s="491"/>
      <c r="FM91" s="491"/>
      <c r="FN91" s="491"/>
      <c r="FO91" s="491"/>
      <c r="FP91" s="491"/>
      <c r="FQ91" s="491"/>
      <c r="FR91" s="491"/>
      <c r="FS91" s="491"/>
      <c r="FT91" s="491"/>
      <c r="FU91" s="491"/>
      <c r="FV91" s="491"/>
      <c r="FW91" s="491"/>
      <c r="FX91" s="491"/>
      <c r="FY91" s="491"/>
      <c r="FZ91" s="491"/>
      <c r="GA91" s="491"/>
      <c r="GB91" s="491"/>
      <c r="GC91" s="491"/>
      <c r="GD91" s="491"/>
      <c r="GE91" s="491"/>
      <c r="GF91" s="491"/>
      <c r="GG91" s="491"/>
      <c r="GH91" s="491"/>
      <c r="GI91" s="491"/>
      <c r="GJ91" s="491"/>
      <c r="GK91" s="491"/>
      <c r="GL91" s="491"/>
      <c r="GM91" s="491"/>
      <c r="GN91" s="491"/>
      <c r="GO91" s="491"/>
      <c r="GP91" s="491"/>
      <c r="GQ91" s="491"/>
      <c r="GR91" s="491"/>
      <c r="GS91" s="491"/>
      <c r="GT91" s="491"/>
      <c r="GU91" s="491"/>
      <c r="GV91" s="491"/>
      <c r="GW91" s="491"/>
      <c r="GX91" s="491"/>
      <c r="GY91" s="491"/>
      <c r="GZ91" s="491"/>
      <c r="HA91" s="491"/>
      <c r="HB91" s="491"/>
      <c r="HC91" s="491"/>
      <c r="HD91" s="491"/>
      <c r="HE91" s="491"/>
      <c r="HF91" s="491"/>
      <c r="HG91" s="491"/>
      <c r="HH91" s="491"/>
      <c r="HI91" s="491"/>
      <c r="HJ91" s="491"/>
      <c r="HK91" s="491"/>
      <c r="HL91" s="491"/>
      <c r="HM91" s="491"/>
      <c r="HN91" s="491"/>
      <c r="HO91" s="491"/>
      <c r="HP91" s="491"/>
      <c r="HQ91" s="491"/>
      <c r="HR91" s="491"/>
      <c r="HS91" s="491"/>
      <c r="HT91" s="491"/>
      <c r="HU91" s="491"/>
      <c r="HV91" s="491"/>
      <c r="HW91" s="491"/>
      <c r="HX91" s="491"/>
      <c r="HY91" s="491"/>
      <c r="HZ91" s="491"/>
      <c r="IA91" s="491"/>
      <c r="IB91" s="491"/>
      <c r="IC91" s="491"/>
      <c r="ID91" s="491"/>
      <c r="IE91" s="491"/>
      <c r="IF91" s="491"/>
      <c r="IG91" s="491"/>
      <c r="IH91" s="491"/>
      <c r="II91" s="491"/>
      <c r="IJ91" s="491"/>
      <c r="IK91" s="491"/>
      <c r="IL91" s="491"/>
      <c r="IM91" s="491"/>
      <c r="IN91" s="491"/>
      <c r="IO91" s="491"/>
      <c r="IP91" s="491"/>
      <c r="IQ91" s="491"/>
      <c r="IR91" s="491"/>
      <c r="IS91" s="491"/>
      <c r="IT91" s="491"/>
      <c r="IU91" s="491"/>
      <c r="IV91" s="491"/>
    </row>
    <row r="92" spans="1:256" s="492" customFormat="1" ht="12" customHeight="1">
      <c r="A92" s="23" t="s">
        <v>271</v>
      </c>
      <c r="B92" s="24">
        <f>B90*B91</f>
        <v>295.00566591785872</v>
      </c>
      <c r="C92" s="24">
        <f t="shared" ref="C92:U92" si="22">C90*C91</f>
        <v>295.61650492623687</v>
      </c>
      <c r="D92" s="24">
        <f t="shared" si="22"/>
        <v>296.2491704690438</v>
      </c>
      <c r="E92" s="24">
        <f t="shared" si="22"/>
        <v>442.05673718912607</v>
      </c>
      <c r="F92" s="24">
        <f t="shared" si="22"/>
        <v>466.32276093747794</v>
      </c>
      <c r="G92" s="24">
        <f t="shared" si="22"/>
        <v>476.04027364907762</v>
      </c>
      <c r="H92" s="24">
        <f t="shared" si="22"/>
        <v>485.91475733972743</v>
      </c>
      <c r="I92" s="24">
        <f t="shared" si="22"/>
        <v>495.96385169591991</v>
      </c>
      <c r="J92" s="24">
        <f t="shared" si="22"/>
        <v>506.19456238699615</v>
      </c>
      <c r="K92" s="24">
        <f t="shared" si="22"/>
        <v>516.60452686977339</v>
      </c>
      <c r="L92" s="24">
        <f t="shared" si="22"/>
        <v>525.50603595590167</v>
      </c>
      <c r="M92" s="24">
        <f t="shared" si="22"/>
        <v>534.50131417926775</v>
      </c>
      <c r="N92" s="24">
        <f t="shared" si="22"/>
        <v>543.56328827280333</v>
      </c>
      <c r="O92" s="24">
        <f t="shared" si="22"/>
        <v>552.68786948977242</v>
      </c>
      <c r="P92" s="24">
        <f t="shared" si="22"/>
        <v>561.87065848089719</v>
      </c>
      <c r="Q92" s="24">
        <f t="shared" si="22"/>
        <v>569.20147376627449</v>
      </c>
      <c r="R92" s="24">
        <f t="shared" si="22"/>
        <v>575.48508139774697</v>
      </c>
      <c r="S92" s="24">
        <f t="shared" si="22"/>
        <v>582.64411624544755</v>
      </c>
      <c r="T92" s="24">
        <f t="shared" si="22"/>
        <v>590.75577126220662</v>
      </c>
      <c r="U92" s="24">
        <f t="shared" si="22"/>
        <v>597.75737870133605</v>
      </c>
      <c r="V92" s="501"/>
      <c r="W92" s="501"/>
      <c r="X92" s="501"/>
      <c r="Y92" s="501"/>
      <c r="Z92" s="501"/>
      <c r="AA92" s="501"/>
      <c r="AB92" s="501"/>
      <c r="AC92" s="488"/>
      <c r="AD92" s="488"/>
      <c r="AE92" s="490"/>
      <c r="AF92" s="490"/>
      <c r="AG92" s="490"/>
      <c r="AH92" s="491"/>
      <c r="AI92" s="491"/>
      <c r="AJ92" s="491"/>
      <c r="AK92" s="491"/>
      <c r="AL92" s="491"/>
      <c r="AM92" s="491"/>
      <c r="AN92" s="491"/>
      <c r="AO92" s="491"/>
      <c r="AP92" s="491"/>
      <c r="AQ92" s="491"/>
      <c r="AR92" s="491"/>
      <c r="AS92" s="491"/>
      <c r="AT92" s="491"/>
      <c r="AU92" s="491"/>
      <c r="AV92" s="491"/>
      <c r="AW92" s="491"/>
      <c r="AX92" s="491"/>
      <c r="AY92" s="491"/>
      <c r="AZ92" s="491"/>
      <c r="BA92" s="491"/>
      <c r="BB92" s="491"/>
      <c r="BC92" s="491"/>
      <c r="BD92" s="491"/>
      <c r="BE92" s="491"/>
      <c r="BF92" s="491"/>
      <c r="BG92" s="491"/>
      <c r="BH92" s="491"/>
      <c r="BI92" s="491"/>
      <c r="BJ92" s="491"/>
      <c r="BK92" s="491"/>
      <c r="BL92" s="491"/>
      <c r="BM92" s="491"/>
      <c r="BN92" s="491"/>
      <c r="BO92" s="491"/>
      <c r="BP92" s="491"/>
      <c r="BQ92" s="491"/>
      <c r="BR92" s="491"/>
      <c r="BS92" s="491"/>
      <c r="BT92" s="491"/>
      <c r="BU92" s="491"/>
      <c r="BV92" s="491"/>
      <c r="BW92" s="491"/>
      <c r="BX92" s="491"/>
      <c r="BY92" s="491"/>
      <c r="BZ92" s="491"/>
      <c r="CA92" s="491"/>
      <c r="CB92" s="491"/>
      <c r="CC92" s="491"/>
      <c r="CD92" s="491"/>
      <c r="CE92" s="491"/>
      <c r="CF92" s="491"/>
      <c r="CG92" s="491"/>
      <c r="CH92" s="491"/>
      <c r="CI92" s="491"/>
      <c r="CJ92" s="491"/>
      <c r="CK92" s="491"/>
      <c r="CL92" s="491"/>
      <c r="CM92" s="491"/>
      <c r="CN92" s="491"/>
      <c r="CO92" s="491"/>
      <c r="CP92" s="491"/>
      <c r="CQ92" s="491"/>
      <c r="CR92" s="491"/>
      <c r="CS92" s="491"/>
      <c r="CT92" s="491"/>
      <c r="CU92" s="491"/>
      <c r="CV92" s="491"/>
      <c r="CW92" s="491"/>
      <c r="CX92" s="491"/>
      <c r="CY92" s="491"/>
      <c r="CZ92" s="491"/>
      <c r="DA92" s="491"/>
      <c r="DB92" s="491"/>
      <c r="DC92" s="491"/>
      <c r="DD92" s="491"/>
      <c r="DE92" s="491"/>
      <c r="DF92" s="491"/>
      <c r="DG92" s="491"/>
      <c r="DH92" s="491"/>
      <c r="DI92" s="491"/>
      <c r="DJ92" s="491"/>
      <c r="DK92" s="491"/>
      <c r="DL92" s="491"/>
      <c r="DM92" s="491"/>
      <c r="DN92" s="491"/>
      <c r="DO92" s="491"/>
      <c r="DP92" s="491"/>
      <c r="DQ92" s="491"/>
      <c r="DR92" s="491"/>
      <c r="DS92" s="491"/>
      <c r="DT92" s="491"/>
      <c r="DU92" s="491"/>
      <c r="DV92" s="491"/>
      <c r="DW92" s="491"/>
      <c r="DX92" s="491"/>
      <c r="DY92" s="491"/>
      <c r="DZ92" s="491"/>
      <c r="EA92" s="491"/>
      <c r="EB92" s="491"/>
      <c r="EC92" s="491"/>
      <c r="ED92" s="491"/>
      <c r="EE92" s="491"/>
      <c r="EF92" s="491"/>
      <c r="EG92" s="491"/>
      <c r="EH92" s="491"/>
      <c r="EI92" s="491"/>
      <c r="EJ92" s="491"/>
      <c r="EK92" s="491"/>
      <c r="EL92" s="491"/>
      <c r="EM92" s="491"/>
      <c r="EN92" s="491"/>
      <c r="EO92" s="491"/>
      <c r="EP92" s="491"/>
      <c r="EQ92" s="491"/>
      <c r="ER92" s="491"/>
      <c r="ES92" s="491"/>
      <c r="ET92" s="491"/>
      <c r="EU92" s="491"/>
      <c r="EV92" s="491"/>
      <c r="EW92" s="491"/>
      <c r="EX92" s="491"/>
      <c r="EY92" s="491"/>
      <c r="EZ92" s="491"/>
      <c r="FA92" s="491"/>
      <c r="FB92" s="491"/>
      <c r="FC92" s="491"/>
      <c r="FD92" s="491"/>
      <c r="FE92" s="491"/>
      <c r="FF92" s="491"/>
      <c r="FG92" s="491"/>
      <c r="FH92" s="491"/>
      <c r="FI92" s="491"/>
      <c r="FJ92" s="491"/>
      <c r="FK92" s="491"/>
      <c r="FL92" s="491"/>
      <c r="FM92" s="491"/>
      <c r="FN92" s="491"/>
      <c r="FO92" s="491"/>
      <c r="FP92" s="491"/>
      <c r="FQ92" s="491"/>
      <c r="FR92" s="491"/>
      <c r="FS92" s="491"/>
      <c r="FT92" s="491"/>
      <c r="FU92" s="491"/>
      <c r="FV92" s="491"/>
      <c r="FW92" s="491"/>
      <c r="FX92" s="491"/>
      <c r="FY92" s="491"/>
      <c r="FZ92" s="491"/>
      <c r="GA92" s="491"/>
      <c r="GB92" s="491"/>
      <c r="GC92" s="491"/>
      <c r="GD92" s="491"/>
      <c r="GE92" s="491"/>
      <c r="GF92" s="491"/>
      <c r="GG92" s="491"/>
      <c r="GH92" s="491"/>
      <c r="GI92" s="491"/>
      <c r="GJ92" s="491"/>
      <c r="GK92" s="491"/>
      <c r="GL92" s="491"/>
      <c r="GM92" s="491"/>
      <c r="GN92" s="491"/>
      <c r="GO92" s="491"/>
      <c r="GP92" s="491"/>
      <c r="GQ92" s="491"/>
      <c r="GR92" s="491"/>
      <c r="GS92" s="491"/>
      <c r="GT92" s="491"/>
      <c r="GU92" s="491"/>
      <c r="GV92" s="491"/>
      <c r="GW92" s="491"/>
      <c r="GX92" s="491"/>
      <c r="GY92" s="491"/>
      <c r="GZ92" s="491"/>
      <c r="HA92" s="491"/>
      <c r="HB92" s="491"/>
      <c r="HC92" s="491"/>
      <c r="HD92" s="491"/>
      <c r="HE92" s="491"/>
      <c r="HF92" s="491"/>
      <c r="HG92" s="491"/>
      <c r="HH92" s="491"/>
      <c r="HI92" s="491"/>
      <c r="HJ92" s="491"/>
      <c r="HK92" s="491"/>
      <c r="HL92" s="491"/>
      <c r="HM92" s="491"/>
      <c r="HN92" s="491"/>
      <c r="HO92" s="491"/>
      <c r="HP92" s="491"/>
      <c r="HQ92" s="491"/>
      <c r="HR92" s="491"/>
      <c r="HS92" s="491"/>
      <c r="HT92" s="491"/>
      <c r="HU92" s="491"/>
      <c r="HV92" s="491"/>
      <c r="HW92" s="491"/>
      <c r="HX92" s="491"/>
      <c r="HY92" s="491"/>
      <c r="HZ92" s="491"/>
      <c r="IA92" s="491"/>
      <c r="IB92" s="491"/>
      <c r="IC92" s="491"/>
      <c r="ID92" s="491"/>
      <c r="IE92" s="491"/>
      <c r="IF92" s="491"/>
      <c r="IG92" s="491"/>
      <c r="IH92" s="491"/>
      <c r="II92" s="491"/>
      <c r="IJ92" s="491"/>
      <c r="IK92" s="491"/>
      <c r="IL92" s="491"/>
      <c r="IM92" s="491"/>
      <c r="IN92" s="491"/>
      <c r="IO92" s="491"/>
      <c r="IP92" s="491"/>
      <c r="IQ92" s="491"/>
      <c r="IR92" s="491"/>
      <c r="IS92" s="491"/>
      <c r="IT92" s="491"/>
      <c r="IU92" s="491"/>
      <c r="IV92" s="491"/>
    </row>
    <row r="93" spans="1:256" s="492" customFormat="1" ht="12" customHeight="1">
      <c r="A93" s="23"/>
      <c r="B93" s="34"/>
      <c r="C93" s="34"/>
      <c r="D93" s="501"/>
      <c r="E93" s="501"/>
      <c r="F93" s="501"/>
      <c r="G93" s="501"/>
      <c r="H93" s="501"/>
      <c r="I93" s="501"/>
      <c r="J93" s="501"/>
      <c r="K93" s="501"/>
      <c r="L93" s="501"/>
      <c r="M93" s="501"/>
      <c r="N93" s="501"/>
      <c r="O93" s="501"/>
      <c r="P93" s="501"/>
      <c r="Q93" s="501"/>
      <c r="R93" s="501"/>
      <c r="S93" s="501"/>
      <c r="T93" s="501"/>
      <c r="U93" s="501"/>
      <c r="V93" s="501"/>
      <c r="W93" s="501"/>
      <c r="X93" s="501"/>
      <c r="Y93" s="501"/>
      <c r="Z93" s="501"/>
      <c r="AA93" s="501"/>
      <c r="AB93" s="501"/>
      <c r="AC93" s="488"/>
      <c r="AD93" s="488"/>
      <c r="AE93" s="490"/>
      <c r="AF93" s="490"/>
      <c r="AG93" s="490"/>
      <c r="AH93" s="491"/>
      <c r="AI93" s="491"/>
      <c r="AJ93" s="491"/>
      <c r="AK93" s="491"/>
      <c r="AL93" s="491"/>
      <c r="AM93" s="491"/>
      <c r="AN93" s="491"/>
      <c r="AO93" s="491"/>
      <c r="AP93" s="491"/>
      <c r="AQ93" s="491"/>
      <c r="AR93" s="491"/>
      <c r="AS93" s="491"/>
      <c r="AT93" s="491"/>
      <c r="AU93" s="491"/>
      <c r="AV93" s="491"/>
      <c r="AW93" s="491"/>
      <c r="AX93" s="491"/>
      <c r="AY93" s="491"/>
      <c r="AZ93" s="491"/>
      <c r="BA93" s="491"/>
      <c r="BB93" s="491"/>
      <c r="BC93" s="491"/>
      <c r="BD93" s="491"/>
      <c r="BE93" s="491"/>
      <c r="BF93" s="491"/>
      <c r="BG93" s="491"/>
      <c r="BH93" s="491"/>
      <c r="BI93" s="491"/>
      <c r="BJ93" s="491"/>
      <c r="BK93" s="491"/>
      <c r="BL93" s="491"/>
      <c r="BM93" s="491"/>
      <c r="BN93" s="491"/>
      <c r="BO93" s="491"/>
      <c r="BP93" s="491"/>
      <c r="BQ93" s="491"/>
      <c r="BR93" s="491"/>
      <c r="BS93" s="491"/>
      <c r="BT93" s="491"/>
      <c r="BU93" s="491"/>
      <c r="BV93" s="491"/>
      <c r="BW93" s="491"/>
      <c r="BX93" s="491"/>
      <c r="BY93" s="491"/>
      <c r="BZ93" s="491"/>
      <c r="CA93" s="491"/>
      <c r="CB93" s="491"/>
      <c r="CC93" s="491"/>
      <c r="CD93" s="491"/>
      <c r="CE93" s="491"/>
      <c r="CF93" s="491"/>
      <c r="CG93" s="491"/>
      <c r="CH93" s="491"/>
      <c r="CI93" s="491"/>
      <c r="CJ93" s="491"/>
      <c r="CK93" s="491"/>
      <c r="CL93" s="491"/>
      <c r="CM93" s="491"/>
      <c r="CN93" s="491"/>
      <c r="CO93" s="491"/>
      <c r="CP93" s="491"/>
      <c r="CQ93" s="491"/>
      <c r="CR93" s="491"/>
      <c r="CS93" s="491"/>
      <c r="CT93" s="491"/>
      <c r="CU93" s="491"/>
      <c r="CV93" s="491"/>
      <c r="CW93" s="491"/>
      <c r="CX93" s="491"/>
      <c r="CY93" s="491"/>
      <c r="CZ93" s="491"/>
      <c r="DA93" s="491"/>
      <c r="DB93" s="491"/>
      <c r="DC93" s="491"/>
      <c r="DD93" s="491"/>
      <c r="DE93" s="491"/>
      <c r="DF93" s="491"/>
      <c r="DG93" s="491"/>
      <c r="DH93" s="491"/>
      <c r="DI93" s="491"/>
      <c r="DJ93" s="491"/>
      <c r="DK93" s="491"/>
      <c r="DL93" s="491"/>
      <c r="DM93" s="491"/>
      <c r="DN93" s="491"/>
      <c r="DO93" s="491"/>
      <c r="DP93" s="491"/>
      <c r="DQ93" s="491"/>
      <c r="DR93" s="491"/>
      <c r="DS93" s="491"/>
      <c r="DT93" s="491"/>
      <c r="DU93" s="491"/>
      <c r="DV93" s="491"/>
      <c r="DW93" s="491"/>
      <c r="DX93" s="491"/>
      <c r="DY93" s="491"/>
      <c r="DZ93" s="491"/>
      <c r="EA93" s="491"/>
      <c r="EB93" s="491"/>
      <c r="EC93" s="491"/>
      <c r="ED93" s="491"/>
      <c r="EE93" s="491"/>
      <c r="EF93" s="491"/>
      <c r="EG93" s="491"/>
      <c r="EH93" s="491"/>
      <c r="EI93" s="491"/>
      <c r="EJ93" s="491"/>
      <c r="EK93" s="491"/>
      <c r="EL93" s="491"/>
      <c r="EM93" s="491"/>
      <c r="EN93" s="491"/>
      <c r="EO93" s="491"/>
      <c r="EP93" s="491"/>
      <c r="EQ93" s="491"/>
      <c r="ER93" s="491"/>
      <c r="ES93" s="491"/>
      <c r="ET93" s="491"/>
      <c r="EU93" s="491"/>
      <c r="EV93" s="491"/>
      <c r="EW93" s="491"/>
      <c r="EX93" s="491"/>
      <c r="EY93" s="491"/>
      <c r="EZ93" s="491"/>
      <c r="FA93" s="491"/>
      <c r="FB93" s="491"/>
      <c r="FC93" s="491"/>
      <c r="FD93" s="491"/>
      <c r="FE93" s="491"/>
      <c r="FF93" s="491"/>
      <c r="FG93" s="491"/>
      <c r="FH93" s="491"/>
      <c r="FI93" s="491"/>
      <c r="FJ93" s="491"/>
      <c r="FK93" s="491"/>
      <c r="FL93" s="491"/>
      <c r="FM93" s="491"/>
      <c r="FN93" s="491"/>
      <c r="FO93" s="491"/>
      <c r="FP93" s="491"/>
      <c r="FQ93" s="491"/>
      <c r="FR93" s="491"/>
      <c r="FS93" s="491"/>
      <c r="FT93" s="491"/>
      <c r="FU93" s="491"/>
      <c r="FV93" s="491"/>
      <c r="FW93" s="491"/>
      <c r="FX93" s="491"/>
      <c r="FY93" s="491"/>
      <c r="FZ93" s="491"/>
      <c r="GA93" s="491"/>
      <c r="GB93" s="491"/>
      <c r="GC93" s="491"/>
      <c r="GD93" s="491"/>
      <c r="GE93" s="491"/>
      <c r="GF93" s="491"/>
      <c r="GG93" s="491"/>
      <c r="GH93" s="491"/>
      <c r="GI93" s="491"/>
      <c r="GJ93" s="491"/>
      <c r="GK93" s="491"/>
      <c r="GL93" s="491"/>
      <c r="GM93" s="491"/>
      <c r="GN93" s="491"/>
      <c r="GO93" s="491"/>
      <c r="GP93" s="491"/>
      <c r="GQ93" s="491"/>
      <c r="GR93" s="491"/>
      <c r="GS93" s="491"/>
      <c r="GT93" s="491"/>
      <c r="GU93" s="491"/>
      <c r="GV93" s="491"/>
      <c r="GW93" s="491"/>
      <c r="GX93" s="491"/>
      <c r="GY93" s="491"/>
      <c r="GZ93" s="491"/>
      <c r="HA93" s="491"/>
      <c r="HB93" s="491"/>
      <c r="HC93" s="491"/>
      <c r="HD93" s="491"/>
      <c r="HE93" s="491"/>
      <c r="HF93" s="491"/>
      <c r="HG93" s="491"/>
      <c r="HH93" s="491"/>
      <c r="HI93" s="491"/>
      <c r="HJ93" s="491"/>
      <c r="HK93" s="491"/>
      <c r="HL93" s="491"/>
      <c r="HM93" s="491"/>
      <c r="HN93" s="491"/>
      <c r="HO93" s="491"/>
      <c r="HP93" s="491"/>
      <c r="HQ93" s="491"/>
      <c r="HR93" s="491"/>
      <c r="HS93" s="491"/>
      <c r="HT93" s="491"/>
      <c r="HU93" s="491"/>
      <c r="HV93" s="491"/>
      <c r="HW93" s="491"/>
      <c r="HX93" s="491"/>
      <c r="HY93" s="491"/>
      <c r="HZ93" s="491"/>
      <c r="IA93" s="491"/>
      <c r="IB93" s="491"/>
      <c r="IC93" s="491"/>
      <c r="ID93" s="491"/>
      <c r="IE93" s="491"/>
      <c r="IF93" s="491"/>
      <c r="IG93" s="491"/>
      <c r="IH93" s="491"/>
      <c r="II93" s="491"/>
      <c r="IJ93" s="491"/>
      <c r="IK93" s="491"/>
      <c r="IL93" s="491"/>
      <c r="IM93" s="491"/>
      <c r="IN93" s="491"/>
      <c r="IO93" s="491"/>
      <c r="IP93" s="491"/>
      <c r="IQ93" s="491"/>
      <c r="IR93" s="491"/>
      <c r="IS93" s="491"/>
      <c r="IT93" s="491"/>
      <c r="IU93" s="491"/>
      <c r="IV93" s="491"/>
    </row>
    <row r="94" spans="1:256" s="492" customFormat="1" ht="12" customHeight="1">
      <c r="A94" s="239" t="s">
        <v>272</v>
      </c>
      <c r="B94" s="504">
        <f>MAX(B92,B87)</f>
        <v>295.00566591785872</v>
      </c>
      <c r="C94" s="504">
        <f t="shared" ref="C94:U94" si="23">MAX(C92,C87)</f>
        <v>295.61650492623687</v>
      </c>
      <c r="D94" s="504">
        <f t="shared" si="23"/>
        <v>296.2491704690438</v>
      </c>
      <c r="E94" s="504">
        <f t="shared" si="23"/>
        <v>547.93141162124391</v>
      </c>
      <c r="F94" s="504">
        <f t="shared" si="23"/>
        <v>614.5202153992883</v>
      </c>
      <c r="G94" s="504">
        <f t="shared" si="23"/>
        <v>638.35804557880249</v>
      </c>
      <c r="H94" s="504">
        <f t="shared" si="23"/>
        <v>661.87892094326878</v>
      </c>
      <c r="I94" s="504">
        <f t="shared" si="23"/>
        <v>688.14368095618761</v>
      </c>
      <c r="J94" s="504">
        <f t="shared" si="23"/>
        <v>721.22011134281081</v>
      </c>
      <c r="K94" s="504">
        <f t="shared" si="23"/>
        <v>757.94801640774506</v>
      </c>
      <c r="L94" s="504">
        <f t="shared" si="23"/>
        <v>784.39376768472926</v>
      </c>
      <c r="M94" s="504">
        <f t="shared" si="23"/>
        <v>817.9336071015565</v>
      </c>
      <c r="N94" s="504">
        <f t="shared" si="23"/>
        <v>855.31990403451414</v>
      </c>
      <c r="O94" s="504">
        <f t="shared" si="23"/>
        <v>894.54238236948413</v>
      </c>
      <c r="P94" s="504">
        <f t="shared" si="23"/>
        <v>936.59233812767775</v>
      </c>
      <c r="Q94" s="504">
        <f t="shared" si="23"/>
        <v>975.82970417773265</v>
      </c>
      <c r="R94" s="504">
        <f t="shared" si="23"/>
        <v>1016.2847048057317</v>
      </c>
      <c r="S94" s="504">
        <f t="shared" si="23"/>
        <v>1062.1296785588213</v>
      </c>
      <c r="T94" s="504">
        <f t="shared" si="23"/>
        <v>1114.5040717248385</v>
      </c>
      <c r="U94" s="504">
        <f t="shared" si="23"/>
        <v>1167.9225727385788</v>
      </c>
      <c r="V94" s="501"/>
      <c r="W94" s="501"/>
      <c r="X94" s="501"/>
      <c r="Y94" s="501"/>
      <c r="Z94" s="501"/>
      <c r="AA94" s="501"/>
      <c r="AB94" s="501"/>
      <c r="AC94" s="488"/>
      <c r="AD94" s="488"/>
      <c r="AE94" s="490"/>
      <c r="AF94" s="490"/>
      <c r="AG94" s="490"/>
      <c r="AH94" s="491"/>
      <c r="AI94" s="491"/>
      <c r="AJ94" s="491"/>
      <c r="AK94" s="491"/>
      <c r="AL94" s="491"/>
      <c r="AM94" s="491"/>
      <c r="AN94" s="491"/>
      <c r="AO94" s="491"/>
      <c r="AP94" s="491"/>
      <c r="AQ94" s="491"/>
      <c r="AR94" s="491"/>
      <c r="AS94" s="491"/>
      <c r="AT94" s="491"/>
      <c r="AU94" s="491"/>
      <c r="AV94" s="491"/>
      <c r="AW94" s="491"/>
      <c r="AX94" s="491"/>
      <c r="AY94" s="491"/>
      <c r="AZ94" s="491"/>
      <c r="BA94" s="491"/>
      <c r="BB94" s="491"/>
      <c r="BC94" s="491"/>
      <c r="BD94" s="491"/>
      <c r="BE94" s="491"/>
      <c r="BF94" s="491"/>
      <c r="BG94" s="491"/>
      <c r="BH94" s="491"/>
      <c r="BI94" s="491"/>
      <c r="BJ94" s="491"/>
      <c r="BK94" s="491"/>
      <c r="BL94" s="491"/>
      <c r="BM94" s="491"/>
      <c r="BN94" s="491"/>
      <c r="BO94" s="491"/>
      <c r="BP94" s="491"/>
      <c r="BQ94" s="491"/>
      <c r="BR94" s="491"/>
      <c r="BS94" s="491"/>
      <c r="BT94" s="491"/>
      <c r="BU94" s="491"/>
      <c r="BV94" s="491"/>
      <c r="BW94" s="491"/>
      <c r="BX94" s="491"/>
      <c r="BY94" s="491"/>
      <c r="BZ94" s="491"/>
      <c r="CA94" s="491"/>
      <c r="CB94" s="491"/>
      <c r="CC94" s="491"/>
      <c r="CD94" s="491"/>
      <c r="CE94" s="491"/>
      <c r="CF94" s="491"/>
      <c r="CG94" s="491"/>
      <c r="CH94" s="491"/>
      <c r="CI94" s="491"/>
      <c r="CJ94" s="491"/>
      <c r="CK94" s="491"/>
      <c r="CL94" s="491"/>
      <c r="CM94" s="491"/>
      <c r="CN94" s="491"/>
      <c r="CO94" s="491"/>
      <c r="CP94" s="491"/>
      <c r="CQ94" s="491"/>
      <c r="CR94" s="491"/>
      <c r="CS94" s="491"/>
      <c r="CT94" s="491"/>
      <c r="CU94" s="491"/>
      <c r="CV94" s="491"/>
      <c r="CW94" s="491"/>
      <c r="CX94" s="491"/>
      <c r="CY94" s="491"/>
      <c r="CZ94" s="491"/>
      <c r="DA94" s="491"/>
      <c r="DB94" s="491"/>
      <c r="DC94" s="491"/>
      <c r="DD94" s="491"/>
      <c r="DE94" s="491"/>
      <c r="DF94" s="491"/>
      <c r="DG94" s="491"/>
      <c r="DH94" s="491"/>
      <c r="DI94" s="491"/>
      <c r="DJ94" s="491"/>
      <c r="DK94" s="491"/>
      <c r="DL94" s="491"/>
      <c r="DM94" s="491"/>
      <c r="DN94" s="491"/>
      <c r="DO94" s="491"/>
      <c r="DP94" s="491"/>
      <c r="DQ94" s="491"/>
      <c r="DR94" s="491"/>
      <c r="DS94" s="491"/>
      <c r="DT94" s="491"/>
      <c r="DU94" s="491"/>
      <c r="DV94" s="491"/>
      <c r="DW94" s="491"/>
      <c r="DX94" s="491"/>
      <c r="DY94" s="491"/>
      <c r="DZ94" s="491"/>
      <c r="EA94" s="491"/>
      <c r="EB94" s="491"/>
      <c r="EC94" s="491"/>
      <c r="ED94" s="491"/>
      <c r="EE94" s="491"/>
      <c r="EF94" s="491"/>
      <c r="EG94" s="491"/>
      <c r="EH94" s="491"/>
      <c r="EI94" s="491"/>
      <c r="EJ94" s="491"/>
      <c r="EK94" s="491"/>
      <c r="EL94" s="491"/>
      <c r="EM94" s="491"/>
      <c r="EN94" s="491"/>
      <c r="EO94" s="491"/>
      <c r="EP94" s="491"/>
      <c r="EQ94" s="491"/>
      <c r="ER94" s="491"/>
      <c r="ES94" s="491"/>
      <c r="ET94" s="491"/>
      <c r="EU94" s="491"/>
      <c r="EV94" s="491"/>
      <c r="EW94" s="491"/>
      <c r="EX94" s="491"/>
      <c r="EY94" s="491"/>
      <c r="EZ94" s="491"/>
      <c r="FA94" s="491"/>
      <c r="FB94" s="491"/>
      <c r="FC94" s="491"/>
      <c r="FD94" s="491"/>
      <c r="FE94" s="491"/>
      <c r="FF94" s="491"/>
      <c r="FG94" s="491"/>
      <c r="FH94" s="491"/>
      <c r="FI94" s="491"/>
      <c r="FJ94" s="491"/>
      <c r="FK94" s="491"/>
      <c r="FL94" s="491"/>
      <c r="FM94" s="491"/>
      <c r="FN94" s="491"/>
      <c r="FO94" s="491"/>
      <c r="FP94" s="491"/>
      <c r="FQ94" s="491"/>
      <c r="FR94" s="491"/>
      <c r="FS94" s="491"/>
      <c r="FT94" s="491"/>
      <c r="FU94" s="491"/>
      <c r="FV94" s="491"/>
      <c r="FW94" s="491"/>
      <c r="FX94" s="491"/>
      <c r="FY94" s="491"/>
      <c r="FZ94" s="491"/>
      <c r="GA94" s="491"/>
      <c r="GB94" s="491"/>
      <c r="GC94" s="491"/>
      <c r="GD94" s="491"/>
      <c r="GE94" s="491"/>
      <c r="GF94" s="491"/>
      <c r="GG94" s="491"/>
      <c r="GH94" s="491"/>
      <c r="GI94" s="491"/>
      <c r="GJ94" s="491"/>
      <c r="GK94" s="491"/>
      <c r="GL94" s="491"/>
      <c r="GM94" s="491"/>
      <c r="GN94" s="491"/>
      <c r="GO94" s="491"/>
      <c r="GP94" s="491"/>
      <c r="GQ94" s="491"/>
      <c r="GR94" s="491"/>
      <c r="GS94" s="491"/>
      <c r="GT94" s="491"/>
      <c r="GU94" s="491"/>
      <c r="GV94" s="491"/>
      <c r="GW94" s="491"/>
      <c r="GX94" s="491"/>
      <c r="GY94" s="491"/>
      <c r="GZ94" s="491"/>
      <c r="HA94" s="491"/>
      <c r="HB94" s="491"/>
      <c r="HC94" s="491"/>
      <c r="HD94" s="491"/>
      <c r="HE94" s="491"/>
      <c r="HF94" s="491"/>
      <c r="HG94" s="491"/>
      <c r="HH94" s="491"/>
      <c r="HI94" s="491"/>
      <c r="HJ94" s="491"/>
      <c r="HK94" s="491"/>
      <c r="HL94" s="491"/>
      <c r="HM94" s="491"/>
      <c r="HN94" s="491"/>
      <c r="HO94" s="491"/>
      <c r="HP94" s="491"/>
      <c r="HQ94" s="491"/>
      <c r="HR94" s="491"/>
      <c r="HS94" s="491"/>
      <c r="HT94" s="491"/>
      <c r="HU94" s="491"/>
      <c r="HV94" s="491"/>
      <c r="HW94" s="491"/>
      <c r="HX94" s="491"/>
      <c r="HY94" s="491"/>
      <c r="HZ94" s="491"/>
      <c r="IA94" s="491"/>
      <c r="IB94" s="491"/>
      <c r="IC94" s="491"/>
      <c r="ID94" s="491"/>
      <c r="IE94" s="491"/>
      <c r="IF94" s="491"/>
      <c r="IG94" s="491"/>
      <c r="IH94" s="491"/>
      <c r="II94" s="491"/>
      <c r="IJ94" s="491"/>
      <c r="IK94" s="491"/>
      <c r="IL94" s="491"/>
      <c r="IM94" s="491"/>
      <c r="IN94" s="491"/>
      <c r="IO94" s="491"/>
      <c r="IP94" s="491"/>
      <c r="IQ94" s="491"/>
      <c r="IR94" s="491"/>
      <c r="IS94" s="491"/>
      <c r="IT94" s="491"/>
      <c r="IU94" s="491"/>
      <c r="IV94" s="491"/>
    </row>
    <row r="95" spans="1:256" s="492" customFormat="1" ht="12" customHeight="1">
      <c r="A95" s="498"/>
      <c r="B95" s="34"/>
      <c r="C95" s="34"/>
      <c r="D95" s="501"/>
      <c r="E95" s="501"/>
      <c r="F95" s="501"/>
      <c r="G95" s="501"/>
      <c r="H95" s="501"/>
      <c r="I95" s="501"/>
      <c r="J95" s="501"/>
      <c r="K95" s="501"/>
      <c r="L95" s="501"/>
      <c r="M95" s="501"/>
      <c r="N95" s="501"/>
      <c r="O95" s="501"/>
      <c r="P95" s="501"/>
      <c r="Q95" s="501"/>
      <c r="R95" s="501"/>
      <c r="S95" s="501"/>
      <c r="T95" s="501"/>
      <c r="U95" s="501"/>
      <c r="V95" s="501"/>
      <c r="W95" s="501"/>
      <c r="X95" s="501"/>
      <c r="Y95" s="501"/>
      <c r="Z95" s="501"/>
      <c r="AA95" s="501"/>
      <c r="AB95" s="501"/>
      <c r="AC95" s="488"/>
      <c r="AD95" s="488"/>
      <c r="AE95" s="490"/>
      <c r="AF95" s="490"/>
      <c r="AG95" s="490"/>
      <c r="AH95" s="491"/>
      <c r="AI95" s="491"/>
      <c r="AJ95" s="491"/>
      <c r="AK95" s="491"/>
      <c r="AL95" s="491"/>
      <c r="AM95" s="491"/>
      <c r="AN95" s="491"/>
      <c r="AO95" s="491"/>
      <c r="AP95" s="491"/>
      <c r="AQ95" s="491"/>
      <c r="AR95" s="491"/>
      <c r="AS95" s="491"/>
      <c r="AT95" s="491"/>
      <c r="AU95" s="491"/>
      <c r="AV95" s="491"/>
      <c r="AW95" s="491"/>
      <c r="AX95" s="491"/>
      <c r="AY95" s="491"/>
      <c r="AZ95" s="491"/>
      <c r="BA95" s="491"/>
      <c r="BB95" s="491"/>
      <c r="BC95" s="491"/>
      <c r="BD95" s="491"/>
      <c r="BE95" s="491"/>
      <c r="BF95" s="491"/>
      <c r="BG95" s="491"/>
      <c r="BH95" s="491"/>
      <c r="BI95" s="491"/>
      <c r="BJ95" s="491"/>
      <c r="BK95" s="491"/>
      <c r="BL95" s="491"/>
      <c r="BM95" s="491"/>
      <c r="BN95" s="491"/>
      <c r="BO95" s="491"/>
      <c r="BP95" s="491"/>
      <c r="BQ95" s="491"/>
      <c r="BR95" s="491"/>
      <c r="BS95" s="491"/>
      <c r="BT95" s="491"/>
      <c r="BU95" s="491"/>
      <c r="BV95" s="491"/>
      <c r="BW95" s="491"/>
      <c r="BX95" s="491"/>
      <c r="BY95" s="491"/>
      <c r="BZ95" s="491"/>
      <c r="CA95" s="491"/>
      <c r="CB95" s="491"/>
      <c r="CC95" s="491"/>
      <c r="CD95" s="491"/>
      <c r="CE95" s="491"/>
      <c r="CF95" s="491"/>
      <c r="CG95" s="491"/>
      <c r="CH95" s="491"/>
      <c r="CI95" s="491"/>
      <c r="CJ95" s="491"/>
      <c r="CK95" s="491"/>
      <c r="CL95" s="491"/>
      <c r="CM95" s="491"/>
      <c r="CN95" s="491"/>
      <c r="CO95" s="491"/>
      <c r="CP95" s="491"/>
      <c r="CQ95" s="491"/>
      <c r="CR95" s="491"/>
      <c r="CS95" s="491"/>
      <c r="CT95" s="491"/>
      <c r="CU95" s="491"/>
      <c r="CV95" s="491"/>
      <c r="CW95" s="491"/>
      <c r="CX95" s="491"/>
      <c r="CY95" s="491"/>
      <c r="CZ95" s="491"/>
      <c r="DA95" s="491"/>
      <c r="DB95" s="491"/>
      <c r="DC95" s="491"/>
      <c r="DD95" s="491"/>
      <c r="DE95" s="491"/>
      <c r="DF95" s="491"/>
      <c r="DG95" s="491"/>
      <c r="DH95" s="491"/>
      <c r="DI95" s="491"/>
      <c r="DJ95" s="491"/>
      <c r="DK95" s="491"/>
      <c r="DL95" s="491"/>
      <c r="DM95" s="491"/>
      <c r="DN95" s="491"/>
      <c r="DO95" s="491"/>
      <c r="DP95" s="491"/>
      <c r="DQ95" s="491"/>
      <c r="DR95" s="491"/>
      <c r="DS95" s="491"/>
      <c r="DT95" s="491"/>
      <c r="DU95" s="491"/>
      <c r="DV95" s="491"/>
      <c r="DW95" s="491"/>
      <c r="DX95" s="491"/>
      <c r="DY95" s="491"/>
      <c r="DZ95" s="491"/>
      <c r="EA95" s="491"/>
      <c r="EB95" s="491"/>
      <c r="EC95" s="491"/>
      <c r="ED95" s="491"/>
      <c r="EE95" s="491"/>
      <c r="EF95" s="491"/>
      <c r="EG95" s="491"/>
      <c r="EH95" s="491"/>
      <c r="EI95" s="491"/>
      <c r="EJ95" s="491"/>
      <c r="EK95" s="491"/>
      <c r="EL95" s="491"/>
      <c r="EM95" s="491"/>
      <c r="EN95" s="491"/>
      <c r="EO95" s="491"/>
      <c r="EP95" s="491"/>
      <c r="EQ95" s="491"/>
      <c r="ER95" s="491"/>
      <c r="ES95" s="491"/>
      <c r="ET95" s="491"/>
      <c r="EU95" s="491"/>
      <c r="EV95" s="491"/>
      <c r="EW95" s="491"/>
      <c r="EX95" s="491"/>
      <c r="EY95" s="491"/>
      <c r="EZ95" s="491"/>
      <c r="FA95" s="491"/>
      <c r="FB95" s="491"/>
      <c r="FC95" s="491"/>
      <c r="FD95" s="491"/>
      <c r="FE95" s="491"/>
      <c r="FF95" s="491"/>
      <c r="FG95" s="491"/>
      <c r="FH95" s="491"/>
      <c r="FI95" s="491"/>
      <c r="FJ95" s="491"/>
      <c r="FK95" s="491"/>
      <c r="FL95" s="491"/>
      <c r="FM95" s="491"/>
      <c r="FN95" s="491"/>
      <c r="FO95" s="491"/>
      <c r="FP95" s="491"/>
      <c r="FQ95" s="491"/>
      <c r="FR95" s="491"/>
      <c r="FS95" s="491"/>
      <c r="FT95" s="491"/>
      <c r="FU95" s="491"/>
      <c r="FV95" s="491"/>
      <c r="FW95" s="491"/>
      <c r="FX95" s="491"/>
      <c r="FY95" s="491"/>
      <c r="FZ95" s="491"/>
      <c r="GA95" s="491"/>
      <c r="GB95" s="491"/>
      <c r="GC95" s="491"/>
      <c r="GD95" s="491"/>
      <c r="GE95" s="491"/>
      <c r="GF95" s="491"/>
      <c r="GG95" s="491"/>
      <c r="GH95" s="491"/>
      <c r="GI95" s="491"/>
      <c r="GJ95" s="491"/>
      <c r="GK95" s="491"/>
      <c r="GL95" s="491"/>
      <c r="GM95" s="491"/>
      <c r="GN95" s="491"/>
      <c r="GO95" s="491"/>
      <c r="GP95" s="491"/>
      <c r="GQ95" s="491"/>
      <c r="GR95" s="491"/>
      <c r="GS95" s="491"/>
      <c r="GT95" s="491"/>
      <c r="GU95" s="491"/>
      <c r="GV95" s="491"/>
      <c r="GW95" s="491"/>
      <c r="GX95" s="491"/>
      <c r="GY95" s="491"/>
      <c r="GZ95" s="491"/>
      <c r="HA95" s="491"/>
      <c r="HB95" s="491"/>
      <c r="HC95" s="491"/>
      <c r="HD95" s="491"/>
      <c r="HE95" s="491"/>
      <c r="HF95" s="491"/>
      <c r="HG95" s="491"/>
      <c r="HH95" s="491"/>
      <c r="HI95" s="491"/>
      <c r="HJ95" s="491"/>
      <c r="HK95" s="491"/>
      <c r="HL95" s="491"/>
      <c r="HM95" s="491"/>
      <c r="HN95" s="491"/>
      <c r="HO95" s="491"/>
      <c r="HP95" s="491"/>
      <c r="HQ95" s="491"/>
      <c r="HR95" s="491"/>
      <c r="HS95" s="491"/>
      <c r="HT95" s="491"/>
      <c r="HU95" s="491"/>
      <c r="HV95" s="491"/>
      <c r="HW95" s="491"/>
      <c r="HX95" s="491"/>
      <c r="HY95" s="491"/>
      <c r="HZ95" s="491"/>
      <c r="IA95" s="491"/>
      <c r="IB95" s="491"/>
      <c r="IC95" s="491"/>
      <c r="ID95" s="491"/>
      <c r="IE95" s="491"/>
      <c r="IF95" s="491"/>
      <c r="IG95" s="491"/>
      <c r="IH95" s="491"/>
      <c r="II95" s="491"/>
      <c r="IJ95" s="491"/>
      <c r="IK95" s="491"/>
      <c r="IL95" s="491"/>
      <c r="IM95" s="491"/>
      <c r="IN95" s="491"/>
      <c r="IO95" s="491"/>
      <c r="IP95" s="491"/>
      <c r="IQ95" s="491"/>
      <c r="IR95" s="491"/>
      <c r="IS95" s="491"/>
      <c r="IT95" s="491"/>
      <c r="IU95" s="491"/>
      <c r="IV95" s="491"/>
    </row>
    <row r="96" spans="1:256" s="489" customFormat="1" ht="12" customHeight="1">
      <c r="A96" s="487"/>
      <c r="B96" s="488"/>
      <c r="C96" s="488"/>
      <c r="D96" s="488"/>
      <c r="E96" s="488"/>
      <c r="F96" s="488"/>
      <c r="G96" s="488"/>
      <c r="H96" s="488"/>
      <c r="I96" s="488"/>
      <c r="J96" s="488"/>
      <c r="K96" s="488"/>
      <c r="L96" s="488"/>
      <c r="M96" s="488"/>
      <c r="N96" s="488"/>
      <c r="O96" s="488"/>
      <c r="P96" s="488"/>
      <c r="Q96" s="488"/>
      <c r="R96" s="488"/>
      <c r="S96" s="488"/>
      <c r="T96" s="488"/>
      <c r="U96" s="488"/>
      <c r="V96" s="488"/>
      <c r="W96" s="488"/>
      <c r="X96" s="488"/>
      <c r="Y96" s="488"/>
      <c r="Z96" s="488"/>
      <c r="AA96" s="488"/>
      <c r="AB96" s="488"/>
      <c r="AC96" s="488"/>
      <c r="AD96" s="488"/>
      <c r="AE96" s="16"/>
      <c r="AF96" s="16"/>
      <c r="AG96" s="16"/>
    </row>
    <row r="97" spans="1:33" s="489" customFormat="1" ht="12" customHeight="1">
      <c r="A97" s="237" t="s">
        <v>112</v>
      </c>
      <c r="B97" s="488"/>
      <c r="C97" s="488"/>
      <c r="D97" s="488"/>
      <c r="E97" s="488"/>
      <c r="F97" s="488"/>
      <c r="G97" s="488"/>
      <c r="H97" s="488"/>
      <c r="I97" s="488"/>
      <c r="J97" s="488"/>
      <c r="K97" s="488"/>
      <c r="L97" s="488"/>
      <c r="M97" s="488"/>
      <c r="N97" s="488"/>
      <c r="O97" s="488"/>
      <c r="P97" s="488"/>
      <c r="Q97" s="488"/>
      <c r="R97" s="488"/>
      <c r="S97" s="488"/>
      <c r="T97" s="488"/>
      <c r="U97" s="488"/>
      <c r="V97" s="488"/>
      <c r="W97" s="488"/>
      <c r="X97" s="488"/>
      <c r="Y97" s="488"/>
      <c r="Z97" s="488"/>
      <c r="AA97" s="488"/>
      <c r="AB97" s="488"/>
      <c r="AC97" s="488"/>
      <c r="AD97" s="488"/>
      <c r="AE97" s="16"/>
      <c r="AF97" s="16"/>
      <c r="AG97" s="16"/>
    </row>
    <row r="98" spans="1:33" s="489" customFormat="1" ht="12" customHeight="1">
      <c r="A98" s="237"/>
      <c r="B98" s="488"/>
      <c r="C98" s="488"/>
      <c r="D98" s="488"/>
      <c r="E98" s="488"/>
      <c r="F98" s="488"/>
      <c r="G98" s="488"/>
      <c r="H98" s="488"/>
      <c r="I98" s="488"/>
      <c r="J98" s="488"/>
      <c r="K98" s="488"/>
      <c r="L98" s="488"/>
      <c r="M98" s="488"/>
      <c r="N98" s="488"/>
      <c r="O98" s="488"/>
      <c r="P98" s="488"/>
      <c r="Q98" s="488"/>
      <c r="R98" s="488"/>
      <c r="S98" s="488"/>
      <c r="T98" s="488"/>
      <c r="U98" s="488"/>
      <c r="V98" s="488"/>
      <c r="W98" s="488"/>
      <c r="X98" s="488"/>
      <c r="Y98" s="488"/>
      <c r="Z98" s="488"/>
      <c r="AA98" s="488"/>
      <c r="AB98" s="488"/>
      <c r="AC98" s="488"/>
      <c r="AD98" s="488"/>
      <c r="AE98" s="16"/>
      <c r="AF98" s="16"/>
      <c r="AG98" s="16"/>
    </row>
    <row r="99" spans="1:33" outlineLevel="1">
      <c r="A99" s="23" t="s">
        <v>182</v>
      </c>
      <c r="B99" s="22">
        <f>B44</f>
        <v>3751.9286696775926</v>
      </c>
      <c r="C99" s="22">
        <f t="shared" ref="C99:U99" si="24">C44</f>
        <v>3929.2430597721086</v>
      </c>
      <c r="D99" s="22">
        <f t="shared" si="24"/>
        <v>4183.356621248211</v>
      </c>
      <c r="E99" s="22">
        <f t="shared" si="24"/>
        <v>16115.629753565998</v>
      </c>
      <c r="F99" s="22">
        <f t="shared" si="24"/>
        <v>18074.123982332007</v>
      </c>
      <c r="G99" s="22">
        <f t="shared" si="24"/>
        <v>18775.236634670659</v>
      </c>
      <c r="H99" s="22">
        <f t="shared" si="24"/>
        <v>19467.027086566726</v>
      </c>
      <c r="I99" s="22">
        <f t="shared" si="24"/>
        <v>20239.520028123163</v>
      </c>
      <c r="J99" s="22">
        <f t="shared" si="24"/>
        <v>21212.356215965021</v>
      </c>
      <c r="K99" s="22">
        <f t="shared" si="24"/>
        <v>22292.588717874853</v>
      </c>
      <c r="L99" s="22">
        <f t="shared" si="24"/>
        <v>23070.404931903799</v>
      </c>
      <c r="M99" s="22">
        <f t="shared" si="24"/>
        <v>24056.870797104602</v>
      </c>
      <c r="N99" s="22">
        <f t="shared" si="24"/>
        <v>25156.467765721001</v>
      </c>
      <c r="O99" s="22">
        <f t="shared" si="24"/>
        <v>26310.070069690708</v>
      </c>
      <c r="P99" s="22">
        <f t="shared" si="24"/>
        <v>27546.833474343461</v>
      </c>
      <c r="Q99" s="22">
        <f t="shared" si="24"/>
        <v>28700.873652286253</v>
      </c>
      <c r="R99" s="22">
        <f t="shared" si="24"/>
        <v>29890.726611933285</v>
      </c>
      <c r="S99" s="22">
        <f t="shared" si="24"/>
        <v>31239.108192906504</v>
      </c>
      <c r="T99" s="22">
        <f t="shared" si="24"/>
        <v>32779.531521318779</v>
      </c>
      <c r="U99" s="22">
        <f t="shared" si="24"/>
        <v>34350.663904075845</v>
      </c>
      <c r="W99" s="483">
        <f>SUM(B99:U99)</f>
        <v>431142.56169108051</v>
      </c>
    </row>
    <row r="100" spans="1:33" outlineLevel="1">
      <c r="A100" s="23" t="s">
        <v>183</v>
      </c>
      <c r="B100" s="22">
        <f>B38</f>
        <v>5720.977398884711</v>
      </c>
      <c r="C100" s="22">
        <f t="shared" ref="C100:U100" si="25">C38</f>
        <v>5720.977398884711</v>
      </c>
      <c r="D100" s="22">
        <f t="shared" si="25"/>
        <v>5720.977398884711</v>
      </c>
      <c r="E100" s="22">
        <f t="shared" si="25"/>
        <v>5720.977398884711</v>
      </c>
      <c r="F100" s="22">
        <f t="shared" si="25"/>
        <v>5720.977398884711</v>
      </c>
      <c r="G100" s="22">
        <f t="shared" si="25"/>
        <v>5720.977398884711</v>
      </c>
      <c r="H100" s="22">
        <f t="shared" si="25"/>
        <v>5720.977398884711</v>
      </c>
      <c r="I100" s="22">
        <f t="shared" si="25"/>
        <v>5720.977398884711</v>
      </c>
      <c r="J100" s="22">
        <f t="shared" si="25"/>
        <v>5720.977398884711</v>
      </c>
      <c r="K100" s="22">
        <f t="shared" si="25"/>
        <v>5720.977398884711</v>
      </c>
      <c r="L100" s="22">
        <f t="shared" si="25"/>
        <v>5720.977398884711</v>
      </c>
      <c r="M100" s="22">
        <f t="shared" si="25"/>
        <v>5720.977398884711</v>
      </c>
      <c r="N100" s="22">
        <f t="shared" si="25"/>
        <v>5720.977398884711</v>
      </c>
      <c r="O100" s="22">
        <f t="shared" si="25"/>
        <v>5720.977398884711</v>
      </c>
      <c r="P100" s="22">
        <f t="shared" si="25"/>
        <v>5720.977398884711</v>
      </c>
      <c r="Q100" s="22">
        <f t="shared" si="25"/>
        <v>5720.977398884711</v>
      </c>
      <c r="R100" s="22">
        <f t="shared" si="25"/>
        <v>5720.977398884711</v>
      </c>
      <c r="S100" s="22">
        <f t="shared" si="25"/>
        <v>5720.977398884711</v>
      </c>
      <c r="T100" s="22">
        <f t="shared" si="25"/>
        <v>5720.977398884711</v>
      </c>
      <c r="U100" s="22">
        <f t="shared" si="25"/>
        <v>5720.977398884711</v>
      </c>
      <c r="W100" s="483">
        <f>SUM(B100:U100)</f>
        <v>114419.54797769424</v>
      </c>
    </row>
    <row r="101" spans="1:33" ht="15" outlineLevel="1">
      <c r="A101" s="23" t="s">
        <v>308</v>
      </c>
      <c r="B101" s="240">
        <f>-Depreciation!C93-Depreciation!C112*Allocation!$F$13</f>
        <v>-9534.9623314745168</v>
      </c>
      <c r="C101" s="240">
        <f>-Depreciation!D93-Depreciation!D112*Allocation!$F$13</f>
        <v>-18116.428429801581</v>
      </c>
      <c r="D101" s="240">
        <f>-Depreciation!E93-Depreciation!E112*Allocation!$F$13</f>
        <v>-16304.785586821425</v>
      </c>
      <c r="E101" s="240">
        <f>-Depreciation!F93-Depreciation!F112*Allocation!$F$13</f>
        <v>-14683.841990470757</v>
      </c>
      <c r="F101" s="240">
        <f>-Depreciation!G93-Depreciation!G112*Allocation!$F$13</f>
        <v>-13215.457791423682</v>
      </c>
      <c r="G101" s="240">
        <f>-Depreciation!H93-Depreciation!H112*Allocation!$F$13</f>
        <v>-11880.563065017248</v>
      </c>
      <c r="H101" s="240">
        <f>-Depreciation!I93-Depreciation!I112*Allocation!$F$13</f>
        <v>-11251.25555113993</v>
      </c>
      <c r="I101" s="240">
        <f>-Depreciation!J93-Depreciation!J112*Allocation!$F$13</f>
        <v>-11270.32547580288</v>
      </c>
      <c r="J101" s="240">
        <f>-Depreciation!K93-Depreciation!K112*Allocation!$F$13</f>
        <v>-11251.25555113993</v>
      </c>
      <c r="K101" s="240">
        <f>-Depreciation!L93-Depreciation!L112*Allocation!$F$13</f>
        <v>-11270.32547580288</v>
      </c>
      <c r="L101" s="240">
        <f>-Depreciation!M93-Depreciation!M112*Allocation!$F$13</f>
        <v>-11251.25555113993</v>
      </c>
      <c r="M101" s="240">
        <f>-Depreciation!N93-Depreciation!N112*Allocation!$F$13</f>
        <v>-11270.32547580288</v>
      </c>
      <c r="N101" s="240">
        <f>-Depreciation!O93-Depreciation!O112*Allocation!$F$13</f>
        <v>-11251.25555113993</v>
      </c>
      <c r="O101" s="240">
        <f>-Depreciation!P93-Depreciation!P112*Allocation!$F$13</f>
        <v>-11270.32547580288</v>
      </c>
      <c r="P101" s="240">
        <f>-Depreciation!Q93-Depreciation!Q112*Allocation!$F$13</f>
        <v>-11251.25555113993</v>
      </c>
      <c r="Q101" s="240">
        <f>-Depreciation!R93-Depreciation!R112*Allocation!$F$13</f>
        <v>-5625.6277755699648</v>
      </c>
      <c r="R101" s="240">
        <f>-Depreciation!S93-Depreciation!S112*Allocation!$F$13</f>
        <v>0</v>
      </c>
      <c r="S101" s="240">
        <f>-Depreciation!T93-Depreciation!T112*Allocation!$F$13</f>
        <v>0</v>
      </c>
      <c r="T101" s="240">
        <f>-Depreciation!U93-Depreciation!U112*Allocation!$F$13</f>
        <v>0</v>
      </c>
      <c r="U101" s="240">
        <f>-Depreciation!V93-Depreciation!V112*Allocation!$F$13</f>
        <v>0</v>
      </c>
      <c r="W101" s="484">
        <f>SUM(B101:U101)</f>
        <v>-190699.24662949037</v>
      </c>
    </row>
    <row r="102" spans="1:33" outlineLevel="1">
      <c r="A102" s="239" t="s">
        <v>181</v>
      </c>
      <c r="B102" s="24">
        <f t="shared" ref="B102:U102" si="26">SUM(B99:B101)</f>
        <v>-62.056262912212333</v>
      </c>
      <c r="C102" s="24">
        <f t="shared" si="26"/>
        <v>-8466.2079711447623</v>
      </c>
      <c r="D102" s="24">
        <f t="shared" si="26"/>
        <v>-6400.4515666885018</v>
      </c>
      <c r="E102" s="24">
        <f t="shared" si="26"/>
        <v>7152.7651619799526</v>
      </c>
      <c r="F102" s="24">
        <f t="shared" si="26"/>
        <v>10579.643589793037</v>
      </c>
      <c r="G102" s="24">
        <f t="shared" si="26"/>
        <v>12615.650968538122</v>
      </c>
      <c r="H102" s="24">
        <f t="shared" si="26"/>
        <v>13936.748934311508</v>
      </c>
      <c r="I102" s="24">
        <f t="shared" si="26"/>
        <v>14690.171951204995</v>
      </c>
      <c r="J102" s="24">
        <f t="shared" si="26"/>
        <v>15682.078063709803</v>
      </c>
      <c r="K102" s="24">
        <f t="shared" si="26"/>
        <v>16743.240640956683</v>
      </c>
      <c r="L102" s="24">
        <f t="shared" si="26"/>
        <v>17540.126779648581</v>
      </c>
      <c r="M102" s="24">
        <f t="shared" si="26"/>
        <v>18507.522720186433</v>
      </c>
      <c r="N102" s="24">
        <f t="shared" si="26"/>
        <v>19626.189613465784</v>
      </c>
      <c r="O102" s="24">
        <f t="shared" si="26"/>
        <v>20760.721992772538</v>
      </c>
      <c r="P102" s="24">
        <f t="shared" si="26"/>
        <v>22016.555322088239</v>
      </c>
      <c r="Q102" s="24">
        <f t="shared" si="26"/>
        <v>28796.223275600998</v>
      </c>
      <c r="R102" s="24">
        <f t="shared" si="26"/>
        <v>35611.704010817994</v>
      </c>
      <c r="S102" s="24">
        <f t="shared" si="26"/>
        <v>36960.085591791212</v>
      </c>
      <c r="T102" s="24">
        <f t="shared" si="26"/>
        <v>38500.508920203487</v>
      </c>
      <c r="U102" s="24">
        <f t="shared" si="26"/>
        <v>40071.641302960554</v>
      </c>
      <c r="W102" s="483">
        <f>SUM(B102:U102)</f>
        <v>354862.86303928442</v>
      </c>
    </row>
    <row r="103" spans="1:33" outlineLevel="1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</row>
    <row r="104" spans="1:33" outlineLevel="1">
      <c r="A104" s="23" t="s">
        <v>53</v>
      </c>
      <c r="B104" s="481">
        <f>Summary!$H$37</f>
        <v>4.4999999999999998E-2</v>
      </c>
      <c r="C104" s="481">
        <f>Summary!$H$37</f>
        <v>4.4999999999999998E-2</v>
      </c>
      <c r="D104" s="481">
        <f>Summary!$H$37</f>
        <v>4.4999999999999998E-2</v>
      </c>
      <c r="E104" s="481">
        <f>Summary!$H$37</f>
        <v>4.4999999999999998E-2</v>
      </c>
      <c r="F104" s="481">
        <f>Summary!$H$37</f>
        <v>4.4999999999999998E-2</v>
      </c>
      <c r="G104" s="481">
        <f>Summary!$H$37</f>
        <v>4.4999999999999998E-2</v>
      </c>
      <c r="H104" s="481">
        <f>Summary!$H$37</f>
        <v>4.4999999999999998E-2</v>
      </c>
      <c r="I104" s="481">
        <f>Summary!$H$37</f>
        <v>4.4999999999999998E-2</v>
      </c>
      <c r="J104" s="481">
        <f>Summary!$H$37</f>
        <v>4.4999999999999998E-2</v>
      </c>
      <c r="K104" s="481">
        <f>Summary!$H$37</f>
        <v>4.4999999999999998E-2</v>
      </c>
      <c r="L104" s="481">
        <f>Summary!$H$37</f>
        <v>4.4999999999999998E-2</v>
      </c>
      <c r="M104" s="481">
        <f>Summary!$H$37</f>
        <v>4.4999999999999998E-2</v>
      </c>
      <c r="N104" s="481">
        <f>Summary!$H$37</f>
        <v>4.4999999999999998E-2</v>
      </c>
      <c r="O104" s="481">
        <f>Summary!$H$37</f>
        <v>4.4999999999999998E-2</v>
      </c>
      <c r="P104" s="481">
        <f>Summary!$H$37</f>
        <v>4.4999999999999998E-2</v>
      </c>
      <c r="Q104" s="481">
        <f>Summary!$H$37</f>
        <v>4.4999999999999998E-2</v>
      </c>
      <c r="R104" s="481">
        <f>Summary!$H$37</f>
        <v>4.4999999999999998E-2</v>
      </c>
      <c r="S104" s="481">
        <f>Summary!$H$37</f>
        <v>4.4999999999999998E-2</v>
      </c>
      <c r="T104" s="481">
        <f>Summary!$H$37</f>
        <v>4.4999999999999998E-2</v>
      </c>
      <c r="U104" s="481">
        <f>Summary!$H$37</f>
        <v>4.4999999999999998E-2</v>
      </c>
    </row>
    <row r="105" spans="1:33" outlineLevel="1">
      <c r="A105" s="23" t="s">
        <v>184</v>
      </c>
      <c r="B105" s="22">
        <f>B102*B104</f>
        <v>-2.7925318310495548</v>
      </c>
      <c r="C105" s="22">
        <f t="shared" ref="C105:U105" si="27">C102*C104</f>
        <v>-380.97935870151429</v>
      </c>
      <c r="D105" s="22">
        <f t="shared" si="27"/>
        <v>-288.02032050098256</v>
      </c>
      <c r="E105" s="22">
        <f t="shared" si="27"/>
        <v>321.87443228909785</v>
      </c>
      <c r="F105" s="22">
        <f t="shared" si="27"/>
        <v>476.08396154068663</v>
      </c>
      <c r="G105" s="22">
        <f t="shared" si="27"/>
        <v>567.70429358421552</v>
      </c>
      <c r="H105" s="22">
        <f t="shared" si="27"/>
        <v>627.1537020440179</v>
      </c>
      <c r="I105" s="22">
        <f t="shared" si="27"/>
        <v>661.05773780422476</v>
      </c>
      <c r="J105" s="22">
        <f t="shared" si="27"/>
        <v>705.69351286694109</v>
      </c>
      <c r="K105" s="22">
        <f t="shared" si="27"/>
        <v>753.44582884305066</v>
      </c>
      <c r="L105" s="22">
        <f t="shared" si="27"/>
        <v>789.30570508418612</v>
      </c>
      <c r="M105" s="22">
        <f t="shared" si="27"/>
        <v>832.83852240838939</v>
      </c>
      <c r="N105" s="22">
        <f t="shared" si="27"/>
        <v>883.17853260596019</v>
      </c>
      <c r="O105" s="22">
        <f t="shared" si="27"/>
        <v>934.23248967476422</v>
      </c>
      <c r="P105" s="22">
        <f t="shared" si="27"/>
        <v>990.74498949397071</v>
      </c>
      <c r="Q105" s="22">
        <f t="shared" si="27"/>
        <v>1295.8300474020448</v>
      </c>
      <c r="R105" s="22">
        <f t="shared" si="27"/>
        <v>1602.5266804868097</v>
      </c>
      <c r="S105" s="22">
        <f t="shared" si="27"/>
        <v>1663.2038516306045</v>
      </c>
      <c r="T105" s="22">
        <f t="shared" si="27"/>
        <v>1732.5229014091569</v>
      </c>
      <c r="U105" s="22">
        <f t="shared" si="27"/>
        <v>1803.2238586332248</v>
      </c>
    </row>
    <row r="106" spans="1:33" outlineLevel="1">
      <c r="A106" s="23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</row>
    <row r="107" spans="1:33" outlineLevel="1">
      <c r="A107" s="23" t="s">
        <v>185</v>
      </c>
      <c r="B107" s="22">
        <v>0</v>
      </c>
      <c r="C107" s="22">
        <f t="shared" ref="C107:U107" si="28">B111</f>
        <v>2.7925318310495548</v>
      </c>
      <c r="D107" s="22">
        <f t="shared" si="28"/>
        <v>383.77189053256382</v>
      </c>
      <c r="E107" s="22">
        <f t="shared" si="28"/>
        <v>671.79221103354644</v>
      </c>
      <c r="F107" s="22">
        <f t="shared" si="28"/>
        <v>349.91777874444858</v>
      </c>
      <c r="G107" s="22">
        <f t="shared" si="28"/>
        <v>0</v>
      </c>
      <c r="H107" s="22">
        <f t="shared" si="28"/>
        <v>0</v>
      </c>
      <c r="I107" s="22">
        <f t="shared" si="28"/>
        <v>0</v>
      </c>
      <c r="J107" s="22">
        <f t="shared" si="28"/>
        <v>0</v>
      </c>
      <c r="K107" s="22">
        <f t="shared" si="28"/>
        <v>0</v>
      </c>
      <c r="L107" s="22">
        <f t="shared" si="28"/>
        <v>0</v>
      </c>
      <c r="M107" s="22">
        <f t="shared" si="28"/>
        <v>0</v>
      </c>
      <c r="N107" s="22">
        <f>M111</f>
        <v>0</v>
      </c>
      <c r="O107" s="22">
        <f t="shared" si="28"/>
        <v>0</v>
      </c>
      <c r="P107" s="22">
        <f t="shared" si="28"/>
        <v>0</v>
      </c>
      <c r="Q107" s="22">
        <f t="shared" si="28"/>
        <v>0</v>
      </c>
      <c r="R107" s="22">
        <v>0</v>
      </c>
      <c r="S107" s="22">
        <f t="shared" si="28"/>
        <v>0</v>
      </c>
      <c r="T107" s="22">
        <f t="shared" si="28"/>
        <v>0</v>
      </c>
      <c r="U107" s="22">
        <f t="shared" si="28"/>
        <v>0</v>
      </c>
    </row>
    <row r="108" spans="1:33" outlineLevel="1">
      <c r="A108" s="23" t="s">
        <v>186</v>
      </c>
      <c r="B108" s="255">
        <f t="shared" ref="B108:U108" si="29">IF(B77&gt;2020,0,IF(B105&lt;0,-B105,0))</f>
        <v>2.7925318310495548</v>
      </c>
      <c r="C108" s="255">
        <f t="shared" si="29"/>
        <v>380.97935870151429</v>
      </c>
      <c r="D108" s="255">
        <f t="shared" si="29"/>
        <v>288.02032050098256</v>
      </c>
      <c r="E108" s="255">
        <f t="shared" si="29"/>
        <v>0</v>
      </c>
      <c r="F108" s="255">
        <f t="shared" si="29"/>
        <v>0</v>
      </c>
      <c r="G108" s="255">
        <f t="shared" si="29"/>
        <v>0</v>
      </c>
      <c r="H108" s="255">
        <f t="shared" si="29"/>
        <v>0</v>
      </c>
      <c r="I108" s="255">
        <f t="shared" si="29"/>
        <v>0</v>
      </c>
      <c r="J108" s="255">
        <f t="shared" si="29"/>
        <v>0</v>
      </c>
      <c r="K108" s="255">
        <f t="shared" si="29"/>
        <v>0</v>
      </c>
      <c r="L108" s="255">
        <f t="shared" si="29"/>
        <v>0</v>
      </c>
      <c r="M108" s="255">
        <f t="shared" si="29"/>
        <v>0</v>
      </c>
      <c r="N108" s="255">
        <f t="shared" si="29"/>
        <v>0</v>
      </c>
      <c r="O108" s="255">
        <f t="shared" si="29"/>
        <v>0</v>
      </c>
      <c r="P108" s="255">
        <f t="shared" si="29"/>
        <v>0</v>
      </c>
      <c r="Q108" s="255">
        <f t="shared" si="29"/>
        <v>0</v>
      </c>
      <c r="R108" s="255">
        <f t="shared" si="29"/>
        <v>0</v>
      </c>
      <c r="S108" s="255">
        <f t="shared" si="29"/>
        <v>0</v>
      </c>
      <c r="T108" s="255">
        <f t="shared" si="29"/>
        <v>0</v>
      </c>
      <c r="U108" s="255">
        <f t="shared" si="29"/>
        <v>0</v>
      </c>
    </row>
    <row r="109" spans="1:33" outlineLevel="1">
      <c r="A109" s="23" t="s">
        <v>187</v>
      </c>
      <c r="B109" s="241">
        <v>0</v>
      </c>
      <c r="C109" s="241">
        <v>0</v>
      </c>
      <c r="D109" s="241">
        <v>0</v>
      </c>
      <c r="E109" s="241">
        <v>0</v>
      </c>
      <c r="F109" s="241">
        <v>0</v>
      </c>
      <c r="G109" s="241">
        <v>0</v>
      </c>
      <c r="H109" s="241">
        <v>0</v>
      </c>
      <c r="I109" s="241">
        <v>0</v>
      </c>
      <c r="J109" s="241">
        <v>0</v>
      </c>
      <c r="K109" s="241">
        <v>0</v>
      </c>
      <c r="L109" s="241">
        <v>0</v>
      </c>
      <c r="M109" s="241">
        <v>0</v>
      </c>
      <c r="N109" s="241">
        <v>0</v>
      </c>
      <c r="O109" s="241">
        <v>0</v>
      </c>
      <c r="P109" s="241">
        <v>0</v>
      </c>
      <c r="Q109" s="241">
        <v>0</v>
      </c>
      <c r="R109" s="241">
        <v>0</v>
      </c>
      <c r="S109" s="241">
        <v>0</v>
      </c>
      <c r="T109" s="22">
        <f>IF(L108&gt;(SUM(M110:S110)+SUM(L109:S109))*-1,L108-(SUM(L110:S110)+SUM(L109:S109))*-1,0)</f>
        <v>0</v>
      </c>
      <c r="U109" s="22">
        <f>IF(M108&gt;(SUM(N110:T110)+SUM(M109:T109))*-1,M108-(SUM(M110:T110)+SUM(M109:T109))*-1,0)</f>
        <v>0</v>
      </c>
    </row>
    <row r="110" spans="1:33" outlineLevel="1">
      <c r="A110" s="19" t="s">
        <v>188</v>
      </c>
      <c r="B110" s="242">
        <f t="shared" ref="B110:T110" si="30">IF(B105&lt;0,0,IF(B107&gt;B105,-B105,-B107))</f>
        <v>0</v>
      </c>
      <c r="C110" s="242">
        <f t="shared" si="30"/>
        <v>0</v>
      </c>
      <c r="D110" s="242">
        <f t="shared" si="30"/>
        <v>0</v>
      </c>
      <c r="E110" s="242">
        <f t="shared" si="30"/>
        <v>-321.87443228909785</v>
      </c>
      <c r="F110" s="242">
        <f t="shared" si="30"/>
        <v>-349.91777874444858</v>
      </c>
      <c r="G110" s="242">
        <f t="shared" si="30"/>
        <v>0</v>
      </c>
      <c r="H110" s="242">
        <f t="shared" si="30"/>
        <v>0</v>
      </c>
      <c r="I110" s="242">
        <f t="shared" si="30"/>
        <v>0</v>
      </c>
      <c r="J110" s="242">
        <f t="shared" si="30"/>
        <v>0</v>
      </c>
      <c r="K110" s="242">
        <f t="shared" si="30"/>
        <v>0</v>
      </c>
      <c r="L110" s="242">
        <f t="shared" si="30"/>
        <v>0</v>
      </c>
      <c r="M110" s="242">
        <f t="shared" si="30"/>
        <v>0</v>
      </c>
      <c r="N110" s="242">
        <f t="shared" si="30"/>
        <v>0</v>
      </c>
      <c r="O110" s="242">
        <f t="shared" si="30"/>
        <v>0</v>
      </c>
      <c r="P110" s="242">
        <f t="shared" si="30"/>
        <v>0</v>
      </c>
      <c r="Q110" s="242">
        <f t="shared" si="30"/>
        <v>0</v>
      </c>
      <c r="R110" s="242">
        <f t="shared" si="30"/>
        <v>0</v>
      </c>
      <c r="S110" s="242">
        <f t="shared" si="30"/>
        <v>0</v>
      </c>
      <c r="T110" s="242">
        <f t="shared" si="30"/>
        <v>0</v>
      </c>
      <c r="U110" s="242">
        <f>IF(U105&lt;0,0,IF(U107&gt;U105,-U105,-U107))</f>
        <v>0</v>
      </c>
    </row>
    <row r="111" spans="1:33" outlineLevel="1">
      <c r="A111" s="19" t="s">
        <v>189</v>
      </c>
      <c r="B111" s="242">
        <f t="shared" ref="B111:U111" si="31">SUM(B107:B110)</f>
        <v>2.7925318310495548</v>
      </c>
      <c r="C111" s="242">
        <f t="shared" si="31"/>
        <v>383.77189053256382</v>
      </c>
      <c r="D111" s="242">
        <f t="shared" si="31"/>
        <v>671.79221103354644</v>
      </c>
      <c r="E111" s="242">
        <f t="shared" si="31"/>
        <v>349.91777874444858</v>
      </c>
      <c r="F111" s="242">
        <f t="shared" si="31"/>
        <v>0</v>
      </c>
      <c r="G111" s="242">
        <f t="shared" si="31"/>
        <v>0</v>
      </c>
      <c r="H111" s="242">
        <f t="shared" si="31"/>
        <v>0</v>
      </c>
      <c r="I111" s="242">
        <f t="shared" si="31"/>
        <v>0</v>
      </c>
      <c r="J111" s="242">
        <f t="shared" si="31"/>
        <v>0</v>
      </c>
      <c r="K111" s="242">
        <f t="shared" si="31"/>
        <v>0</v>
      </c>
      <c r="L111" s="242">
        <f t="shared" si="31"/>
        <v>0</v>
      </c>
      <c r="M111" s="242">
        <f t="shared" si="31"/>
        <v>0</v>
      </c>
      <c r="N111" s="242">
        <f t="shared" si="31"/>
        <v>0</v>
      </c>
      <c r="O111" s="242">
        <f t="shared" si="31"/>
        <v>0</v>
      </c>
      <c r="P111" s="242">
        <f t="shared" si="31"/>
        <v>0</v>
      </c>
      <c r="Q111" s="242">
        <f t="shared" si="31"/>
        <v>0</v>
      </c>
      <c r="R111" s="242">
        <f t="shared" si="31"/>
        <v>0</v>
      </c>
      <c r="S111" s="242">
        <f t="shared" si="31"/>
        <v>0</v>
      </c>
      <c r="T111" s="242">
        <f t="shared" si="31"/>
        <v>0</v>
      </c>
      <c r="U111" s="242">
        <f t="shared" si="31"/>
        <v>0</v>
      </c>
    </row>
    <row r="112" spans="1:33" outlineLevel="1">
      <c r="A112" s="19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</row>
    <row r="113" spans="1:23" outlineLevel="1">
      <c r="A113" s="34" t="s">
        <v>273</v>
      </c>
      <c r="B113" s="243">
        <f t="shared" ref="B113:U113" si="32">IF(B105&lt;0,0,B105+B110)</f>
        <v>0</v>
      </c>
      <c r="C113" s="243">
        <f t="shared" si="32"/>
        <v>0</v>
      </c>
      <c r="D113" s="243">
        <f t="shared" si="32"/>
        <v>0</v>
      </c>
      <c r="E113" s="243">
        <f t="shared" si="32"/>
        <v>0</v>
      </c>
      <c r="F113" s="243">
        <f t="shared" si="32"/>
        <v>126.16618279623805</v>
      </c>
      <c r="G113" s="243">
        <f t="shared" si="32"/>
        <v>567.70429358421552</v>
      </c>
      <c r="H113" s="243">
        <f t="shared" si="32"/>
        <v>627.1537020440179</v>
      </c>
      <c r="I113" s="243">
        <f t="shared" si="32"/>
        <v>661.05773780422476</v>
      </c>
      <c r="J113" s="243">
        <f t="shared" si="32"/>
        <v>705.69351286694109</v>
      </c>
      <c r="K113" s="243">
        <f t="shared" si="32"/>
        <v>753.44582884305066</v>
      </c>
      <c r="L113" s="243">
        <f t="shared" si="32"/>
        <v>789.30570508418612</v>
      </c>
      <c r="M113" s="243">
        <f t="shared" si="32"/>
        <v>832.83852240838939</v>
      </c>
      <c r="N113" s="243">
        <f t="shared" si="32"/>
        <v>883.17853260596019</v>
      </c>
      <c r="O113" s="243">
        <f t="shared" si="32"/>
        <v>934.23248967476422</v>
      </c>
      <c r="P113" s="243">
        <f t="shared" si="32"/>
        <v>990.74498949397071</v>
      </c>
      <c r="Q113" s="243">
        <f t="shared" si="32"/>
        <v>1295.8300474020448</v>
      </c>
      <c r="R113" s="243">
        <f t="shared" si="32"/>
        <v>1602.5266804868097</v>
      </c>
      <c r="S113" s="243">
        <f t="shared" si="32"/>
        <v>1663.2038516306045</v>
      </c>
      <c r="T113" s="243">
        <f t="shared" si="32"/>
        <v>1732.5229014091569</v>
      </c>
      <c r="U113" s="243">
        <f t="shared" si="32"/>
        <v>1803.2238586332248</v>
      </c>
      <c r="W113" s="483">
        <f>SUM(B113:U113)</f>
        <v>15968.828836767798</v>
      </c>
    </row>
    <row r="114" spans="1:23" ht="15" customHeight="1" outlineLevel="1">
      <c r="A114" s="82"/>
      <c r="B114" s="71"/>
      <c r="C114" s="7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</row>
    <row r="115" spans="1:23" ht="13.5" outlineLevel="1" thickBot="1">
      <c r="A115" s="34" t="s">
        <v>312</v>
      </c>
      <c r="B115" s="469">
        <f>B113+B94</f>
        <v>295.00566591785872</v>
      </c>
      <c r="C115" s="469">
        <f t="shared" ref="C115:U115" si="33">C113+C94</f>
        <v>295.61650492623687</v>
      </c>
      <c r="D115" s="469">
        <f t="shared" si="33"/>
        <v>296.2491704690438</v>
      </c>
      <c r="E115" s="469">
        <f t="shared" si="33"/>
        <v>547.93141162124391</v>
      </c>
      <c r="F115" s="469">
        <f t="shared" si="33"/>
        <v>740.68639819552641</v>
      </c>
      <c r="G115" s="469">
        <f t="shared" si="33"/>
        <v>1206.0623391630179</v>
      </c>
      <c r="H115" s="469">
        <f t="shared" si="33"/>
        <v>1289.0326229872867</v>
      </c>
      <c r="I115" s="469">
        <f t="shared" si="33"/>
        <v>1349.2014187604123</v>
      </c>
      <c r="J115" s="469">
        <f t="shared" si="33"/>
        <v>1426.913624209752</v>
      </c>
      <c r="K115" s="469">
        <f t="shared" si="33"/>
        <v>1511.3938452507957</v>
      </c>
      <c r="L115" s="469">
        <f t="shared" si="33"/>
        <v>1573.6994727689153</v>
      </c>
      <c r="M115" s="469">
        <f t="shared" si="33"/>
        <v>1650.7721295099459</v>
      </c>
      <c r="N115" s="469">
        <f t="shared" si="33"/>
        <v>1738.4984366404742</v>
      </c>
      <c r="O115" s="469">
        <f t="shared" si="33"/>
        <v>1828.7748720442482</v>
      </c>
      <c r="P115" s="469">
        <f t="shared" si="33"/>
        <v>1927.3373276216485</v>
      </c>
      <c r="Q115" s="469">
        <f t="shared" si="33"/>
        <v>2271.6597515797775</v>
      </c>
      <c r="R115" s="469">
        <f t="shared" si="33"/>
        <v>2618.8113852925417</v>
      </c>
      <c r="S115" s="469">
        <f t="shared" si="33"/>
        <v>2725.3335301894258</v>
      </c>
      <c r="T115" s="469">
        <f t="shared" si="33"/>
        <v>2847.0269731339954</v>
      </c>
      <c r="U115" s="469">
        <f t="shared" si="33"/>
        <v>2971.1464313718034</v>
      </c>
      <c r="W115" s="457">
        <f>SUM(B115:U115)</f>
        <v>31111.153311653947</v>
      </c>
    </row>
    <row r="116" spans="1:23" ht="14.25" customHeight="1" outlineLevel="1" thickTop="1">
      <c r="A116" s="82"/>
      <c r="B116" s="71"/>
      <c r="C116" s="7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</row>
    <row r="117" spans="1:23" outlineLevel="1">
      <c r="A117" s="82"/>
      <c r="B117" s="71"/>
      <c r="C117" s="7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</row>
    <row r="118" spans="1:23" outlineLevel="1">
      <c r="A118" s="82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</row>
    <row r="119" spans="1:23" outlineLevel="1">
      <c r="A119" s="85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</row>
    <row r="120" spans="1:23" outlineLevel="1">
      <c r="A120" s="85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</row>
    <row r="121" spans="1:23" outlineLevel="1">
      <c r="A121" s="85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</row>
    <row r="122" spans="1:23" outlineLevel="1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</row>
    <row r="123" spans="1:23" outlineLevel="1">
      <c r="A123" s="7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</row>
    <row r="124" spans="1:23" outlineLevel="1">
      <c r="A124" s="7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</row>
    <row r="125" spans="1:23" outlineLevel="1">
      <c r="A125" s="7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</row>
    <row r="126" spans="1:23" ht="18.75" outlineLevel="1">
      <c r="A126" s="86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</row>
    <row r="127" spans="1:23" outlineLevel="1">
      <c r="A127" s="59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</row>
    <row r="128" spans="1:23" outlineLevel="1">
      <c r="A128" s="59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</row>
    <row r="129" spans="1:21" outlineLevel="1">
      <c r="A129" s="7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</row>
    <row r="130" spans="1:21" outlineLevel="1">
      <c r="A130" s="7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</row>
    <row r="131" spans="1:21" outlineLevel="1">
      <c r="A131" s="2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</row>
    <row r="132" spans="1:21" outlineLevel="1">
      <c r="A132" s="82"/>
      <c r="B132" s="71"/>
      <c r="C132" s="7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</row>
    <row r="133" spans="1:21" outlineLevel="1">
      <c r="A133" s="81"/>
      <c r="B133" s="71"/>
      <c r="C133" s="7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</row>
    <row r="134" spans="1:21" outlineLevel="1">
      <c r="A134" s="81"/>
      <c r="B134" s="71"/>
      <c r="C134" s="7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</row>
    <row r="135" spans="1:21" outlineLevel="1">
      <c r="A135" s="80"/>
      <c r="B135" s="71"/>
      <c r="C135" s="7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</row>
    <row r="136" spans="1:21" outlineLevel="1">
      <c r="A136" s="71"/>
      <c r="B136" s="71"/>
      <c r="C136" s="7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</row>
    <row r="137" spans="1:21" outlineLevel="1">
      <c r="A137" s="82"/>
      <c r="B137" s="71"/>
      <c r="C137" s="7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</row>
    <row r="138" spans="1:21" outlineLevel="1">
      <c r="A138" s="81"/>
      <c r="B138" s="71"/>
      <c r="C138" s="7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</row>
    <row r="139" spans="1:21" outlineLevel="1">
      <c r="A139" s="81"/>
      <c r="B139" s="71"/>
      <c r="C139" s="7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</row>
    <row r="140" spans="1:21" outlineLevel="1">
      <c r="A140" s="81"/>
      <c r="B140" s="71"/>
      <c r="C140" s="7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</row>
    <row r="141" spans="1:21" outlineLevel="1">
      <c r="A141" s="81"/>
      <c r="B141" s="71"/>
      <c r="C141" s="7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</row>
    <row r="142" spans="1:21" outlineLevel="1">
      <c r="A142" s="71"/>
      <c r="B142" s="71"/>
      <c r="C142" s="7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</row>
    <row r="143" spans="1:21" outlineLevel="1">
      <c r="A143" s="82"/>
      <c r="B143" s="71"/>
      <c r="C143" s="7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</row>
    <row r="144" spans="1:21" outlineLevel="1">
      <c r="A144" s="71"/>
      <c r="B144" s="71"/>
      <c r="C144" s="7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</row>
    <row r="145" spans="1:21" outlineLevel="1">
      <c r="A145" s="82"/>
      <c r="B145" s="71"/>
      <c r="C145" s="7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</row>
    <row r="146" spans="1:21" outlineLevel="1">
      <c r="A146" s="81"/>
      <c r="B146" s="71"/>
      <c r="C146" s="7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</row>
    <row r="147" spans="1:21" outlineLevel="1">
      <c r="A147" s="82"/>
      <c r="B147" s="71"/>
      <c r="C147" s="7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</row>
    <row r="148" spans="1:21" outlineLevel="1">
      <c r="A148" s="84"/>
      <c r="B148" s="71"/>
      <c r="C148" s="7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</row>
    <row r="149" spans="1:21" outlineLevel="1">
      <c r="A149" s="81"/>
      <c r="B149" s="71"/>
      <c r="C149" s="7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</row>
    <row r="150" spans="1:21" outlineLevel="1">
      <c r="A150" s="80"/>
      <c r="B150" s="71"/>
      <c r="C150" s="7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</row>
    <row r="151" spans="1:21" outlineLevel="1">
      <c r="A151" s="81"/>
      <c r="B151" s="71"/>
      <c r="C151" s="7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</row>
    <row r="152" spans="1:21" outlineLevel="1">
      <c r="A152" s="80"/>
      <c r="B152" s="71"/>
      <c r="C152" s="7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</row>
    <row r="153" spans="1:21" outlineLevel="1">
      <c r="A153" s="81"/>
      <c r="B153" s="71"/>
      <c r="C153" s="7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</row>
    <row r="154" spans="1:21" outlineLevel="1">
      <c r="A154" s="81"/>
      <c r="B154" s="71"/>
      <c r="C154" s="7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</row>
    <row r="155" spans="1:21" outlineLevel="1">
      <c r="A155" s="81"/>
      <c r="B155" s="71"/>
      <c r="C155" s="7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</row>
    <row r="156" spans="1:21" outlineLevel="1">
      <c r="A156" s="81"/>
      <c r="B156" s="71"/>
      <c r="C156" s="7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</row>
    <row r="157" spans="1:21" outlineLevel="1">
      <c r="A157" s="81"/>
      <c r="B157" s="71"/>
      <c r="C157" s="7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</row>
    <row r="158" spans="1:21" outlineLevel="1">
      <c r="A158" s="81"/>
      <c r="B158" s="71"/>
      <c r="C158" s="7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</row>
    <row r="159" spans="1:21" outlineLevel="1">
      <c r="A159" s="82"/>
      <c r="B159" s="71"/>
      <c r="C159" s="7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</row>
    <row r="160" spans="1:21" outlineLevel="1">
      <c r="A160" s="83"/>
      <c r="B160" s="71"/>
      <c r="C160" s="7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</row>
    <row r="161" spans="1:21" outlineLevel="1">
      <c r="A161" s="81"/>
      <c r="B161" s="71"/>
      <c r="C161" s="7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</row>
    <row r="162" spans="1:21" outlineLevel="1">
      <c r="A162" s="84"/>
      <c r="B162" s="71"/>
      <c r="C162" s="7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</row>
    <row r="163" spans="1:21" outlineLevel="1">
      <c r="A163" s="84"/>
      <c r="B163" s="71"/>
      <c r="C163" s="7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</row>
    <row r="164" spans="1:21" outlineLevel="1">
      <c r="A164" s="81"/>
      <c r="B164" s="71"/>
      <c r="C164" s="7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</row>
    <row r="165" spans="1:21" outlineLevel="1">
      <c r="A165" s="81"/>
      <c r="B165" s="71"/>
      <c r="C165" s="7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</row>
    <row r="166" spans="1:21" outlineLevel="1">
      <c r="A166" s="80"/>
      <c r="B166" s="71"/>
      <c r="C166" s="7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</row>
    <row r="167" spans="1:21" outlineLevel="1">
      <c r="A167" s="82"/>
      <c r="B167" s="71"/>
      <c r="C167" s="7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</row>
    <row r="168" spans="1:21" outlineLevel="1">
      <c r="A168" s="82"/>
      <c r="B168" s="71"/>
      <c r="C168" s="7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</row>
    <row r="169" spans="1:21" outlineLevel="1">
      <c r="A169" s="82"/>
      <c r="B169" s="71"/>
      <c r="C169" s="7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</row>
    <row r="170" spans="1:21" outlineLevel="1">
      <c r="A170" s="82"/>
      <c r="B170" s="71"/>
      <c r="C170" s="7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</row>
    <row r="171" spans="1:21" outlineLevel="1">
      <c r="A171" s="82"/>
      <c r="B171" s="71"/>
      <c r="C171" s="7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</row>
    <row r="172" spans="1:21" outlineLevel="1">
      <c r="A172" s="82"/>
      <c r="B172" s="71"/>
      <c r="C172" s="7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</row>
    <row r="173" spans="1:21" outlineLevel="1">
      <c r="A173" s="82"/>
      <c r="B173" s="71"/>
      <c r="C173" s="7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</row>
    <row r="174" spans="1:21" outlineLevel="1">
      <c r="A174" s="7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</row>
    <row r="175" spans="1:21" outlineLevel="1">
      <c r="A175" s="7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</row>
    <row r="176" spans="1:21" outlineLevel="1">
      <c r="A176" s="7"/>
      <c r="B176" s="7"/>
      <c r="C176" s="7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</row>
    <row r="177" spans="1:21" ht="18.75" outlineLevel="1">
      <c r="A177" s="8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outlineLevel="1">
      <c r="A178" s="5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outlineLevel="1">
      <c r="A179" s="59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outlineLevel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outlineLevel="1">
      <c r="A181" s="2"/>
      <c r="B181" s="9"/>
      <c r="C181" s="9"/>
      <c r="D181" s="9"/>
      <c r="E181" s="9"/>
      <c r="F181" s="9"/>
      <c r="G181" s="9"/>
      <c r="H181" s="9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outlineLevel="1">
      <c r="A182" s="59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outlineLevel="1">
      <c r="A183" s="88"/>
      <c r="B183" s="89"/>
      <c r="C183" s="89"/>
      <c r="D183" s="89"/>
      <c r="E183" s="89"/>
      <c r="F183" s="89"/>
      <c r="G183" s="89"/>
      <c r="H183" s="89"/>
      <c r="I183" s="7"/>
      <c r="J183" s="89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outlineLevel="1">
      <c r="A184" s="88"/>
      <c r="B184" s="89"/>
      <c r="C184" s="89"/>
      <c r="D184" s="89"/>
      <c r="E184" s="89"/>
      <c r="F184" s="89"/>
      <c r="G184" s="89"/>
      <c r="H184" s="89"/>
      <c r="I184" s="7"/>
      <c r="J184" s="89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outlineLevel="1">
      <c r="A185" s="88"/>
      <c r="B185" s="89"/>
      <c r="C185" s="89"/>
      <c r="D185" s="89"/>
      <c r="E185" s="89"/>
      <c r="F185" s="89"/>
      <c r="G185" s="89"/>
      <c r="H185" s="89"/>
      <c r="I185" s="7"/>
      <c r="J185" s="89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outlineLevel="1">
      <c r="A186" s="88"/>
      <c r="B186" s="89"/>
      <c r="C186" s="89"/>
      <c r="D186" s="89"/>
      <c r="E186" s="89"/>
      <c r="F186" s="89"/>
      <c r="G186" s="89"/>
      <c r="H186" s="89"/>
      <c r="I186" s="7"/>
      <c r="J186" s="89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outlineLevel="1">
      <c r="A187" s="88"/>
      <c r="B187" s="89"/>
      <c r="C187" s="89"/>
      <c r="D187" s="89"/>
      <c r="E187" s="89"/>
      <c r="F187" s="89"/>
      <c r="G187" s="89"/>
      <c r="H187" s="89"/>
      <c r="I187" s="7"/>
      <c r="J187" s="89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outlineLevel="1">
      <c r="A188" s="7"/>
      <c r="B188" s="89"/>
      <c r="C188" s="89"/>
      <c r="D188" s="89"/>
      <c r="E188" s="89"/>
      <c r="F188" s="89"/>
      <c r="G188" s="89"/>
      <c r="H188" s="89"/>
      <c r="I188" s="7"/>
      <c r="J188" s="89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outlineLevel="1">
      <c r="A189" s="59"/>
      <c r="B189" s="89"/>
      <c r="C189" s="89"/>
      <c r="D189" s="89"/>
      <c r="E189" s="89"/>
      <c r="F189" s="89"/>
      <c r="G189" s="89"/>
      <c r="H189" s="89"/>
      <c r="I189" s="7"/>
      <c r="J189" s="89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88"/>
      <c r="B190" s="89"/>
      <c r="C190" s="89"/>
      <c r="D190" s="89"/>
      <c r="E190" s="89"/>
      <c r="F190" s="89"/>
      <c r="G190" s="89"/>
      <c r="H190" s="89"/>
      <c r="I190" s="7"/>
      <c r="J190" s="89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88"/>
      <c r="B191" s="89"/>
      <c r="C191" s="89"/>
      <c r="D191" s="89"/>
      <c r="E191" s="89"/>
      <c r="F191" s="89"/>
      <c r="G191" s="89"/>
      <c r="H191" s="89"/>
      <c r="I191" s="7"/>
      <c r="J191" s="89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88"/>
      <c r="B192" s="89"/>
      <c r="C192" s="89"/>
      <c r="D192" s="89"/>
      <c r="E192" s="89"/>
      <c r="F192" s="89"/>
      <c r="G192" s="89"/>
      <c r="H192" s="89"/>
      <c r="I192" s="7"/>
      <c r="J192" s="89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88"/>
      <c r="B193" s="89"/>
      <c r="C193" s="89"/>
      <c r="D193" s="89"/>
      <c r="E193" s="89"/>
      <c r="F193" s="89"/>
      <c r="G193" s="89"/>
      <c r="H193" s="89"/>
      <c r="I193" s="7"/>
      <c r="J193" s="89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88"/>
      <c r="B194" s="89"/>
      <c r="C194" s="89"/>
      <c r="D194" s="89"/>
      <c r="E194" s="89"/>
      <c r="F194" s="89"/>
      <c r="G194" s="89"/>
      <c r="H194" s="89"/>
      <c r="I194" s="7"/>
      <c r="J194" s="89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88"/>
      <c r="B195" s="89"/>
      <c r="C195" s="89"/>
      <c r="D195" s="89"/>
      <c r="E195" s="89"/>
      <c r="F195" s="89"/>
      <c r="G195" s="89"/>
      <c r="H195" s="89"/>
      <c r="I195" s="7"/>
      <c r="J195" s="89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88"/>
      <c r="B196" s="89"/>
      <c r="C196" s="89"/>
      <c r="D196" s="89"/>
      <c r="E196" s="89"/>
      <c r="F196" s="89"/>
      <c r="G196" s="89"/>
      <c r="H196" s="89"/>
      <c r="I196" s="7"/>
      <c r="J196" s="89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88"/>
      <c r="B197" s="89"/>
      <c r="C197" s="89"/>
      <c r="D197" s="89"/>
      <c r="E197" s="89"/>
      <c r="F197" s="89"/>
      <c r="G197" s="89"/>
      <c r="H197" s="89"/>
      <c r="I197" s="7"/>
      <c r="J197" s="89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88"/>
      <c r="B198" s="89"/>
      <c r="C198" s="89"/>
      <c r="D198" s="89"/>
      <c r="E198" s="89"/>
      <c r="F198" s="89"/>
      <c r="G198" s="89"/>
      <c r="H198" s="89"/>
      <c r="I198" s="7"/>
      <c r="J198" s="89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88"/>
      <c r="B199" s="89"/>
      <c r="C199" s="89"/>
      <c r="D199" s="89"/>
      <c r="E199" s="89"/>
      <c r="F199" s="89"/>
      <c r="G199" s="89"/>
      <c r="H199" s="89"/>
      <c r="I199" s="7"/>
      <c r="J199" s="89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88"/>
      <c r="B200" s="89"/>
      <c r="C200" s="89"/>
      <c r="D200" s="89"/>
      <c r="E200" s="89"/>
      <c r="F200" s="89"/>
      <c r="G200" s="89"/>
      <c r="H200" s="89"/>
      <c r="I200" s="7"/>
      <c r="J200" s="89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9"/>
      <c r="B201" s="89"/>
      <c r="C201" s="89"/>
      <c r="D201" s="89"/>
      <c r="E201" s="89"/>
      <c r="F201" s="89"/>
      <c r="G201" s="89"/>
      <c r="H201" s="89"/>
      <c r="I201" s="7"/>
      <c r="J201" s="89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88"/>
      <c r="B202" s="89"/>
      <c r="C202" s="89"/>
      <c r="D202" s="89"/>
      <c r="E202" s="89"/>
      <c r="F202" s="89"/>
      <c r="G202" s="89"/>
      <c r="H202" s="89"/>
      <c r="I202" s="7"/>
      <c r="J202" s="89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88"/>
      <c r="B203" s="89"/>
      <c r="C203" s="89"/>
      <c r="D203" s="89"/>
      <c r="E203" s="89"/>
      <c r="F203" s="89"/>
      <c r="G203" s="89"/>
      <c r="H203" s="89"/>
      <c r="I203" s="7"/>
      <c r="J203" s="89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59"/>
      <c r="B204" s="89"/>
      <c r="C204" s="89"/>
      <c r="D204" s="89"/>
      <c r="E204" s="89"/>
      <c r="F204" s="89"/>
      <c r="G204" s="89"/>
      <c r="H204" s="89"/>
      <c r="I204" s="7"/>
      <c r="J204" s="89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59"/>
      <c r="B205" s="89"/>
      <c r="C205" s="89"/>
      <c r="D205" s="89"/>
      <c r="E205" s="89"/>
      <c r="F205" s="89"/>
      <c r="G205" s="89"/>
      <c r="H205" s="89"/>
      <c r="I205" s="7"/>
      <c r="J205" s="89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7"/>
      <c r="B206" s="89"/>
      <c r="C206" s="89"/>
      <c r="D206" s="89"/>
      <c r="E206" s="89"/>
      <c r="F206" s="89"/>
      <c r="G206" s="89"/>
      <c r="H206" s="89"/>
      <c r="I206" s="7"/>
      <c r="J206" s="89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7"/>
      <c r="B207" s="89"/>
      <c r="C207" s="89"/>
      <c r="D207" s="89"/>
      <c r="E207" s="89"/>
      <c r="F207" s="89"/>
      <c r="G207" s="89"/>
      <c r="H207" s="89"/>
      <c r="I207" s="7"/>
      <c r="J207" s="89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59"/>
      <c r="B208" s="89"/>
      <c r="C208" s="89"/>
      <c r="D208" s="89"/>
      <c r="E208" s="89"/>
      <c r="F208" s="89"/>
      <c r="G208" s="89"/>
      <c r="H208" s="89"/>
      <c r="I208" s="7"/>
      <c r="J208" s="89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8"/>
      <c r="B209" s="89"/>
      <c r="C209" s="89"/>
      <c r="D209" s="89"/>
      <c r="E209" s="89"/>
      <c r="F209" s="89"/>
      <c r="G209" s="89"/>
      <c r="H209" s="89"/>
      <c r="I209" s="7"/>
      <c r="J209" s="89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59"/>
      <c r="B210" s="89"/>
      <c r="C210" s="89"/>
      <c r="D210" s="89"/>
      <c r="E210" s="89"/>
      <c r="F210" s="89"/>
      <c r="G210" s="89"/>
      <c r="H210" s="89"/>
      <c r="I210" s="7"/>
      <c r="J210" s="89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7"/>
      <c r="B211" s="89"/>
      <c r="C211" s="89"/>
      <c r="D211" s="89"/>
      <c r="E211" s="89"/>
      <c r="F211" s="89"/>
      <c r="G211" s="89"/>
      <c r="H211" s="89"/>
      <c r="I211" s="7"/>
      <c r="J211" s="89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59"/>
      <c r="B212" s="89"/>
      <c r="C212" s="89"/>
      <c r="D212" s="89"/>
      <c r="E212" s="89"/>
      <c r="F212" s="89"/>
      <c r="G212" s="89"/>
      <c r="H212" s="89"/>
      <c r="I212" s="7"/>
      <c r="J212" s="89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88"/>
      <c r="B213" s="89"/>
      <c r="C213" s="89"/>
      <c r="D213" s="89"/>
      <c r="E213" s="89"/>
      <c r="F213" s="89"/>
      <c r="G213" s="89"/>
      <c r="H213" s="89"/>
      <c r="I213" s="7"/>
      <c r="J213" s="89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8"/>
      <c r="B214" s="89"/>
      <c r="C214" s="89"/>
      <c r="D214" s="89"/>
      <c r="E214" s="89"/>
      <c r="F214" s="89"/>
      <c r="G214" s="89"/>
      <c r="H214" s="89"/>
      <c r="I214" s="7"/>
      <c r="J214" s="89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8"/>
      <c r="B215" s="89"/>
      <c r="C215" s="89"/>
      <c r="D215" s="89"/>
      <c r="E215" s="89"/>
      <c r="F215" s="89"/>
      <c r="G215" s="89"/>
      <c r="H215" s="89"/>
      <c r="I215" s="7"/>
      <c r="J215" s="89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8"/>
      <c r="B216" s="89"/>
      <c r="C216" s="89"/>
      <c r="D216" s="89"/>
      <c r="E216" s="89"/>
      <c r="F216" s="89"/>
      <c r="G216" s="89"/>
      <c r="H216" s="89"/>
      <c r="I216" s="7"/>
      <c r="J216" s="89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8"/>
      <c r="B217" s="89"/>
      <c r="C217" s="89"/>
      <c r="D217" s="89"/>
      <c r="E217" s="89"/>
      <c r="F217" s="89"/>
      <c r="G217" s="89"/>
      <c r="H217" s="89"/>
      <c r="I217" s="7"/>
      <c r="J217" s="89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88"/>
      <c r="B218" s="89"/>
      <c r="C218" s="89"/>
      <c r="D218" s="89"/>
      <c r="E218" s="89"/>
      <c r="F218" s="89"/>
      <c r="G218" s="89"/>
      <c r="H218" s="89"/>
      <c r="I218" s="7"/>
      <c r="J218" s="89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59"/>
      <c r="B219" s="89"/>
      <c r="C219" s="89"/>
      <c r="D219" s="89"/>
      <c r="E219" s="89"/>
      <c r="F219" s="89"/>
      <c r="G219" s="89"/>
      <c r="H219" s="89"/>
      <c r="I219" s="7"/>
      <c r="J219" s="89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59"/>
      <c r="B220" s="89"/>
      <c r="C220" s="89"/>
      <c r="D220" s="89"/>
      <c r="E220" s="89"/>
      <c r="F220" s="89"/>
      <c r="G220" s="89"/>
      <c r="H220" s="89"/>
      <c r="I220" s="7"/>
      <c r="J220" s="89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7"/>
      <c r="B221" s="89"/>
      <c r="C221" s="89"/>
      <c r="D221" s="89"/>
      <c r="E221" s="89"/>
      <c r="F221" s="89"/>
      <c r="G221" s="89"/>
      <c r="H221" s="89"/>
      <c r="I221" s="7"/>
      <c r="J221" s="89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59"/>
      <c r="B222" s="89"/>
      <c r="C222" s="89"/>
      <c r="D222" s="89"/>
      <c r="E222" s="89"/>
      <c r="F222" s="89"/>
      <c r="G222" s="89"/>
      <c r="H222" s="89"/>
      <c r="I222" s="7"/>
      <c r="J222" s="89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59"/>
      <c r="B223" s="89"/>
      <c r="C223" s="89"/>
      <c r="D223" s="89"/>
      <c r="E223" s="89"/>
      <c r="F223" s="89"/>
      <c r="G223" s="89"/>
      <c r="H223" s="89"/>
      <c r="I223" s="7"/>
      <c r="J223" s="89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59"/>
      <c r="B225" s="7"/>
      <c r="C225" s="61"/>
      <c r="D225" s="61"/>
      <c r="E225" s="61"/>
      <c r="F225" s="61"/>
      <c r="G225" s="61"/>
      <c r="H225" s="61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59"/>
      <c r="B226" s="7"/>
      <c r="C226" s="61"/>
      <c r="D226" s="61"/>
      <c r="E226" s="61"/>
      <c r="F226" s="61"/>
      <c r="G226" s="61"/>
      <c r="H226" s="61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59"/>
      <c r="B227" s="7"/>
      <c r="C227" s="61"/>
      <c r="D227" s="61"/>
      <c r="E227" s="61"/>
      <c r="F227" s="61"/>
      <c r="G227" s="61"/>
      <c r="H227" s="61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9"/>
      <c r="B228" s="7"/>
      <c r="C228" s="61"/>
      <c r="D228" s="61"/>
      <c r="E228" s="61"/>
      <c r="F228" s="61"/>
      <c r="G228" s="61"/>
      <c r="H228" s="61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ht="18.75" outlineLevel="1">
      <c r="A230" s="86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5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s="92" customFormat="1" outlineLevel="1">
      <c r="A234" s="91"/>
    </row>
    <row r="235" spans="1:21" outlineLevel="1">
      <c r="A235" s="59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59"/>
      <c r="B236" s="7"/>
      <c r="C236" s="93"/>
      <c r="D236" s="93"/>
      <c r="E236" s="93"/>
      <c r="F236" s="93"/>
      <c r="G236" s="93"/>
      <c r="H236" s="93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59"/>
      <c r="B237" s="7"/>
      <c r="C237" s="93"/>
      <c r="D237" s="93"/>
      <c r="E237" s="93"/>
      <c r="F237" s="93"/>
      <c r="G237" s="93"/>
      <c r="H237" s="93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7"/>
      <c r="B238" s="7"/>
      <c r="C238" s="95"/>
      <c r="D238" s="95"/>
      <c r="E238" s="95"/>
      <c r="F238" s="95"/>
      <c r="G238" s="95"/>
      <c r="H238" s="95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59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91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96"/>
      <c r="B241" s="7"/>
      <c r="C241" s="61"/>
      <c r="D241" s="61"/>
      <c r="E241" s="61"/>
      <c r="F241" s="61"/>
      <c r="G241" s="61"/>
      <c r="H241" s="61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96"/>
      <c r="B242" s="7"/>
      <c r="C242" s="61"/>
      <c r="D242" s="61"/>
      <c r="E242" s="61"/>
      <c r="F242" s="61"/>
      <c r="G242" s="61"/>
      <c r="H242" s="61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96"/>
      <c r="B243" s="7"/>
      <c r="C243" s="61"/>
      <c r="D243" s="61"/>
      <c r="E243" s="61"/>
      <c r="F243" s="61"/>
      <c r="G243" s="61"/>
      <c r="H243" s="61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96"/>
      <c r="B244" s="7"/>
      <c r="C244" s="61"/>
      <c r="D244" s="61"/>
      <c r="E244" s="61"/>
      <c r="F244" s="61"/>
      <c r="G244" s="61"/>
      <c r="H244" s="61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96"/>
      <c r="B245" s="7"/>
      <c r="C245" s="93"/>
      <c r="D245" s="93"/>
      <c r="E245" s="93"/>
      <c r="F245" s="93"/>
      <c r="G245" s="93"/>
      <c r="H245" s="93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59"/>
      <c r="B246" s="7"/>
      <c r="C246" s="97"/>
      <c r="D246" s="97"/>
      <c r="E246" s="97"/>
      <c r="F246" s="97"/>
      <c r="G246" s="97"/>
      <c r="H246" s="9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96"/>
      <c r="B247" s="7"/>
      <c r="C247" s="98"/>
      <c r="D247" s="98"/>
      <c r="E247" s="98"/>
      <c r="F247" s="98"/>
      <c r="G247" s="98"/>
      <c r="H247" s="98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96"/>
      <c r="B248" s="7"/>
      <c r="C248" s="98"/>
      <c r="D248" s="98"/>
      <c r="E248" s="98"/>
      <c r="F248" s="98"/>
      <c r="G248" s="98"/>
      <c r="H248" s="98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96"/>
      <c r="B249" s="7"/>
      <c r="C249" s="98"/>
      <c r="D249" s="98"/>
      <c r="E249" s="98"/>
      <c r="F249" s="98"/>
      <c r="G249" s="98"/>
      <c r="H249" s="98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96"/>
      <c r="B250" s="7"/>
      <c r="C250" s="98"/>
      <c r="D250" s="98"/>
      <c r="E250" s="98"/>
      <c r="F250" s="98"/>
      <c r="G250" s="98"/>
      <c r="H250" s="98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96"/>
      <c r="B251" s="7"/>
      <c r="C251" s="97"/>
      <c r="D251" s="97"/>
      <c r="E251" s="97"/>
      <c r="F251" s="97"/>
      <c r="G251" s="97"/>
      <c r="H251" s="9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5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7"/>
      <c r="B253" s="7"/>
      <c r="C253" s="61"/>
      <c r="D253" s="61"/>
      <c r="E253" s="61"/>
      <c r="F253" s="61"/>
      <c r="G253" s="61"/>
      <c r="H253" s="61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7"/>
      <c r="B254" s="7"/>
      <c r="C254" s="61"/>
      <c r="D254" s="61"/>
      <c r="E254" s="61"/>
      <c r="F254" s="61"/>
      <c r="G254" s="61"/>
      <c r="H254" s="61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7"/>
      <c r="B255" s="7"/>
      <c r="C255" s="61"/>
      <c r="D255" s="61"/>
      <c r="E255" s="61"/>
      <c r="F255" s="61"/>
      <c r="G255" s="61"/>
      <c r="H255" s="61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99"/>
      <c r="C256" s="61"/>
      <c r="D256" s="61"/>
      <c r="E256" s="61"/>
      <c r="F256" s="61"/>
      <c r="G256" s="61"/>
      <c r="H256" s="61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59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7"/>
      <c r="B259" s="7"/>
      <c r="C259" s="93"/>
      <c r="D259" s="93"/>
      <c r="E259" s="93"/>
      <c r="F259" s="93"/>
      <c r="G259" s="93"/>
      <c r="H259" s="93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96"/>
      <c r="B260" s="7"/>
      <c r="C260" s="93"/>
      <c r="D260" s="93"/>
      <c r="E260" s="93"/>
      <c r="F260" s="93"/>
      <c r="G260" s="93"/>
      <c r="H260" s="93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96"/>
      <c r="B261" s="7"/>
      <c r="C261" s="93"/>
      <c r="D261" s="93"/>
      <c r="E261" s="93"/>
      <c r="F261" s="93"/>
      <c r="G261" s="93"/>
      <c r="H261" s="93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96"/>
      <c r="B262" s="99"/>
      <c r="C262" s="93"/>
      <c r="D262" s="93"/>
      <c r="E262" s="93"/>
      <c r="F262" s="93"/>
      <c r="G262" s="93"/>
      <c r="H262" s="93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7"/>
      <c r="B263" s="7"/>
      <c r="C263" s="93"/>
      <c r="D263" s="93"/>
      <c r="E263" s="93"/>
      <c r="F263" s="93"/>
      <c r="G263" s="93"/>
      <c r="H263" s="93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7"/>
      <c r="B264" s="7"/>
      <c r="C264" s="93"/>
      <c r="D264" s="93"/>
      <c r="E264" s="93"/>
      <c r="F264" s="93"/>
      <c r="G264" s="93"/>
      <c r="H264" s="93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7"/>
      <c r="B265" s="7"/>
      <c r="C265" s="93"/>
      <c r="D265" s="93"/>
      <c r="E265" s="93"/>
      <c r="F265" s="93"/>
      <c r="G265" s="93"/>
      <c r="H265" s="93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7"/>
      <c r="B266" s="7"/>
      <c r="C266" s="93"/>
      <c r="D266" s="93"/>
      <c r="E266" s="93"/>
      <c r="F266" s="93"/>
      <c r="G266" s="93"/>
      <c r="H266" s="93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7"/>
      <c r="B267" s="7"/>
      <c r="C267" s="93"/>
      <c r="D267" s="93"/>
      <c r="E267" s="93"/>
      <c r="F267" s="93"/>
      <c r="G267" s="93"/>
      <c r="H267" s="93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7"/>
      <c r="B268" s="7"/>
      <c r="C268" s="93"/>
      <c r="D268" s="93"/>
      <c r="E268" s="93"/>
      <c r="F268" s="93"/>
      <c r="G268" s="93"/>
      <c r="H268" s="93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59"/>
      <c r="B270" s="100"/>
      <c r="C270" s="100"/>
      <c r="D270" s="100"/>
      <c r="E270" s="100"/>
      <c r="F270" s="100"/>
      <c r="G270" s="100"/>
      <c r="H270" s="100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59"/>
      <c r="B271" s="99"/>
      <c r="C271" s="100"/>
      <c r="D271" s="100"/>
      <c r="E271" s="100"/>
      <c r="F271" s="100"/>
      <c r="G271" s="100"/>
      <c r="H271" s="100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59"/>
      <c r="B272" s="100"/>
      <c r="C272" s="100"/>
      <c r="D272" s="100"/>
      <c r="E272" s="100"/>
      <c r="F272" s="100"/>
      <c r="G272" s="100"/>
      <c r="H272" s="100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59"/>
      <c r="B273" s="7"/>
      <c r="C273" s="100"/>
      <c r="D273" s="100"/>
      <c r="E273" s="100"/>
      <c r="F273" s="100"/>
      <c r="G273" s="100"/>
      <c r="H273" s="100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59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59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89"/>
      <c r="D278" s="89"/>
      <c r="E278" s="89"/>
      <c r="F278" s="89"/>
      <c r="G278" s="89"/>
      <c r="H278" s="8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7"/>
      <c r="C279" s="100"/>
      <c r="D279" s="100"/>
      <c r="E279" s="100"/>
      <c r="F279" s="100"/>
      <c r="G279" s="100"/>
      <c r="H279" s="100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101"/>
      <c r="D280" s="101"/>
      <c r="E280" s="101"/>
      <c r="F280" s="101"/>
      <c r="G280" s="101"/>
      <c r="H280" s="101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7"/>
      <c r="B281" s="7"/>
      <c r="C281" s="89"/>
      <c r="D281" s="89"/>
      <c r="E281" s="89"/>
      <c r="F281" s="89"/>
      <c r="G281" s="89"/>
      <c r="H281" s="89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7"/>
      <c r="B282" s="7"/>
      <c r="C282" s="101"/>
      <c r="D282" s="101"/>
      <c r="E282" s="101"/>
      <c r="F282" s="101"/>
      <c r="G282" s="101"/>
      <c r="H282" s="10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7"/>
      <c r="B283" s="7"/>
      <c r="C283" s="102"/>
      <c r="D283" s="102"/>
      <c r="E283" s="102"/>
      <c r="F283" s="102"/>
      <c r="G283" s="102"/>
      <c r="H283" s="102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7"/>
      <c r="B284" s="7"/>
      <c r="C284" s="102"/>
      <c r="D284" s="102"/>
      <c r="E284" s="102"/>
      <c r="F284" s="102"/>
      <c r="G284" s="102"/>
      <c r="H284" s="102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t="18.75" hidden="1" outlineLevel="2">
      <c r="A285" s="86"/>
      <c r="B285" s="7"/>
      <c r="C285" s="102"/>
      <c r="D285" s="102"/>
      <c r="E285" s="102"/>
      <c r="F285" s="102"/>
      <c r="G285" s="102"/>
      <c r="H285" s="102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hidden="1" outlineLevel="2">
      <c r="A286" s="59"/>
      <c r="B286" s="7"/>
      <c r="C286" s="102"/>
      <c r="D286" s="102"/>
      <c r="E286" s="102"/>
      <c r="F286" s="102"/>
      <c r="G286" s="102"/>
      <c r="H286" s="102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idden="1" outlineLevel="2">
      <c r="A287" s="7"/>
      <c r="B287" s="7"/>
      <c r="C287" s="102"/>
      <c r="D287" s="102"/>
      <c r="E287" s="102"/>
      <c r="F287" s="102"/>
      <c r="G287" s="102"/>
      <c r="H287" s="102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idden="1" outlineLevel="2">
      <c r="A288" s="59"/>
      <c r="B288" s="11"/>
      <c r="C288" s="11"/>
      <c r="D288" s="10"/>
      <c r="E288" s="10"/>
      <c r="F288" s="11"/>
      <c r="G288" s="11"/>
      <c r="H288" s="10"/>
      <c r="I288" s="11"/>
      <c r="J288" s="11"/>
      <c r="K288" s="11"/>
      <c r="L288" s="10"/>
      <c r="M288" s="11"/>
      <c r="N288" s="11"/>
      <c r="O288" s="7"/>
      <c r="P288" s="7"/>
      <c r="Q288" s="7"/>
      <c r="R288" s="7"/>
      <c r="S288" s="7"/>
      <c r="T288" s="11"/>
      <c r="U288" s="7"/>
    </row>
    <row r="289" spans="1:26" hidden="1" outlineLevel="2">
      <c r="A289" s="59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6" hidden="1" outlineLevel="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6" hidden="1" outlineLevel="2">
      <c r="A291" s="7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7"/>
      <c r="P291" s="7"/>
      <c r="Q291" s="7"/>
      <c r="R291" s="7"/>
      <c r="S291" s="7"/>
      <c r="T291" s="89"/>
      <c r="U291" s="7"/>
    </row>
    <row r="292" spans="1:26" hidden="1" outlineLevel="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6" hidden="1" outlineLevel="2">
      <c r="A293" s="7"/>
      <c r="B293" s="100"/>
      <c r="C293" s="100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7"/>
      <c r="P293" s="7"/>
      <c r="Q293" s="7"/>
      <c r="R293" s="7"/>
      <c r="S293" s="7"/>
      <c r="T293" s="89"/>
      <c r="U293" s="7"/>
    </row>
    <row r="294" spans="1:26" hidden="1" outlineLevel="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6" hidden="1" outlineLevel="2">
      <c r="A295" s="7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7"/>
      <c r="P295" s="7"/>
      <c r="Q295" s="7"/>
      <c r="R295" s="7"/>
      <c r="S295" s="7"/>
      <c r="T295" s="89"/>
      <c r="U295" s="89"/>
      <c r="V295" s="89"/>
      <c r="W295" s="89"/>
      <c r="X295" s="89"/>
      <c r="Y295" s="89"/>
      <c r="Z295" s="89"/>
    </row>
    <row r="296" spans="1:26" hidden="1" outlineLevel="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6" hidden="1" outlineLevel="2">
      <c r="A297" s="7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7"/>
      <c r="P297" s="7"/>
      <c r="Q297" s="7"/>
      <c r="R297" s="7"/>
      <c r="S297" s="7"/>
      <c r="T297" s="89"/>
      <c r="U297" s="7"/>
    </row>
    <row r="298" spans="1:26" hidden="1" outlineLevel="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6" hidden="1" outlineLevel="2">
      <c r="A299" s="7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7"/>
      <c r="P299" s="7"/>
      <c r="Q299" s="7"/>
      <c r="R299" s="7"/>
      <c r="S299" s="7"/>
      <c r="T299" s="89"/>
      <c r="U299" s="89"/>
    </row>
    <row r="300" spans="1:26" hidden="1" outlineLevel="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6" hidden="1" outlineLevel="2">
      <c r="A301" s="7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7"/>
      <c r="P301" s="7"/>
      <c r="Q301" s="7"/>
      <c r="R301" s="7"/>
      <c r="S301" s="7"/>
      <c r="T301" s="89"/>
      <c r="U301" s="89"/>
    </row>
    <row r="302" spans="1:26" hidden="1" outlineLevel="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6" outlineLevel="1" collapsed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6" outlineLevel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outlineLevel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ht="18.75" outlineLevel="1">
      <c r="A306" s="8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outlineLevel="1">
      <c r="A307" s="59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outlineLevel="1">
      <c r="A308" s="59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outlineLevel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outlineLevel="1">
      <c r="A310" s="2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</row>
    <row r="311" spans="1:21" outlineLevel="1">
      <c r="A311" s="59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outlineLevel="1">
      <c r="A312" s="88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</row>
    <row r="313" spans="1:21" outlineLevel="1">
      <c r="A313" s="88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</row>
    <row r="314" spans="1:21" outlineLevel="1">
      <c r="A314" s="88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</row>
    <row r="315" spans="1:21" outlineLevel="1">
      <c r="A315" s="88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</row>
    <row r="316" spans="1:21" outlineLevel="1">
      <c r="A316" s="88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</row>
    <row r="317" spans="1:21" outlineLevel="1">
      <c r="A317" s="7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</row>
    <row r="318" spans="1:21" outlineLevel="1">
      <c r="A318" s="5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</row>
    <row r="319" spans="1:21" outlineLevel="1">
      <c r="A319" s="88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</row>
    <row r="320" spans="1:21" outlineLevel="1">
      <c r="A320" s="88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</row>
    <row r="321" spans="1:21" outlineLevel="1">
      <c r="A321" s="88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</row>
    <row r="322" spans="1:21" outlineLevel="1">
      <c r="A322" s="88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</row>
    <row r="323" spans="1:21" outlineLevel="1">
      <c r="A323" s="88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</row>
    <row r="324" spans="1:21" outlineLevel="1">
      <c r="A324" s="88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</row>
    <row r="325" spans="1:21" outlineLevel="1">
      <c r="A325" s="88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</row>
    <row r="326" spans="1:21" outlineLevel="1">
      <c r="A326" s="88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</row>
    <row r="327" spans="1:21" outlineLevel="1">
      <c r="A327" s="88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</row>
    <row r="328" spans="1:21" outlineLevel="1">
      <c r="A328" s="88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</row>
    <row r="329" spans="1:21" outlineLevel="1">
      <c r="A329" s="88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</row>
    <row r="330" spans="1:21" outlineLevel="1">
      <c r="A330" s="5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</row>
    <row r="331" spans="1:21" outlineLevel="1">
      <c r="A331" s="88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</row>
    <row r="332" spans="1:21" outlineLevel="1">
      <c r="A332" s="5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</row>
    <row r="333" spans="1:21" outlineLevel="1">
      <c r="A333" s="88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</row>
    <row r="334" spans="1:21" outlineLevel="1">
      <c r="A334" s="5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</row>
    <row r="335" spans="1:21" outlineLevel="1">
      <c r="A335" s="7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</row>
    <row r="336" spans="1:21" outlineLevel="1">
      <c r="A336" s="5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</row>
    <row r="337" spans="1:21" outlineLevel="1">
      <c r="A337" s="88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</row>
    <row r="338" spans="1:21" outlineLevel="1">
      <c r="A338" s="88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</row>
    <row r="339" spans="1:21" outlineLevel="1">
      <c r="A339" s="88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</row>
    <row r="340" spans="1:21" outlineLevel="1">
      <c r="A340" s="88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</row>
    <row r="341" spans="1:21" outlineLevel="1">
      <c r="A341" s="5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</row>
    <row r="342" spans="1:21" outlineLevel="1">
      <c r="A342" s="5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</row>
    <row r="343" spans="1:21" outlineLevel="1">
      <c r="A343" s="88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</row>
    <row r="344" spans="1:21" outlineLevel="1">
      <c r="A344" s="88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</row>
    <row r="345" spans="1:21" outlineLevel="1">
      <c r="A345" s="88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</row>
    <row r="346" spans="1:21" outlineLevel="1">
      <c r="A346" s="88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</row>
    <row r="347" spans="1:21" outlineLevel="1">
      <c r="A347" s="88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</row>
    <row r="348" spans="1:21" outlineLevel="1">
      <c r="A348" s="2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</row>
    <row r="349" spans="1:21" outlineLevel="1">
      <c r="A349" s="5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</row>
    <row r="350" spans="1:21" outlineLevel="1">
      <c r="A350" s="7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</row>
    <row r="351" spans="1:21" outlineLevel="1">
      <c r="A351" s="5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</row>
    <row r="352" spans="1:21" outlineLevel="1">
      <c r="A352" s="5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</row>
    <row r="353" spans="1:21" outlineLevel="1">
      <c r="A353" s="5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</row>
    <row r="354" spans="1:21" outlineLevel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 outlineLevel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 ht="18.75" outlineLevel="1">
      <c r="A356" s="8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 outlineLevel="1">
      <c r="A357" s="59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 outlineLevel="1">
      <c r="A358" s="59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 outlineLevel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 outlineLevel="1">
      <c r="A360" s="2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7"/>
      <c r="P360" s="7"/>
      <c r="Q360" s="7"/>
      <c r="R360" s="7"/>
      <c r="S360" s="7"/>
      <c r="T360" s="7"/>
      <c r="U360" s="7"/>
    </row>
    <row r="361" spans="1:21" outlineLevel="1">
      <c r="A361" s="59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 outlineLevel="1">
      <c r="A362" s="88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7"/>
      <c r="P362" s="7"/>
      <c r="Q362" s="7"/>
      <c r="R362" s="7"/>
      <c r="S362" s="7"/>
      <c r="T362" s="7"/>
      <c r="U362" s="7"/>
    </row>
    <row r="363" spans="1:21" outlineLevel="1">
      <c r="A363" s="88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7"/>
      <c r="P363" s="7"/>
      <c r="Q363" s="7"/>
      <c r="R363" s="7"/>
      <c r="S363" s="7"/>
      <c r="T363" s="7"/>
      <c r="U363" s="7"/>
    </row>
    <row r="364" spans="1:21" outlineLevel="1">
      <c r="A364" s="88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7"/>
      <c r="P364" s="7"/>
      <c r="Q364" s="7"/>
      <c r="R364" s="7"/>
      <c r="S364" s="7"/>
      <c r="T364" s="7"/>
      <c r="U364" s="7"/>
    </row>
    <row r="365" spans="1:21" outlineLevel="1">
      <c r="A365" s="88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7"/>
      <c r="P365" s="7"/>
      <c r="Q365" s="7"/>
      <c r="R365" s="7"/>
      <c r="S365" s="7"/>
      <c r="T365" s="7"/>
      <c r="U365" s="7"/>
    </row>
    <row r="366" spans="1:21" outlineLevel="1">
      <c r="A366" s="88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7"/>
      <c r="P366" s="7"/>
      <c r="Q366" s="7"/>
      <c r="R366" s="7"/>
      <c r="S366" s="7"/>
      <c r="T366" s="7"/>
      <c r="U366" s="7"/>
    </row>
    <row r="367" spans="1:21" outlineLevel="1">
      <c r="A367" s="88"/>
      <c r="B367" s="103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7"/>
      <c r="P367" s="7"/>
      <c r="Q367" s="7"/>
      <c r="R367" s="7"/>
      <c r="S367" s="7"/>
      <c r="T367" s="7"/>
      <c r="U367" s="7"/>
    </row>
    <row r="368" spans="1:21" outlineLevel="1">
      <c r="A368" s="59"/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7"/>
      <c r="P368" s="7"/>
      <c r="Q368" s="7"/>
      <c r="R368" s="7"/>
      <c r="S368" s="7"/>
      <c r="T368" s="7"/>
      <c r="U368" s="7"/>
    </row>
    <row r="369" spans="1:21" outlineLevel="1">
      <c r="A369" s="88"/>
      <c r="B369" s="103"/>
      <c r="C369" s="103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7"/>
      <c r="P369" s="7"/>
      <c r="Q369" s="7"/>
      <c r="R369" s="7"/>
      <c r="S369" s="7"/>
      <c r="T369" s="7"/>
      <c r="U369" s="7"/>
    </row>
    <row r="370" spans="1:21" outlineLevel="1">
      <c r="A370" s="88"/>
      <c r="B370" s="103"/>
      <c r="C370" s="103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7"/>
      <c r="P370" s="7"/>
      <c r="Q370" s="7"/>
      <c r="R370" s="7"/>
      <c r="S370" s="7"/>
      <c r="T370" s="7"/>
      <c r="U370" s="7"/>
    </row>
    <row r="371" spans="1:21" outlineLevel="1">
      <c r="A371" s="88"/>
      <c r="B371" s="103"/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7"/>
      <c r="P371" s="7"/>
      <c r="Q371" s="7"/>
      <c r="R371" s="7"/>
      <c r="S371" s="7"/>
      <c r="T371" s="7"/>
      <c r="U371" s="7"/>
    </row>
    <row r="372" spans="1:21" outlineLevel="1">
      <c r="A372" s="88"/>
      <c r="B372" s="103"/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7"/>
      <c r="P372" s="7"/>
      <c r="Q372" s="7"/>
      <c r="R372" s="7"/>
      <c r="S372" s="7"/>
      <c r="T372" s="7"/>
      <c r="U372" s="7"/>
    </row>
    <row r="373" spans="1:21" outlineLevel="1">
      <c r="A373" s="88"/>
      <c r="B373" s="103"/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7"/>
      <c r="P373" s="7"/>
      <c r="Q373" s="7"/>
      <c r="R373" s="7"/>
      <c r="S373" s="7"/>
      <c r="T373" s="7"/>
      <c r="U373" s="7"/>
    </row>
    <row r="374" spans="1:21" outlineLevel="1">
      <c r="A374" s="88"/>
      <c r="B374" s="103"/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7"/>
      <c r="P374" s="7"/>
      <c r="Q374" s="7"/>
      <c r="R374" s="7"/>
      <c r="S374" s="7"/>
      <c r="T374" s="7"/>
      <c r="U374" s="7"/>
    </row>
    <row r="375" spans="1:21" outlineLevel="1">
      <c r="A375" s="88"/>
      <c r="B375" s="103"/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7"/>
      <c r="P375" s="7"/>
      <c r="Q375" s="7"/>
      <c r="R375" s="7"/>
      <c r="S375" s="7"/>
      <c r="T375" s="7"/>
      <c r="U375" s="7"/>
    </row>
    <row r="376" spans="1:21" outlineLevel="1">
      <c r="A376" s="88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7"/>
      <c r="P376" s="7"/>
      <c r="Q376" s="7"/>
      <c r="R376" s="7"/>
      <c r="S376" s="7"/>
      <c r="T376" s="7"/>
      <c r="U376" s="7"/>
    </row>
    <row r="377" spans="1:21" outlineLevel="1">
      <c r="A377" s="88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7"/>
      <c r="P377" s="7"/>
      <c r="Q377" s="7"/>
      <c r="R377" s="7"/>
      <c r="S377" s="7"/>
      <c r="T377" s="7"/>
      <c r="U377" s="7"/>
    </row>
    <row r="378" spans="1:21" outlineLevel="1">
      <c r="A378" s="88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7"/>
      <c r="P378" s="7"/>
      <c r="Q378" s="7"/>
      <c r="R378" s="7"/>
      <c r="S378" s="7"/>
      <c r="T378" s="7"/>
      <c r="U378" s="7"/>
    </row>
    <row r="379" spans="1:21" outlineLevel="1">
      <c r="A379" s="88"/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7"/>
      <c r="P379" s="7"/>
      <c r="Q379" s="7"/>
      <c r="R379" s="7"/>
      <c r="S379" s="7"/>
      <c r="T379" s="7"/>
      <c r="U379" s="7"/>
    </row>
    <row r="380" spans="1:21" outlineLevel="1">
      <c r="A380" s="88"/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7"/>
      <c r="P380" s="7"/>
      <c r="Q380" s="7"/>
      <c r="R380" s="7"/>
      <c r="S380" s="7"/>
      <c r="T380" s="7"/>
      <c r="U380" s="7"/>
    </row>
    <row r="381" spans="1:21" outlineLevel="1">
      <c r="A381" s="59"/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7"/>
      <c r="P381" s="7"/>
      <c r="Q381" s="7"/>
      <c r="R381" s="7"/>
      <c r="S381" s="7"/>
      <c r="T381" s="7"/>
      <c r="U381" s="7"/>
    </row>
    <row r="382" spans="1:21" outlineLevel="1">
      <c r="A382" s="7"/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7"/>
      <c r="P382" s="7"/>
      <c r="Q382" s="7"/>
      <c r="R382" s="7"/>
      <c r="S382" s="7"/>
      <c r="T382" s="7"/>
      <c r="U382" s="7"/>
    </row>
    <row r="383" spans="1:21" outlineLevel="1">
      <c r="A383" s="88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7"/>
      <c r="P383" s="7"/>
      <c r="Q383" s="7"/>
      <c r="R383" s="7"/>
      <c r="S383" s="7"/>
      <c r="T383" s="7"/>
      <c r="U383" s="7"/>
    </row>
    <row r="384" spans="1:21" outlineLevel="1">
      <c r="A384" s="59"/>
      <c r="B384" s="103"/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7"/>
      <c r="P384" s="7"/>
      <c r="Q384" s="7"/>
      <c r="R384" s="7"/>
      <c r="S384" s="7"/>
      <c r="T384" s="7"/>
      <c r="U384" s="7"/>
    </row>
    <row r="385" spans="1:21" outlineLevel="1">
      <c r="A385" s="88"/>
      <c r="B385" s="103"/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7"/>
      <c r="P385" s="7"/>
      <c r="Q385" s="7"/>
      <c r="R385" s="7"/>
      <c r="S385" s="7"/>
      <c r="T385" s="7"/>
      <c r="U385" s="7"/>
    </row>
    <row r="386" spans="1:21" outlineLevel="1">
      <c r="A386" s="59"/>
      <c r="B386" s="103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7"/>
      <c r="P386" s="7"/>
      <c r="Q386" s="7"/>
      <c r="R386" s="7"/>
      <c r="S386" s="7"/>
      <c r="T386" s="7"/>
      <c r="U386" s="7"/>
    </row>
    <row r="387" spans="1:21" outlineLevel="1">
      <c r="A387" s="59"/>
      <c r="B387" s="103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7"/>
      <c r="P387" s="7"/>
      <c r="Q387" s="7"/>
      <c r="R387" s="7"/>
      <c r="S387" s="7"/>
      <c r="T387" s="7"/>
      <c r="U387" s="7"/>
    </row>
    <row r="388" spans="1:21" outlineLevel="1">
      <c r="A388" s="59"/>
      <c r="B388" s="103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7"/>
      <c r="P388" s="7"/>
      <c r="Q388" s="7"/>
      <c r="R388" s="7"/>
      <c r="S388" s="7"/>
      <c r="T388" s="7"/>
      <c r="U388" s="7"/>
    </row>
    <row r="389" spans="1:21" outlineLevel="1">
      <c r="A389" s="59"/>
      <c r="B389" s="103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7"/>
      <c r="P389" s="7"/>
      <c r="Q389" s="7"/>
      <c r="R389" s="7"/>
      <c r="S389" s="7"/>
      <c r="T389" s="7"/>
      <c r="U389" s="7"/>
    </row>
    <row r="390" spans="1:21" outlineLevel="1">
      <c r="A390" s="59"/>
      <c r="B390" s="103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7"/>
      <c r="P390" s="7"/>
      <c r="Q390" s="7"/>
      <c r="R390" s="7"/>
      <c r="S390" s="7"/>
      <c r="T390" s="7"/>
      <c r="U390" s="7"/>
    </row>
    <row r="391" spans="1:21" outlineLevel="1">
      <c r="A391" s="59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7"/>
      <c r="P391" s="7"/>
      <c r="Q391" s="7"/>
      <c r="R391" s="7"/>
      <c r="S391" s="7"/>
      <c r="T391" s="7"/>
      <c r="U391" s="7"/>
    </row>
    <row r="392" spans="1:21" outlineLevel="1">
      <c r="A392" s="59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7"/>
      <c r="P392" s="7"/>
      <c r="Q392" s="7"/>
      <c r="R392" s="7"/>
      <c r="S392" s="7"/>
      <c r="T392" s="7"/>
      <c r="U392" s="7"/>
    </row>
    <row r="393" spans="1:21" outlineLevel="1">
      <c r="A393" s="59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7"/>
      <c r="P393" s="7"/>
      <c r="Q393" s="7"/>
      <c r="R393" s="7"/>
      <c r="S393" s="7"/>
      <c r="T393" s="7"/>
      <c r="U393" s="7"/>
    </row>
    <row r="394" spans="1:21" outlineLevel="1">
      <c r="A394" s="7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</row>
    <row r="395" spans="1:21" outlineLevel="1">
      <c r="A395" s="7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</row>
    <row r="396" spans="1:21" outlineLevel="1">
      <c r="A396" s="7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</row>
    <row r="397" spans="1:21" outlineLevel="1">
      <c r="A397" s="7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</row>
    <row r="398" spans="1:21" outlineLevel="1">
      <c r="A398" s="7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</row>
    <row r="399" spans="1:21" outlineLevel="1">
      <c r="A399" s="7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</row>
    <row r="400" spans="1:21" outlineLevel="1">
      <c r="A400" s="59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</row>
    <row r="401" spans="1:21" outlineLevel="1">
      <c r="A401" s="7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</row>
    <row r="402" spans="1:21" outlineLevel="1">
      <c r="A402" s="7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</row>
    <row r="403" spans="1:21" outlineLevel="1">
      <c r="A403" s="59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</row>
    <row r="404" spans="1:21" outlineLevel="1">
      <c r="A404" s="59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</row>
    <row r="405" spans="1:21" outlineLevel="1">
      <c r="A405" s="7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</row>
    <row r="406" spans="1:21" outlineLevel="1">
      <c r="A406" s="7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</row>
    <row r="407" spans="1:21" outlineLevel="1">
      <c r="A407" s="7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</row>
    <row r="408" spans="1:21" outlineLevel="1">
      <c r="A408" s="7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</row>
    <row r="409" spans="1:21" outlineLevel="1">
      <c r="A409" s="7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</row>
    <row r="410" spans="1:21" outlineLevel="1">
      <c r="A410" s="7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</row>
    <row r="411" spans="1:21" outlineLevel="1">
      <c r="A411" s="7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</row>
    <row r="412" spans="1:21" outlineLevel="1">
      <c r="A412" s="7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7"/>
      <c r="P412" s="7"/>
      <c r="Q412" s="7"/>
      <c r="R412" s="7"/>
      <c r="S412" s="7"/>
      <c r="T412" s="7"/>
      <c r="U412" s="7"/>
    </row>
    <row r="413" spans="1:21" outlineLevel="1">
      <c r="A413" s="59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7"/>
      <c r="P413" s="7"/>
      <c r="Q413" s="7"/>
      <c r="R413" s="7"/>
      <c r="S413" s="7"/>
      <c r="T413" s="7"/>
      <c r="U413" s="7"/>
    </row>
    <row r="414" spans="1:21" outlineLevel="1">
      <c r="A414" s="59"/>
      <c r="B414" s="103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7"/>
      <c r="P414" s="7"/>
      <c r="Q414" s="7"/>
      <c r="R414" s="7"/>
      <c r="S414" s="7"/>
      <c r="T414" s="7"/>
      <c r="U414" s="7"/>
    </row>
    <row r="415" spans="1:21" outlineLevel="1">
      <c r="A415" s="59"/>
      <c r="B415" s="103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7"/>
      <c r="P415" s="7"/>
      <c r="Q415" s="7"/>
      <c r="R415" s="7"/>
      <c r="S415" s="7"/>
      <c r="T415" s="7"/>
      <c r="U415" s="7"/>
    </row>
    <row r="416" spans="1:21" outlineLevel="1">
      <c r="A416" s="59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7"/>
      <c r="P416" s="7"/>
      <c r="Q416" s="7"/>
      <c r="R416" s="7"/>
      <c r="S416" s="7"/>
      <c r="T416" s="7"/>
      <c r="U416" s="7"/>
    </row>
    <row r="417" spans="1:21" outlineLevel="1">
      <c r="A417" s="59"/>
      <c r="B417" s="104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7"/>
      <c r="P417" s="7"/>
      <c r="Q417" s="7"/>
      <c r="R417" s="7"/>
      <c r="S417" s="7"/>
      <c r="T417" s="7"/>
      <c r="U417" s="7"/>
    </row>
    <row r="418" spans="1:21" outlineLevel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 ht="18.75" outlineLevel="1">
      <c r="A419" s="86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 outlineLevel="1">
      <c r="A420" s="59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outlineLevel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outlineLevel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 outlineLevel="1">
      <c r="A423" s="2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</row>
    <row r="424" spans="1:21" outlineLevel="1">
      <c r="A424" s="7"/>
      <c r="B424" s="7"/>
      <c r="C424" s="7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 outlineLevel="1">
      <c r="A425" s="59"/>
      <c r="B425" s="7"/>
      <c r="C425" s="75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7"/>
      <c r="P425" s="7"/>
      <c r="Q425" s="7"/>
      <c r="R425" s="7"/>
      <c r="S425" s="7"/>
      <c r="T425" s="7"/>
      <c r="U425" s="7"/>
    </row>
    <row r="426" spans="1:21" outlineLevel="1">
      <c r="A426" s="7"/>
      <c r="B426" s="7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"/>
      <c r="P426" s="7"/>
      <c r="Q426" s="7"/>
      <c r="R426" s="7"/>
      <c r="S426" s="7"/>
      <c r="T426" s="7"/>
      <c r="U426" s="7"/>
    </row>
    <row r="427" spans="1:21" outlineLevel="1">
      <c r="A427" s="7"/>
      <c r="B427" s="7"/>
      <c r="C427" s="75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7"/>
      <c r="P427" s="7"/>
      <c r="Q427" s="7"/>
      <c r="R427" s="7"/>
      <c r="S427" s="7"/>
      <c r="T427" s="7"/>
      <c r="U427" s="7"/>
    </row>
    <row r="428" spans="1:21" outlineLevel="1">
      <c r="A428" s="7"/>
      <c r="B428" s="7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"/>
      <c r="P428" s="7"/>
      <c r="Q428" s="7"/>
      <c r="R428" s="7"/>
      <c r="S428" s="7"/>
      <c r="T428" s="7"/>
      <c r="U428" s="7"/>
    </row>
    <row r="429" spans="1:21" outlineLevel="1">
      <c r="A429" s="7"/>
      <c r="B429" s="7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"/>
      <c r="P429" s="7"/>
      <c r="Q429" s="7"/>
      <c r="R429" s="7"/>
      <c r="S429" s="7"/>
      <c r="T429" s="7"/>
      <c r="U429" s="7"/>
    </row>
    <row r="430" spans="1:21" outlineLevel="1">
      <c r="A430" s="96"/>
      <c r="B430" s="7"/>
      <c r="C430" s="75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7"/>
      <c r="P430" s="7"/>
      <c r="Q430" s="7"/>
      <c r="R430" s="7"/>
      <c r="S430" s="7"/>
      <c r="T430" s="7"/>
      <c r="U430" s="7"/>
    </row>
    <row r="431" spans="1:21" outlineLevel="1">
      <c r="A431" s="96"/>
      <c r="B431" s="7"/>
      <c r="C431" s="75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7"/>
      <c r="P431" s="7"/>
      <c r="Q431" s="7"/>
      <c r="R431" s="7"/>
      <c r="S431" s="7"/>
      <c r="T431" s="7"/>
      <c r="U431" s="7"/>
    </row>
    <row r="432" spans="1:21" outlineLevel="1">
      <c r="A432" s="59"/>
      <c r="B432" s="7"/>
      <c r="C432" s="7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outlineLevel="1">
      <c r="A433" s="7"/>
      <c r="B433" s="104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7"/>
      <c r="P433" s="7"/>
      <c r="Q433" s="7"/>
      <c r="R433" s="7"/>
      <c r="S433" s="7"/>
      <c r="T433" s="7"/>
      <c r="U433" s="7"/>
    </row>
    <row r="434" spans="1:21" outlineLevel="1">
      <c r="A434" s="7"/>
      <c r="B434" s="7"/>
      <c r="C434" s="7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outlineLevel="1">
      <c r="A435" s="59"/>
      <c r="B435" s="7"/>
      <c r="C435" s="75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7"/>
      <c r="P435" s="7"/>
      <c r="Q435" s="7"/>
      <c r="R435" s="7"/>
      <c r="S435" s="7"/>
      <c r="T435" s="7"/>
      <c r="U435" s="7"/>
    </row>
    <row r="436" spans="1:21" outlineLevel="1">
      <c r="A436" s="7"/>
      <c r="B436" s="7"/>
      <c r="C436" s="75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7"/>
      <c r="P436" s="7"/>
      <c r="Q436" s="7"/>
      <c r="R436" s="7"/>
      <c r="S436" s="7"/>
      <c r="T436" s="7"/>
      <c r="U436" s="7"/>
    </row>
    <row r="437" spans="1:21" outlineLevel="1">
      <c r="A437" s="59"/>
      <c r="B437" s="7"/>
      <c r="C437" s="75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7"/>
      <c r="P437" s="7"/>
      <c r="Q437" s="7"/>
      <c r="R437" s="7"/>
      <c r="S437" s="7"/>
      <c r="T437" s="7"/>
      <c r="U437" s="7"/>
    </row>
    <row r="438" spans="1:21" outlineLevel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 outlineLevel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 s="108" customFormat="1" ht="18.75" outlineLevel="1">
      <c r="A440" s="106"/>
      <c r="B440" s="107"/>
      <c r="C440" s="107"/>
    </row>
    <row r="441" spans="1:21" s="108" customFormat="1" outlineLevel="1">
      <c r="A441" s="107"/>
      <c r="B441" s="109"/>
      <c r="C441" s="110"/>
      <c r="D441" s="107"/>
      <c r="E441" s="111"/>
    </row>
    <row r="442" spans="1:21" s="108" customFormat="1" outlineLevel="1">
      <c r="A442" s="107"/>
      <c r="B442" s="112"/>
      <c r="C442" s="90"/>
      <c r="D442" s="90"/>
      <c r="E442" s="111"/>
    </row>
    <row r="443" spans="1:21" s="108" customFormat="1" outlineLevel="1">
      <c r="A443" s="107"/>
      <c r="B443" s="90"/>
      <c r="C443" s="111"/>
      <c r="D443" s="90"/>
      <c r="E443" s="112"/>
    </row>
    <row r="444" spans="1:21" s="108" customFormat="1" outlineLevel="1">
      <c r="A444" s="113"/>
      <c r="B444" s="109"/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</row>
    <row r="445" spans="1:21" s="108" customFormat="1" outlineLevel="1">
      <c r="A445" s="82"/>
      <c r="B445" s="107"/>
      <c r="C445" s="114"/>
      <c r="D445" s="114"/>
      <c r="E445" s="114"/>
      <c r="F445" s="114"/>
      <c r="G445" s="114"/>
      <c r="H445" s="114"/>
      <c r="I445" s="114"/>
      <c r="J445" s="114"/>
      <c r="K445" s="114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</row>
    <row r="446" spans="1:21" s="108" customFormat="1" outlineLevel="1">
      <c r="A446" s="81"/>
      <c r="B446" s="114"/>
      <c r="C446" s="114"/>
      <c r="D446" s="114"/>
      <c r="E446" s="114"/>
      <c r="F446" s="114"/>
      <c r="G446" s="114"/>
      <c r="H446" s="114"/>
      <c r="I446" s="114"/>
      <c r="J446" s="114"/>
      <c r="K446" s="114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</row>
    <row r="447" spans="1:21" s="108" customFormat="1" outlineLevel="1">
      <c r="A447" s="81"/>
      <c r="B447" s="114"/>
      <c r="C447" s="114"/>
      <c r="D447" s="114"/>
      <c r="E447" s="114"/>
      <c r="F447" s="114"/>
      <c r="G447" s="114"/>
      <c r="H447" s="114"/>
      <c r="I447" s="114"/>
      <c r="J447" s="114"/>
      <c r="K447" s="114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</row>
    <row r="448" spans="1:21" s="108" customFormat="1" outlineLevel="1">
      <c r="A448" s="81"/>
      <c r="B448" s="114"/>
      <c r="C448" s="114"/>
      <c r="D448" s="114"/>
      <c r="E448" s="114"/>
      <c r="F448" s="114"/>
      <c r="G448" s="114"/>
      <c r="H448" s="114"/>
      <c r="I448" s="114"/>
      <c r="J448" s="114"/>
      <c r="K448" s="114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</row>
    <row r="449" spans="1:21" s="108" customFormat="1" outlineLevel="1">
      <c r="A449" s="80"/>
      <c r="B449" s="114"/>
      <c r="C449" s="114"/>
      <c r="D449" s="114"/>
      <c r="E449" s="114"/>
      <c r="F449" s="114"/>
      <c r="G449" s="114"/>
      <c r="H449" s="114"/>
      <c r="I449" s="114"/>
      <c r="J449" s="114"/>
      <c r="K449" s="114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</row>
    <row r="450" spans="1:21" s="108" customFormat="1" outlineLevel="1">
      <c r="A450" s="71"/>
      <c r="B450" s="114"/>
      <c r="C450" s="114"/>
      <c r="D450" s="114"/>
      <c r="E450" s="114"/>
      <c r="F450" s="114"/>
      <c r="G450" s="114"/>
      <c r="H450" s="114"/>
      <c r="I450" s="114"/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</row>
    <row r="451" spans="1:21" s="108" customFormat="1" outlineLevel="1">
      <c r="A451" s="82"/>
      <c r="B451" s="114"/>
      <c r="C451" s="114"/>
      <c r="D451" s="114"/>
      <c r="E451" s="114"/>
      <c r="F451" s="114"/>
      <c r="G451" s="114"/>
      <c r="H451" s="114"/>
      <c r="I451" s="114"/>
      <c r="J451" s="114"/>
      <c r="K451" s="114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</row>
    <row r="452" spans="1:21" s="108" customFormat="1" outlineLevel="1">
      <c r="A452" s="115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</row>
    <row r="453" spans="1:21" s="108" customFormat="1" outlineLevel="1">
      <c r="A453" s="115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</row>
    <row r="454" spans="1:21" s="108" customFormat="1" outlineLevel="1">
      <c r="A454" s="115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</row>
    <row r="455" spans="1:21" s="108" customFormat="1" outlineLevel="1">
      <c r="A455" s="115"/>
      <c r="B455" s="114"/>
      <c r="C455" s="114"/>
      <c r="D455" s="114"/>
      <c r="E455" s="114"/>
      <c r="F455" s="114"/>
      <c r="G455" s="114"/>
      <c r="H455" s="114"/>
      <c r="I455" s="114"/>
      <c r="J455" s="114"/>
      <c r="K455" s="114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</row>
    <row r="456" spans="1:21" s="108" customFormat="1" outlineLevel="1">
      <c r="A456" s="115"/>
      <c r="B456" s="114"/>
      <c r="C456" s="114"/>
      <c r="D456" s="114"/>
      <c r="E456" s="114"/>
      <c r="F456" s="114"/>
      <c r="G456" s="114"/>
      <c r="H456" s="114"/>
      <c r="I456" s="114"/>
      <c r="J456" s="114"/>
      <c r="K456" s="114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</row>
    <row r="457" spans="1:21" s="108" customFormat="1" outlineLevel="1">
      <c r="A457" s="85"/>
      <c r="B457" s="114"/>
      <c r="C457" s="114"/>
      <c r="D457" s="114"/>
      <c r="E457" s="114"/>
      <c r="F457" s="114"/>
      <c r="G457" s="114"/>
      <c r="H457" s="114"/>
      <c r="I457" s="114"/>
      <c r="J457" s="114"/>
      <c r="K457" s="114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</row>
    <row r="458" spans="1:21" s="108" customFormat="1" outlineLevel="1">
      <c r="A458" s="115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</row>
    <row r="459" spans="1:21" s="108" customFormat="1" outlineLevel="1">
      <c r="A459" s="115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</row>
    <row r="460" spans="1:21" s="108" customFormat="1" outlineLevel="1">
      <c r="A460" s="115"/>
      <c r="B460" s="114"/>
      <c r="C460" s="114"/>
      <c r="D460" s="114"/>
      <c r="E460" s="114"/>
      <c r="F460" s="114"/>
      <c r="G460" s="114"/>
      <c r="H460" s="114"/>
      <c r="I460" s="114"/>
      <c r="J460" s="114"/>
      <c r="K460" s="114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</row>
    <row r="461" spans="1:21" s="108" customFormat="1" outlineLevel="1">
      <c r="A461" s="115"/>
      <c r="B461" s="114"/>
      <c r="C461" s="114"/>
      <c r="D461" s="114"/>
      <c r="E461" s="114"/>
      <c r="F461" s="114"/>
      <c r="G461" s="114"/>
      <c r="H461" s="114"/>
      <c r="I461" s="114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</row>
    <row r="462" spans="1:21" s="108" customFormat="1" outlineLevel="1">
      <c r="A462" s="115"/>
      <c r="B462" s="114"/>
      <c r="C462" s="114"/>
      <c r="D462" s="114"/>
      <c r="E462" s="114"/>
      <c r="F462" s="114"/>
      <c r="G462" s="114"/>
      <c r="H462" s="114"/>
      <c r="I462" s="114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</row>
    <row r="463" spans="1:21" s="108" customFormat="1" outlineLevel="1">
      <c r="A463" s="82"/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</row>
    <row r="464" spans="1:21" s="108" customFormat="1" outlineLevel="1">
      <c r="A464" s="82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</row>
    <row r="465" spans="1:21" s="108" customFormat="1" outlineLevel="1">
      <c r="A465" s="82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</row>
    <row r="466" spans="1:21" s="108" customFormat="1" outlineLevel="1">
      <c r="A466" s="82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</row>
    <row r="467" spans="1:21" s="108" customFormat="1" outlineLevel="1">
      <c r="A467" s="81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</row>
    <row r="468" spans="1:21" s="108" customFormat="1" outlineLevel="1">
      <c r="A468" s="81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</row>
    <row r="469" spans="1:21" s="108" customFormat="1" outlineLevel="1">
      <c r="A469" s="82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</row>
    <row r="470" spans="1:21" s="108" customFormat="1" outlineLevel="1">
      <c r="A470" s="84"/>
      <c r="B470" s="116"/>
      <c r="C470" s="116"/>
      <c r="D470" s="116"/>
      <c r="E470" s="116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</row>
    <row r="471" spans="1:21" s="108" customFormat="1" outlineLevel="1">
      <c r="A471" s="81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</row>
    <row r="472" spans="1:21" s="108" customFormat="1" ht="13.9" customHeight="1" outlineLevel="1">
      <c r="A472" s="80"/>
      <c r="B472" s="114"/>
      <c r="C472" s="114"/>
      <c r="D472" s="114"/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</row>
    <row r="473" spans="1:21" s="118" customFormat="1" outlineLevel="1">
      <c r="A473" s="117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</row>
    <row r="474" spans="1:21" s="108" customFormat="1" outlineLevel="1">
      <c r="A474" s="80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</row>
    <row r="475" spans="1:21" s="108" customFormat="1" outlineLevel="1">
      <c r="A475" s="81"/>
      <c r="B475" s="114"/>
      <c r="C475" s="114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</row>
    <row r="476" spans="1:21" s="108" customFormat="1" outlineLevel="1">
      <c r="A476" s="81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</row>
    <row r="477" spans="1:21" s="108" customFormat="1" outlineLevel="1">
      <c r="A477" s="81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</row>
    <row r="478" spans="1:21" s="108" customFormat="1" outlineLevel="1">
      <c r="A478" s="81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</row>
    <row r="479" spans="1:21" s="108" customFormat="1" outlineLevel="1">
      <c r="A479" s="82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</row>
    <row r="480" spans="1:21" s="118" customFormat="1" outlineLevel="1">
      <c r="A480" s="119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</row>
    <row r="481" spans="1:21" s="108" customFormat="1" outlineLevel="1">
      <c r="A481" s="81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</row>
    <row r="482" spans="1:21" s="108" customFormat="1" outlineLevel="1">
      <c r="A482" s="84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</row>
    <row r="483" spans="1:21" s="108" customFormat="1" outlineLevel="1">
      <c r="A483" s="84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</row>
    <row r="484" spans="1:21" s="108" customFormat="1" outlineLevel="1">
      <c r="A484" s="84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</row>
    <row r="485" spans="1:21" s="108" customFormat="1" outlineLevel="1">
      <c r="A485" s="81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</row>
    <row r="486" spans="1:21" s="118" customFormat="1" outlineLevel="1">
      <c r="A486" s="117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</row>
    <row r="487" spans="1:21" s="108" customFormat="1" outlineLevel="1">
      <c r="A487" s="81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</row>
    <row r="488" spans="1:21" s="108" customFormat="1" outlineLevel="1">
      <c r="A488" s="84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</row>
    <row r="489" spans="1:21" s="108" customFormat="1" outlineLevel="1">
      <c r="A489" s="80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</row>
    <row r="490" spans="1:21" s="118" customFormat="1" outlineLevel="1">
      <c r="A490" s="119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</row>
    <row r="491" spans="1:21" s="108" customFormat="1" outlineLevel="1">
      <c r="A491" s="82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</row>
    <row r="492" spans="1:21" s="118" customFormat="1" outlineLevel="1">
      <c r="A492" s="119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</row>
    <row r="493" spans="1:21" s="108" customFormat="1" outlineLevel="1">
      <c r="A493" s="82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</row>
    <row r="494" spans="1:21" s="108" customFormat="1" outlineLevel="1">
      <c r="A494" s="82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</row>
    <row r="495" spans="1:21" s="108" customFormat="1" outlineLevel="1">
      <c r="A495" s="82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</row>
    <row r="496" spans="1:21" outlineLevel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outlineLevel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outlineLevel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t="18.75" outlineLevel="1">
      <c r="A499" s="8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outlineLevel="1">
      <c r="A500" s="59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outlineLevel="1">
      <c r="A501" s="120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7"/>
      <c r="N501" s="7"/>
      <c r="O501" s="7"/>
      <c r="P501" s="7"/>
      <c r="Q501" s="7"/>
      <c r="R501" s="7"/>
      <c r="S501" s="7"/>
      <c r="T501" s="7"/>
      <c r="U501" s="7"/>
    </row>
    <row r="502" spans="1:21" outlineLevel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outlineLevel="1">
      <c r="A503" s="2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2">
      <c r="A504" s="59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2">
      <c r="A505" s="88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2">
      <c r="A506" s="88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2">
      <c r="A507" s="121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2">
      <c r="A508" s="88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2">
      <c r="A509" s="7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2">
      <c r="A510" s="5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idden="1" outlineLevel="2">
      <c r="A511" s="88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idden="1" outlineLevel="2">
      <c r="A512" s="88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idden="1" outlineLevel="2">
      <c r="A513" s="88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idden="1" outlineLevel="2">
      <c r="A514" s="88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idden="1" outlineLevel="2">
      <c r="A515" s="88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idden="1" outlineLevel="2">
      <c r="A516" s="88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idden="1" outlineLevel="2">
      <c r="A517" s="88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idden="1" outlineLevel="2">
      <c r="A518" s="88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idden="1" outlineLevel="2">
      <c r="A519" s="88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idden="1" outlineLevel="2">
      <c r="A520" s="88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idden="1" outlineLevel="2">
      <c r="A521" s="7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idden="1" outlineLevel="2">
      <c r="A522" s="7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idden="1" outlineLevel="2">
      <c r="A523" s="7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idden="1" outlineLevel="2">
      <c r="A524" s="88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2">
      <c r="A525" s="7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idden="1" outlineLevel="2">
      <c r="A526" s="7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2">
      <c r="A527" s="5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2">
      <c r="A528" s="88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7"/>
      <c r="N528" s="7"/>
      <c r="O528" s="7"/>
      <c r="P528" s="7"/>
      <c r="Q528" s="7"/>
      <c r="R528" s="7"/>
      <c r="S528" s="7"/>
      <c r="T528" s="7"/>
      <c r="U528" s="7"/>
    </row>
    <row r="529" spans="1:21" outlineLevel="1" collapsed="1">
      <c r="A529" s="5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7"/>
      <c r="N529" s="7"/>
      <c r="O529" s="7"/>
      <c r="P529" s="7"/>
      <c r="Q529" s="7"/>
      <c r="R529" s="7"/>
      <c r="S529" s="7"/>
      <c r="T529" s="7"/>
      <c r="U529" s="7"/>
    </row>
    <row r="530" spans="1:21" outlineLevel="1">
      <c r="A530" s="5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7"/>
      <c r="N530" s="7"/>
      <c r="O530" s="7"/>
      <c r="P530" s="7"/>
      <c r="Q530" s="7"/>
      <c r="R530" s="7"/>
      <c r="S530" s="7"/>
      <c r="T530" s="7"/>
      <c r="U530" s="7"/>
    </row>
    <row r="531" spans="1:21" outlineLevel="1">
      <c r="A531" s="5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7"/>
      <c r="N531" s="7"/>
      <c r="O531" s="7"/>
      <c r="P531" s="7"/>
      <c r="Q531" s="7"/>
      <c r="R531" s="7"/>
      <c r="S531" s="7"/>
      <c r="T531" s="7"/>
      <c r="U531" s="7"/>
    </row>
    <row r="532" spans="1:21" outlineLevel="1">
      <c r="A532" s="7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7"/>
      <c r="N532" s="7"/>
      <c r="O532" s="7"/>
      <c r="P532" s="7"/>
      <c r="Q532" s="7"/>
      <c r="R532" s="7"/>
      <c r="S532" s="7"/>
      <c r="T532" s="7"/>
      <c r="U532" s="7"/>
    </row>
    <row r="533" spans="1:21" outlineLevel="1">
      <c r="A533" s="7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7"/>
      <c r="N533" s="7"/>
      <c r="O533" s="7"/>
      <c r="P533" s="7"/>
      <c r="Q533" s="7"/>
      <c r="R533" s="7"/>
      <c r="S533" s="7"/>
      <c r="T533" s="7"/>
      <c r="U533" s="7"/>
    </row>
    <row r="534" spans="1:21" outlineLevel="1">
      <c r="A534" s="5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7"/>
      <c r="N534" s="7"/>
      <c r="O534" s="7"/>
      <c r="P534" s="7"/>
      <c r="Q534" s="7"/>
      <c r="R534" s="7"/>
      <c r="S534" s="7"/>
      <c r="T534" s="7"/>
      <c r="U534" s="7"/>
    </row>
    <row r="535" spans="1:21" outlineLevel="1">
      <c r="A535" s="5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7"/>
      <c r="N535" s="7"/>
      <c r="O535" s="7"/>
      <c r="P535" s="7"/>
      <c r="Q535" s="7"/>
      <c r="R535" s="7"/>
      <c r="S535" s="7"/>
      <c r="T535" s="7"/>
      <c r="U535" s="7"/>
    </row>
    <row r="536" spans="1:21" outlineLevel="1">
      <c r="A536" s="5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7"/>
      <c r="N536" s="7"/>
      <c r="O536" s="7"/>
      <c r="P536" s="7"/>
      <c r="Q536" s="7"/>
      <c r="R536" s="7"/>
      <c r="S536" s="7"/>
      <c r="T536" s="7"/>
      <c r="U536" s="7"/>
    </row>
    <row r="537" spans="1:21" outlineLevel="1">
      <c r="A537" s="5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7"/>
      <c r="N537" s="7"/>
      <c r="O537" s="7"/>
      <c r="P537" s="7"/>
      <c r="Q537" s="7"/>
      <c r="R537" s="7"/>
      <c r="S537" s="7"/>
      <c r="T537" s="7"/>
      <c r="U537" s="7"/>
    </row>
    <row r="538" spans="1:21">
      <c r="A538" s="7"/>
      <c r="B538" s="7"/>
      <c r="C538" s="7"/>
      <c r="D538" s="89"/>
      <c r="E538" s="89"/>
      <c r="F538" s="89"/>
      <c r="G538" s="89"/>
      <c r="H538" s="89"/>
      <c r="I538" s="89"/>
      <c r="J538" s="89"/>
      <c r="K538" s="89"/>
      <c r="L538" s="89"/>
      <c r="M538" s="7"/>
      <c r="N538" s="7"/>
      <c r="O538" s="7"/>
      <c r="P538" s="7"/>
      <c r="Q538" s="7"/>
      <c r="R538" s="7"/>
      <c r="S538" s="7"/>
      <c r="T538" s="7"/>
      <c r="U538" s="7"/>
    </row>
    <row r="539" spans="1:21">
      <c r="A539" s="7"/>
      <c r="B539" s="7"/>
      <c r="C539" s="7"/>
      <c r="D539" s="89"/>
      <c r="E539" s="89"/>
      <c r="F539" s="89"/>
      <c r="G539" s="89"/>
      <c r="H539" s="89"/>
      <c r="I539" s="89"/>
      <c r="J539" s="89"/>
      <c r="K539" s="89"/>
      <c r="L539" s="89"/>
      <c r="M539" s="7"/>
      <c r="N539" s="7"/>
      <c r="O539" s="7"/>
      <c r="P539" s="7"/>
      <c r="Q539" s="7"/>
      <c r="R539" s="7"/>
      <c r="S539" s="7"/>
      <c r="T539" s="7"/>
      <c r="U539" s="7"/>
    </row>
    <row r="540" spans="1:21">
      <c r="A540" s="7"/>
      <c r="B540" s="7"/>
      <c r="C540" s="7"/>
      <c r="D540" s="89"/>
      <c r="E540" s="89"/>
      <c r="F540" s="89"/>
      <c r="G540" s="89"/>
      <c r="H540" s="89"/>
      <c r="I540" s="89"/>
      <c r="J540" s="89"/>
      <c r="K540" s="89"/>
      <c r="L540" s="89"/>
      <c r="M540" s="7"/>
      <c r="N540" s="7"/>
      <c r="O540" s="7"/>
      <c r="P540" s="7"/>
      <c r="Q540" s="7"/>
      <c r="R540" s="7"/>
      <c r="S540" s="7"/>
      <c r="T540" s="7"/>
      <c r="U540" s="7"/>
    </row>
    <row r="541" spans="1:21">
      <c r="A541" s="7"/>
      <c r="B541" s="7"/>
      <c r="C541" s="7"/>
      <c r="D541" s="89"/>
      <c r="E541" s="89"/>
      <c r="F541" s="89"/>
      <c r="G541" s="89"/>
      <c r="H541" s="89"/>
      <c r="I541" s="89"/>
      <c r="J541" s="89"/>
      <c r="K541" s="89"/>
      <c r="L541" s="89"/>
      <c r="M541" s="7"/>
      <c r="N541" s="7"/>
      <c r="O541" s="7"/>
      <c r="P541" s="7"/>
      <c r="Q541" s="7"/>
      <c r="R541" s="7"/>
      <c r="S541" s="7"/>
      <c r="T541" s="7"/>
      <c r="U541" s="7"/>
    </row>
    <row r="542" spans="1:21">
      <c r="A542" s="7"/>
      <c r="B542" s="7"/>
      <c r="C542" s="7"/>
      <c r="D542" s="89"/>
      <c r="E542" s="89"/>
      <c r="F542" s="89"/>
      <c r="G542" s="89"/>
      <c r="H542" s="89"/>
      <c r="I542" s="89"/>
      <c r="J542" s="89"/>
      <c r="K542" s="89"/>
      <c r="L542" s="89"/>
      <c r="M542" s="7"/>
      <c r="N542" s="7"/>
      <c r="O542" s="7"/>
      <c r="P542" s="7"/>
      <c r="Q542" s="7"/>
      <c r="R542" s="7"/>
      <c r="S542" s="7"/>
      <c r="T542" s="7"/>
      <c r="U542" s="7"/>
    </row>
    <row r="543" spans="1:2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="7" customFormat="1"/>
    <row r="546" s="7" customFormat="1"/>
    <row r="547" s="7" customFormat="1"/>
    <row r="548" s="7" customFormat="1"/>
    <row r="549" s="7" customFormat="1"/>
    <row r="550" s="7" customFormat="1"/>
    <row r="551" s="7" customFormat="1"/>
    <row r="552" s="7" customFormat="1"/>
    <row r="553" s="7" customFormat="1"/>
    <row r="554" s="7" customFormat="1"/>
    <row r="555" s="7" customFormat="1"/>
    <row r="556" s="7" customFormat="1"/>
    <row r="557" s="7" customFormat="1"/>
    <row r="558" s="7" customFormat="1"/>
    <row r="559" s="7" customFormat="1"/>
    <row r="560" s="7" customFormat="1"/>
    <row r="561" s="7" customFormat="1"/>
    <row r="562" s="7" customFormat="1"/>
    <row r="563" s="7" customFormat="1"/>
    <row r="564" s="7" customFormat="1"/>
    <row r="565" s="7" customFormat="1"/>
    <row r="566" s="7" customFormat="1"/>
    <row r="567" s="7" customFormat="1"/>
    <row r="568" s="7" customFormat="1"/>
    <row r="569" s="7" customFormat="1"/>
    <row r="570" s="7" customFormat="1"/>
    <row r="571" s="7" customFormat="1"/>
    <row r="572" s="7" customFormat="1"/>
    <row r="573" s="7" customFormat="1"/>
    <row r="574" s="7" customFormat="1"/>
    <row r="575" s="7" customFormat="1"/>
    <row r="576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  <row r="741" s="7" customFormat="1"/>
    <row r="742" s="7" customFormat="1"/>
    <row r="743" s="7" customFormat="1"/>
    <row r="744" s="7" customFormat="1"/>
    <row r="745" s="7" customFormat="1"/>
    <row r="746" s="7" customFormat="1"/>
    <row r="747" s="7" customFormat="1"/>
    <row r="748" s="7" customFormat="1"/>
    <row r="749" s="7" customFormat="1"/>
    <row r="750" s="7" customFormat="1"/>
    <row r="751" s="7" customFormat="1"/>
  </sheetData>
  <pageMargins left="0.18" right="0.17" top="0.37" bottom="0.4" header="0.17" footer="0.21"/>
  <pageSetup scale="54" orientation="landscape" r:id="rId1"/>
  <headerFooter alignWithMargins="0">
    <oddHeader>&amp;L&amp;12Enron Generation Company</oddHeader>
    <oddFooter>&amp;L&amp;T, &amp;D&amp;C&amp;F&amp;RPage &amp;P</oddFooter>
  </headerFooter>
  <rowBreaks count="9" manualBreakCount="9">
    <brk id="205" max="65535" man="1"/>
    <brk id="296" max="65535" man="1"/>
    <brk id="347" max="65535" man="1"/>
    <brk id="400" max="65535" man="1"/>
    <brk id="455" max="65535" man="1"/>
    <brk id="476" max="65535" man="1"/>
    <brk id="526" max="65535" man="1"/>
    <brk id="589" max="65535" man="1"/>
    <brk id="610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2:IR742"/>
  <sheetViews>
    <sheetView zoomScale="75" zoomScaleNormal="75" workbookViewId="0"/>
  </sheetViews>
  <sheetFormatPr defaultRowHeight="12.75" outlineLevelRow="2" outlineLevelCol="1"/>
  <cols>
    <col min="1" max="1" width="33.71093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.42578125" style="7" bestFit="1" customWidth="1"/>
    <col min="24" max="16384" width="9.140625" style="7"/>
  </cols>
  <sheetData>
    <row r="2" spans="1:51" ht="18.75">
      <c r="A2" s="54" t="s">
        <v>132</v>
      </c>
      <c r="B2" s="413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</row>
    <row r="5" spans="1:51" ht="13.5" thickBot="1">
      <c r="A5" s="202" t="s">
        <v>83</v>
      </c>
      <c r="B5" s="8">
        <f>Brownsville!$B$5</f>
        <v>2001</v>
      </c>
      <c r="C5" s="8">
        <f>B5+1</f>
        <v>2002</v>
      </c>
      <c r="D5" s="8">
        <f t="shared" ref="D5:U5" si="0">C5+1</f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  <c r="Y5" s="547">
        <f>SUM(Z5:AS5)-SUM(Z6:AS6)</f>
        <v>0</v>
      </c>
      <c r="Z5" s="548">
        <f>B11+B12</f>
        <v>4688.5599999999995</v>
      </c>
      <c r="AA5" s="548">
        <f>C11+C12</f>
        <v>4829.2168000000001</v>
      </c>
      <c r="AB5" s="548">
        <f>D11+D12</f>
        <v>4974.093304</v>
      </c>
      <c r="AC5" s="548">
        <f t="shared" ref="AC5:AS5" si="1">E16</f>
        <v>4584.1523627776005</v>
      </c>
      <c r="AD5" s="548">
        <f t="shared" si="1"/>
        <v>4721.6769336609268</v>
      </c>
      <c r="AE5" s="548">
        <f t="shared" si="1"/>
        <v>4863.327241670755</v>
      </c>
      <c r="AF5" s="548">
        <f t="shared" si="1"/>
        <v>5009.2270589208783</v>
      </c>
      <c r="AG5" s="548">
        <f t="shared" si="1"/>
        <v>5159.5038706885043</v>
      </c>
      <c r="AH5" s="548">
        <f t="shared" si="1"/>
        <v>5314.2889868091597</v>
      </c>
      <c r="AI5" s="548">
        <f t="shared" si="1"/>
        <v>5473.7176564134352</v>
      </c>
      <c r="AJ5" s="548">
        <f t="shared" si="1"/>
        <v>5637.9291861058373</v>
      </c>
      <c r="AK5" s="548">
        <f t="shared" si="1"/>
        <v>5807.0670616890111</v>
      </c>
      <c r="AL5" s="548">
        <f t="shared" si="1"/>
        <v>5981.279073539682</v>
      </c>
      <c r="AM5" s="548">
        <f t="shared" si="1"/>
        <v>6160.7174457458732</v>
      </c>
      <c r="AN5" s="548">
        <f t="shared" si="1"/>
        <v>6345.538969118249</v>
      </c>
      <c r="AO5" s="548">
        <f t="shared" si="1"/>
        <v>6535.9051381917961</v>
      </c>
      <c r="AP5" s="548">
        <f t="shared" si="1"/>
        <v>6731.9822923375496</v>
      </c>
      <c r="AQ5" s="548">
        <f t="shared" si="1"/>
        <v>6933.941761107676</v>
      </c>
      <c r="AR5" s="548">
        <f t="shared" si="1"/>
        <v>7141.9600139409058</v>
      </c>
      <c r="AS5" s="548">
        <f t="shared" si="1"/>
        <v>7356.2188143591338</v>
      </c>
    </row>
    <row r="6" spans="1:51">
      <c r="A6" s="2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Y6" s="547">
        <v>0</v>
      </c>
      <c r="Z6" s="549">
        <f>B24+B25</f>
        <v>4688.5599999999995</v>
      </c>
      <c r="AA6" s="549">
        <f>C24+C25</f>
        <v>4829.2168000000001</v>
      </c>
      <c r="AB6" s="549">
        <f>D24+D25</f>
        <v>4974.093304</v>
      </c>
      <c r="AC6" s="549">
        <f t="shared" ref="AC6:AS6" si="2">E24+1/3*E25</f>
        <v>4584.1523627776005</v>
      </c>
      <c r="AD6" s="549">
        <f t="shared" si="2"/>
        <v>4721.6769336609286</v>
      </c>
      <c r="AE6" s="549">
        <f t="shared" si="2"/>
        <v>4863.3272416707559</v>
      </c>
      <c r="AF6" s="549">
        <f t="shared" si="2"/>
        <v>5009.2270589208792</v>
      </c>
      <c r="AG6" s="549">
        <f t="shared" si="2"/>
        <v>5159.5038706885061</v>
      </c>
      <c r="AH6" s="549">
        <f t="shared" si="2"/>
        <v>5314.2889868091606</v>
      </c>
      <c r="AI6" s="549">
        <f t="shared" si="2"/>
        <v>5473.7176564134361</v>
      </c>
      <c r="AJ6" s="549">
        <f t="shared" si="2"/>
        <v>5637.9291861058391</v>
      </c>
      <c r="AK6" s="549">
        <f t="shared" si="2"/>
        <v>5807.0670616890138</v>
      </c>
      <c r="AL6" s="549">
        <f t="shared" si="2"/>
        <v>5981.2790735396848</v>
      </c>
      <c r="AM6" s="549">
        <f t="shared" si="2"/>
        <v>6160.717445745875</v>
      </c>
      <c r="AN6" s="549">
        <f t="shared" si="2"/>
        <v>6345.5389691182509</v>
      </c>
      <c r="AO6" s="549">
        <f t="shared" si="2"/>
        <v>6535.9051381917989</v>
      </c>
      <c r="AP6" s="549">
        <f t="shared" si="2"/>
        <v>6731.9822923375532</v>
      </c>
      <c r="AQ6" s="549">
        <f t="shared" si="2"/>
        <v>6933.9417611076797</v>
      </c>
      <c r="AR6" s="549">
        <f t="shared" si="2"/>
        <v>7141.9600139409104</v>
      </c>
      <c r="AS6" s="549">
        <f t="shared" si="2"/>
        <v>7356.2188143591375</v>
      </c>
    </row>
    <row r="7" spans="1:51">
      <c r="A7" s="2"/>
      <c r="B7" s="477"/>
      <c r="C7" s="477"/>
      <c r="D7" s="477"/>
      <c r="E7" s="477"/>
      <c r="F7" s="477"/>
      <c r="G7" s="477"/>
      <c r="H7" s="477"/>
      <c r="I7" s="477"/>
      <c r="J7" s="477"/>
      <c r="K7" s="477"/>
      <c r="L7" s="477"/>
      <c r="M7" s="477"/>
      <c r="N7" s="477"/>
      <c r="O7" s="477"/>
      <c r="P7" s="477"/>
      <c r="Q7" s="477"/>
      <c r="R7" s="477"/>
      <c r="S7" s="477"/>
      <c r="T7" s="477"/>
      <c r="U7" s="477"/>
    </row>
    <row r="8" spans="1:51">
      <c r="A8" s="1" t="s">
        <v>84</v>
      </c>
      <c r="B8" s="478"/>
      <c r="C8" s="478"/>
      <c r="D8" s="478"/>
      <c r="E8" s="478"/>
      <c r="F8" s="478"/>
      <c r="G8" s="478"/>
      <c r="H8" s="478"/>
      <c r="I8" s="478"/>
      <c r="J8" s="478"/>
      <c r="K8" s="478"/>
      <c r="L8" s="478"/>
      <c r="M8" s="478"/>
      <c r="N8" s="478"/>
      <c r="O8" s="478"/>
      <c r="P8" s="478"/>
      <c r="Q8" s="478"/>
      <c r="R8" s="478"/>
      <c r="S8" s="478"/>
      <c r="T8" s="478"/>
      <c r="U8" s="478"/>
      <c r="V8" s="60"/>
      <c r="W8" s="60"/>
      <c r="X8" s="60"/>
    </row>
    <row r="9" spans="1:51">
      <c r="A9" s="385" t="s">
        <v>198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60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</row>
    <row r="10" spans="1:51">
      <c r="A10" s="3" t="s">
        <v>85</v>
      </c>
      <c r="B10" s="58">
        <f>'Power Price Assumption'!E66*12*Summary!$I$11</f>
        <v>29184</v>
      </c>
      <c r="C10" s="58">
        <f>'Power Price Assumption'!F66*12*Summary!$I$11</f>
        <v>29184</v>
      </c>
      <c r="D10" s="58">
        <f>'Power Price Assumption'!G66*12*Summary!$I$11</f>
        <v>29184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60"/>
      <c r="W10" s="93">
        <f>SUM(B10:U10)</f>
        <v>87552</v>
      </c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</row>
    <row r="11" spans="1:51">
      <c r="A11" s="3" t="s">
        <v>317</v>
      </c>
      <c r="B11" s="58">
        <f>Summary!I24*Summary!I26/1000*(1+Summary!$I$48)</f>
        <v>4070.56</v>
      </c>
      <c r="C11" s="58">
        <f>B11*(1+Summary!$I$48)</f>
        <v>4192.6768000000002</v>
      </c>
      <c r="D11" s="58">
        <f>C11*(1+Summary!$I$48)</f>
        <v>4318.4571040000001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60"/>
      <c r="W11" s="93">
        <f>SUM(B11:U11)</f>
        <v>12581.693904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</row>
    <row r="12" spans="1:51">
      <c r="A12" s="3" t="s">
        <v>213</v>
      </c>
      <c r="B12" s="129">
        <f>Summary!$I$25*Summary!$I$14*Summary!$I$9/1000*(1+Summary!$I$48)</f>
        <v>618</v>
      </c>
      <c r="C12" s="93">
        <f>B12*(1+Summary!$I$48)</f>
        <v>636.54</v>
      </c>
      <c r="D12" s="93">
        <f>C12*(1+Summary!$I$48)</f>
        <v>655.63620000000003</v>
      </c>
      <c r="E12" s="58"/>
      <c r="F12" s="58"/>
      <c r="G12" s="58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0"/>
      <c r="W12" s="93">
        <f>SUM(B12:U12)</f>
        <v>1910.1761999999999</v>
      </c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</row>
    <row r="13" spans="1:51">
      <c r="A13" s="1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60"/>
      <c r="W13" s="93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</row>
    <row r="14" spans="1:51">
      <c r="A14" s="385" t="s">
        <v>233</v>
      </c>
      <c r="W14" s="93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</row>
    <row r="15" spans="1:51" s="64" customFormat="1" ht="12" customHeight="1">
      <c r="A15" s="3" t="s">
        <v>85</v>
      </c>
      <c r="B15" s="21">
        <v>0</v>
      </c>
      <c r="C15" s="21">
        <v>0</v>
      </c>
      <c r="D15" s="21">
        <v>0</v>
      </c>
      <c r="E15" s="21">
        <f>'Power Price Assumption'!H66*Summary!$I$11*12*(1-Summary!$I$29)</f>
        <v>44822.239582921873</v>
      </c>
      <c r="F15" s="21">
        <f>'Power Price Assumption'!I66*Summary!$I$11*12*(1-Summary!$I$29)</f>
        <v>46899.714814384286</v>
      </c>
      <c r="G15" s="21">
        <f>'Power Price Assumption'!J66*Summary!$I$11*12*(1-Summary!$I$29)</f>
        <v>47853.830887639422</v>
      </c>
      <c r="H15" s="21">
        <f>'Power Price Assumption'!K66*Summary!$I$11*12*(1-Summary!$I$29)</f>
        <v>48822.984181956905</v>
      </c>
      <c r="I15" s="21">
        <f>'Power Price Assumption'!L66*Summary!$I$11*12*(1-Summary!$I$29)</f>
        <v>49807.218226134566</v>
      </c>
      <c r="J15" s="21">
        <f>'Power Price Assumption'!M66*Summary!$I$11*12*(1-Summary!$I$29)</f>
        <v>50806.565627199139</v>
      </c>
      <c r="K15" s="21">
        <f>'Power Price Assumption'!N66*Summary!$I$11*12*(1-Summary!$I$29)</f>
        <v>51821.047375924056</v>
      </c>
      <c r="L15" s="21">
        <f>'Power Price Assumption'!O66*Summary!$I$11*12*(1-Summary!$I$29)</f>
        <v>52850.672120507981</v>
      </c>
      <c r="M15" s="21">
        <f>'Power Price Assumption'!P66*Summary!$I$11*12*(1-Summary!$I$29)</f>
        <v>53895.435407128622</v>
      </c>
      <c r="N15" s="21">
        <f>'Power Price Assumption'!Q66*Summary!$I$11*12*(1-Summary!$I$29)</f>
        <v>54955.31888603804</v>
      </c>
      <c r="O15" s="21">
        <f>'Power Price Assumption'!R66*Summary!$I$11*12*(1-Summary!$I$29)</f>
        <v>56030.289481815606</v>
      </c>
      <c r="P15" s="21">
        <f>'Power Price Assumption'!S66*Summary!$I$11*12*(1-Summary!$I$29)</f>
        <v>57120.298526342391</v>
      </c>
      <c r="Q15" s="21">
        <f>'Power Price Assumption'!T66*Summary!$I$11*12*(1-Summary!$I$29)</f>
        <v>58022.405309965325</v>
      </c>
      <c r="R15" s="21">
        <f>'Power Price Assumption'!U66*Summary!$I$11*12*(1-Summary!$I$29)</f>
        <v>58927.230231931913</v>
      </c>
      <c r="S15" s="21">
        <f>'Power Price Assumption'!V66*Summary!$I$11*12*(1-Summary!$I$29)</f>
        <v>59834.124484437532</v>
      </c>
      <c r="T15" s="21">
        <f>'Power Price Assumption'!W66*Summary!$I$11*12*(1-Summary!$I$29)</f>
        <v>60742.39788488474</v>
      </c>
      <c r="U15" s="21">
        <f>'Power Price Assumption'!X66*Summary!$I$11*12*(1-Summary!$I$29)</f>
        <v>61651.316977322807</v>
      </c>
      <c r="W15" s="93">
        <f t="shared" ref="W15:W20" si="3">SUM(B15:U15)</f>
        <v>914863.09000653529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</row>
    <row r="16" spans="1:51" s="64" customFormat="1" ht="12" customHeight="1">
      <c r="A16" s="3" t="s">
        <v>86</v>
      </c>
      <c r="B16" s="21">
        <v>0</v>
      </c>
      <c r="C16" s="21">
        <v>0</v>
      </c>
      <c r="D16" s="21">
        <v>0</v>
      </c>
      <c r="E16" s="129">
        <f>1/3*Summary!$I$25*Summary!$I$14*Summary!$I$9/1000*(1+Summary!$I$48)^(E5-2000)+Summary!$I$31*Summary!$I$24*(1+Summary!$I$48)^(E5-2000)/1000</f>
        <v>4584.1523627776005</v>
      </c>
      <c r="F16" s="129">
        <f>1/3*Summary!$I$25*Summary!$I$14*Summary!$I$9/1000*(1+Summary!$I$48)^(F5-2000)+Summary!$I$31*Summary!$I$24*(1+Summary!$I$48)^(F5-2000)/1000</f>
        <v>4721.6769336609268</v>
      </c>
      <c r="G16" s="129">
        <f>1/3*Summary!$I$25*Summary!$I$14*Summary!$I$9/1000*(1+Summary!$I$48)^(G5-2000)+Summary!$I$31*Summary!$I$24*(1+Summary!$I$48)^(G5-2000)/1000</f>
        <v>4863.327241670755</v>
      </c>
      <c r="H16" s="129">
        <f>1/3*Summary!$I$25*Summary!$I$14*Summary!$I$9/1000*(1+Summary!$I$48)^(H5-2000)+Summary!$I$31*Summary!$I$24*(1+Summary!$I$48)^(H5-2000)/1000</f>
        <v>5009.2270589208783</v>
      </c>
      <c r="I16" s="129">
        <f>1/3*Summary!$I$25*Summary!$I$14*Summary!$I$9/1000*(1+Summary!$I$48)^(I5-2000)+Summary!$I$31*Summary!$I$24*(1+Summary!$I$48)^(I5-2000)/1000</f>
        <v>5159.5038706885043</v>
      </c>
      <c r="J16" s="129">
        <f>1/3*Summary!$I$25*Summary!$I$14*Summary!$I$9/1000*(1+Summary!$I$48)^(J5-2000)+Summary!$I$31*Summary!$I$24*(1+Summary!$I$48)^(J5-2000)/1000</f>
        <v>5314.2889868091597</v>
      </c>
      <c r="K16" s="129">
        <f>1/3*Summary!$I$25*Summary!$I$14*Summary!$I$9/1000*(1+Summary!$I$48)^(K5-2000)+Summary!$I$31*Summary!$I$24*(1+Summary!$I$48)^(K5-2000)/1000</f>
        <v>5473.7176564134352</v>
      </c>
      <c r="L16" s="129">
        <f>1/3*Summary!$I$25*Summary!$I$14*Summary!$I$9/1000*(1+Summary!$I$48)^(L5-2000)+Summary!$I$31*Summary!$I$24*(1+Summary!$I$48)^(L5-2000)/1000</f>
        <v>5637.9291861058373</v>
      </c>
      <c r="M16" s="129">
        <f>1/3*Summary!$I$25*Summary!$I$14*Summary!$I$9/1000*(1+Summary!$I$48)^(M5-2000)+Summary!$I$31*Summary!$I$24*(1+Summary!$I$48)^(M5-2000)/1000</f>
        <v>5807.0670616890111</v>
      </c>
      <c r="N16" s="129">
        <f>1/3*Summary!$I$25*Summary!$I$14*Summary!$I$9/1000*(1+Summary!$I$48)^(N5-2000)+Summary!$I$31*Summary!$I$24*(1+Summary!$I$48)^(N5-2000)/1000</f>
        <v>5981.279073539682</v>
      </c>
      <c r="O16" s="129">
        <f>1/3*Summary!$I$25*Summary!$I$14*Summary!$I$9/1000*(1+Summary!$I$48)^(O5-2000)+Summary!$I$31*Summary!$I$24*(1+Summary!$I$48)^(O5-2000)/1000</f>
        <v>6160.7174457458732</v>
      </c>
      <c r="P16" s="129">
        <f>1/3*Summary!$I$25*Summary!$I$14*Summary!$I$9/1000*(1+Summary!$I$48)^(P5-2000)+Summary!$I$31*Summary!$I$24*(1+Summary!$I$48)^(P5-2000)/1000</f>
        <v>6345.538969118249</v>
      </c>
      <c r="Q16" s="129">
        <f>1/3*Summary!$I$25*Summary!$I$14*Summary!$I$9/1000*(1+Summary!$I$48)^(Q5-2000)+Summary!$I$31*Summary!$I$24*(1+Summary!$I$48)^(Q5-2000)/1000</f>
        <v>6535.9051381917961</v>
      </c>
      <c r="R16" s="129">
        <f>1/3*Summary!$I$25*Summary!$I$14*Summary!$I$9/1000*(1+Summary!$I$48)^(R5-2000)+Summary!$I$31*Summary!$I$24*(1+Summary!$I$48)^(R5-2000)/1000</f>
        <v>6731.9822923375496</v>
      </c>
      <c r="S16" s="129">
        <f>1/3*Summary!$I$25*Summary!$I$14*Summary!$I$9/1000*(1+Summary!$I$48)^(S5-2000)+Summary!$I$31*Summary!$I$24*(1+Summary!$I$48)^(S5-2000)/1000</f>
        <v>6933.941761107676</v>
      </c>
      <c r="T16" s="129">
        <f>1/3*Summary!$I$25*Summary!$I$14*Summary!$I$9/1000*(1+Summary!$I$48)^(T5-2000)+Summary!$I$31*Summary!$I$24*(1+Summary!$I$48)^(T5-2000)/1000</f>
        <v>7141.9600139409058</v>
      </c>
      <c r="U16" s="129">
        <f>1/3*Summary!$I$25*Summary!$I$14*Summary!$I$9/1000*(1+Summary!$I$48)^(U5-2000)+Summary!$I$31*Summary!$I$24*(1+Summary!$I$48)^(U5-2000)/1000</f>
        <v>7356.2188143591338</v>
      </c>
      <c r="W16" s="93">
        <f t="shared" si="3"/>
        <v>99758.433867076965</v>
      </c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</row>
    <row r="17" spans="1:51" s="64" customFormat="1" ht="12" customHeight="1">
      <c r="A17" s="3" t="s">
        <v>87</v>
      </c>
      <c r="B17" s="21">
        <v>0</v>
      </c>
      <c r="C17" s="21">
        <v>0</v>
      </c>
      <c r="D17" s="21">
        <v>0</v>
      </c>
      <c r="E17" s="21">
        <f>Summary!$I$11*Summary!$I$29*Summary!$I$30*Summary!$I$15/1000</f>
        <v>39.520000000000003</v>
      </c>
      <c r="F17" s="21">
        <f>Summary!$I$11*Summary!$I$29*Summary!$I$30*Summary!$I$15/1000</f>
        <v>39.520000000000003</v>
      </c>
      <c r="G17" s="21">
        <f>Summary!$I$11*Summary!$I$29*Summary!$I$30*Summary!$I$15/1000</f>
        <v>39.520000000000003</v>
      </c>
      <c r="H17" s="21">
        <f>Summary!$I$11*Summary!$I$29*Summary!$I$30*Summary!$I$15/1000</f>
        <v>39.520000000000003</v>
      </c>
      <c r="I17" s="21">
        <f>Summary!$I$11*Summary!$I$29*Summary!$I$30*Summary!$I$15/1000</f>
        <v>39.520000000000003</v>
      </c>
      <c r="J17" s="21">
        <f>Summary!$I$11*Summary!$I$29*Summary!$I$30*Summary!$I$15/1000</f>
        <v>39.520000000000003</v>
      </c>
      <c r="K17" s="21">
        <f>Summary!$I$11*Summary!$I$29*Summary!$I$30*Summary!$I$15/1000</f>
        <v>39.520000000000003</v>
      </c>
      <c r="L17" s="21">
        <f>Summary!$I$11*Summary!$I$29*Summary!$I$30*Summary!$I$15/1000</f>
        <v>39.520000000000003</v>
      </c>
      <c r="M17" s="21">
        <f>Summary!$I$11*Summary!$I$29*Summary!$I$30*Summary!$I$15/1000</f>
        <v>39.520000000000003</v>
      </c>
      <c r="N17" s="21">
        <f>Summary!$I$11*Summary!$I$29*Summary!$I$30*Summary!$I$15/1000</f>
        <v>39.520000000000003</v>
      </c>
      <c r="O17" s="21">
        <f>Summary!$I$11*Summary!$I$29*Summary!$I$30*Summary!$I$15/1000</f>
        <v>39.520000000000003</v>
      </c>
      <c r="P17" s="21">
        <f>Summary!$I$11*Summary!$I$29*Summary!$I$30*Summary!$I$15/1000</f>
        <v>39.520000000000003</v>
      </c>
      <c r="Q17" s="21">
        <f>Summary!$I$11*Summary!$I$29*Summary!$I$30*Summary!$I$15/1000</f>
        <v>39.520000000000003</v>
      </c>
      <c r="R17" s="21">
        <f>Summary!$I$11*Summary!$I$29*Summary!$I$30*Summary!$I$15/1000</f>
        <v>39.520000000000003</v>
      </c>
      <c r="S17" s="21">
        <f>Summary!$I$11*Summary!$I$29*Summary!$I$30*Summary!$I$15/1000</f>
        <v>39.520000000000003</v>
      </c>
      <c r="T17" s="21">
        <f>Summary!$I$11*Summary!$I$29*Summary!$I$30*Summary!$I$15/1000</f>
        <v>39.520000000000003</v>
      </c>
      <c r="U17" s="21">
        <f>Summary!$I$11*Summary!$I$29*Summary!$I$30*Summary!$I$15/1000</f>
        <v>39.520000000000003</v>
      </c>
      <c r="W17" s="93">
        <f t="shared" si="3"/>
        <v>671.83999999999992</v>
      </c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</row>
    <row r="18" spans="1:51" s="64" customFormat="1" ht="12" customHeight="1">
      <c r="A18" s="3"/>
      <c r="W18" s="93">
        <f t="shared" si="3"/>
        <v>0</v>
      </c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</row>
    <row r="19" spans="1:51" s="64" customFormat="1" ht="12" customHeight="1">
      <c r="A19" s="3" t="s">
        <v>254</v>
      </c>
      <c r="B19" s="206">
        <f>(SUM(B10:B17)-SUM(B23:B32))*Assumptions!$B$32/4</f>
        <v>321.7333715144332</v>
      </c>
      <c r="C19" s="206">
        <f>(SUM(C10:C17)-SUM(C23:C32))*Assumptions!$B$32/4</f>
        <v>321.67204300377273</v>
      </c>
      <c r="D19" s="206">
        <f>(SUM(D10:D17)-SUM(D23:D32))*Assumptions!$B$32/4</f>
        <v>320.67816285964693</v>
      </c>
      <c r="E19" s="206">
        <f>(SUM(E10:E17)-SUM(E23:E32))*Assumptions!$B$32/4</f>
        <v>503.97308518834893</v>
      </c>
      <c r="F19" s="206">
        <f>(SUM(F10:F17)-SUM(F23:F32))*Assumptions!$B$32/4</f>
        <v>528.50474208564287</v>
      </c>
      <c r="G19" s="206">
        <f>(SUM(G10:G17)-SUM(G23:G32))*Assumptions!$B$32/4</f>
        <v>538.9520935004665</v>
      </c>
      <c r="H19" s="206">
        <f>(SUM(H10:H17)-SUM(H23:H32))*Assumptions!$B$32/4</f>
        <v>549.7026871935434</v>
      </c>
      <c r="I19" s="206">
        <f>(SUM(I10:I17)-SUM(I23:I32))*Assumptions!$B$32/4</f>
        <v>560.60087558529574</v>
      </c>
      <c r="J19" s="206">
        <f>(SUM(J10:J17)-SUM(J23:J32))*Assumptions!$B$32/4</f>
        <v>571.64583882332056</v>
      </c>
      <c r="K19" s="206">
        <f>(SUM(K10:K17)-SUM(K23:K32))*Assumptions!$B$32/4</f>
        <v>582.83657502884114</v>
      </c>
      <c r="L19" s="206">
        <f>(SUM(L10:L17)-SUM(L23:L32))*Assumptions!$B$32/4</f>
        <v>594.17189011299308</v>
      </c>
      <c r="M19" s="206">
        <f>(SUM(M10:M17)-SUM(M23:M32))*Assumptions!$B$32/4</f>
        <v>605.65038714590958</v>
      </c>
      <c r="N19" s="206">
        <f>(SUM(N10:N17)-SUM(N23:N32))*Assumptions!$B$32/4</f>
        <v>617.27045526094059</v>
      </c>
      <c r="O19" s="206">
        <f>(SUM(O10:O17)-SUM(O23:O32))*Assumptions!$B$32/4</f>
        <v>629.03025807568326</v>
      </c>
      <c r="P19" s="206">
        <f>(SUM(P10:P17)-SUM(P23:P32))*Assumptions!$B$32/4</f>
        <v>640.92772161081689</v>
      </c>
      <c r="Q19" s="206">
        <f>(SUM(Q10:Q17)-SUM(Q23:Q32))*Assumptions!$B$32/4</f>
        <v>650.42457739900885</v>
      </c>
      <c r="R19" s="206">
        <f>(SUM(R10:R17)-SUM(R23:R32))*Assumptions!$B$32/4</f>
        <v>659.90202554628377</v>
      </c>
      <c r="S19" s="206">
        <f>(SUM(S10:S17)-SUM(S23:S32))*Assumptions!$B$32/4</f>
        <v>669.35035442397725</v>
      </c>
      <c r="T19" s="206">
        <f>(SUM(T10:T17)-SUM(T23:T32))*Assumptions!$B$32/4</f>
        <v>678.75928717258182</v>
      </c>
      <c r="U19" s="206">
        <f>(SUM(U10:U17)-SUM(U23:U32))*Assumptions!$B$32/4</f>
        <v>688.11795652836236</v>
      </c>
      <c r="W19" s="93">
        <f t="shared" si="3"/>
        <v>11233.904388059869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</row>
    <row r="20" spans="1:51" s="64" customFormat="1" ht="12" customHeight="1">
      <c r="A20" s="3" t="s">
        <v>88</v>
      </c>
      <c r="B20" s="58">
        <f>SUM(B10:B19)</f>
        <v>34194.293371514432</v>
      </c>
      <c r="C20" s="58">
        <f t="shared" ref="C20:U20" si="4">SUM(C10:C19)</f>
        <v>34334.888843003777</v>
      </c>
      <c r="D20" s="58">
        <f t="shared" si="4"/>
        <v>34478.771466859645</v>
      </c>
      <c r="E20" s="58">
        <f t="shared" si="4"/>
        <v>49949.885030887825</v>
      </c>
      <c r="F20" s="58">
        <f t="shared" si="4"/>
        <v>52189.416490130854</v>
      </c>
      <c r="G20" s="58">
        <f t="shared" si="4"/>
        <v>53295.630222810643</v>
      </c>
      <c r="H20" s="58">
        <f t="shared" si="4"/>
        <v>54421.433928071325</v>
      </c>
      <c r="I20" s="58">
        <f t="shared" si="4"/>
        <v>55566.842972408362</v>
      </c>
      <c r="J20" s="58">
        <f t="shared" si="4"/>
        <v>56732.020452831617</v>
      </c>
      <c r="K20" s="58">
        <f t="shared" si="4"/>
        <v>57917.121607366331</v>
      </c>
      <c r="L20" s="58">
        <f t="shared" si="4"/>
        <v>59122.293196726809</v>
      </c>
      <c r="M20" s="58">
        <f t="shared" si="4"/>
        <v>60347.672855963538</v>
      </c>
      <c r="N20" s="58">
        <f t="shared" si="4"/>
        <v>61593.388414838664</v>
      </c>
      <c r="O20" s="58">
        <f t="shared" si="4"/>
        <v>62859.557185637161</v>
      </c>
      <c r="P20" s="58">
        <f t="shared" si="4"/>
        <v>64146.285217071454</v>
      </c>
      <c r="Q20" s="58">
        <f t="shared" si="4"/>
        <v>65248.255025556129</v>
      </c>
      <c r="R20" s="58">
        <f t="shared" si="4"/>
        <v>66358.634549815746</v>
      </c>
      <c r="S20" s="58">
        <f t="shared" si="4"/>
        <v>67476.936599969195</v>
      </c>
      <c r="T20" s="58">
        <f t="shared" si="4"/>
        <v>68602.637185998232</v>
      </c>
      <c r="U20" s="58">
        <f t="shared" si="4"/>
        <v>69735.173748210305</v>
      </c>
      <c r="W20" s="93">
        <f t="shared" si="3"/>
        <v>1128571.138365672</v>
      </c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</row>
    <row r="21" spans="1:51" s="64" customFormat="1" ht="12" customHeight="1">
      <c r="A21" s="4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W21" s="93"/>
    </row>
    <row r="22" spans="1:51">
      <c r="A22" s="1" t="s">
        <v>89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W22" s="93"/>
    </row>
    <row r="23" spans="1:51">
      <c r="A23" s="3" t="s">
        <v>63</v>
      </c>
      <c r="B23" s="129">
        <f>Summary!I51*(1+Summary!$I$48)</f>
        <v>1491.9967885714286</v>
      </c>
      <c r="C23" s="93">
        <f>B23*(1+Summary!$I$48)</f>
        <v>1536.7566922285714</v>
      </c>
      <c r="D23" s="93">
        <f>C23*(1+Summary!$I$48)</f>
        <v>1582.8593929954286</v>
      </c>
      <c r="E23" s="93">
        <f>D23*(1+Summary!$I$48)</f>
        <v>1630.3451747852914</v>
      </c>
      <c r="F23" s="93">
        <f>E23*(1+Summary!$I$48)</f>
        <v>1679.2555300288502</v>
      </c>
      <c r="G23" s="93">
        <f>F23*(1+Summary!$I$48)</f>
        <v>1729.6331959297158</v>
      </c>
      <c r="H23" s="93">
        <f>G23*(1+Summary!$I$48)</f>
        <v>1781.5221918076074</v>
      </c>
      <c r="I23" s="93">
        <f>H23*(1+Summary!$I$48)</f>
        <v>1834.9678575618357</v>
      </c>
      <c r="J23" s="93">
        <f>I23*(1+Summary!$I$48)</f>
        <v>1890.0168932886909</v>
      </c>
      <c r="K23" s="93">
        <f>J23*(1+Summary!$I$48)</f>
        <v>1946.7174000873517</v>
      </c>
      <c r="L23" s="93">
        <f>K23*(1+Summary!$I$48)</f>
        <v>2005.1189220899723</v>
      </c>
      <c r="M23" s="93">
        <f>L23*(1+Summary!$I$48)</f>
        <v>2065.2724897526714</v>
      </c>
      <c r="N23" s="93">
        <f>M23*(1+Summary!$I$48)</f>
        <v>2127.2306644452515</v>
      </c>
      <c r="O23" s="93">
        <f>N23*(1+Summary!$I$48)</f>
        <v>2191.0475843786089</v>
      </c>
      <c r="P23" s="93">
        <f>O23*(1+Summary!$I$48)</f>
        <v>2256.7790119099673</v>
      </c>
      <c r="Q23" s="93">
        <f>P23*(1+Summary!$I$48)</f>
        <v>2324.4823822672665</v>
      </c>
      <c r="R23" s="93">
        <f>Q23*(1+Summary!$I$48)</f>
        <v>2394.2168537352845</v>
      </c>
      <c r="S23" s="93">
        <f>R23*(1+Summary!$I$48)</f>
        <v>2466.0433593473431</v>
      </c>
      <c r="T23" s="93">
        <f>S23*(1+Summary!$I$48)</f>
        <v>2540.0246601277636</v>
      </c>
      <c r="U23" s="93">
        <f>T23*(1+Summary!$I$48)</f>
        <v>2616.2253999315967</v>
      </c>
      <c r="W23" s="93">
        <f t="shared" ref="W23:W33" si="5">SUM(B23:U23)</f>
        <v>40090.512445270491</v>
      </c>
    </row>
    <row r="24" spans="1:51">
      <c r="A24" s="3" t="s">
        <v>64</v>
      </c>
      <c r="B24" s="129">
        <f>Summary!I52*(1+Summary!$I$48)</f>
        <v>4070.56</v>
      </c>
      <c r="C24" s="93">
        <f>B24*(1+Summary!$I$48)</f>
        <v>4192.6768000000002</v>
      </c>
      <c r="D24" s="93">
        <f>C24*(1+Summary!$I$48)</f>
        <v>4318.4571040000001</v>
      </c>
      <c r="E24" s="129">
        <f>Summary!$I$31*Summary!$I$45*(1+Summary!$I$48)^(E5-2000)/1000</f>
        <v>4359.0506007776003</v>
      </c>
      <c r="F24" s="93">
        <f>E24*(1+Summary!$I$48)</f>
        <v>4489.8221188009284</v>
      </c>
      <c r="G24" s="93">
        <f>F24*(1+Summary!$I$48)</f>
        <v>4624.5167823649563</v>
      </c>
      <c r="H24" s="93">
        <f>G24*(1+Summary!$I$48)</f>
        <v>4763.2522858359052</v>
      </c>
      <c r="I24" s="93">
        <f>H24*(1+Summary!$I$48)</f>
        <v>4906.1498544109827</v>
      </c>
      <c r="J24" s="93">
        <f>I24*(1+Summary!$I$48)</f>
        <v>5053.334350043312</v>
      </c>
      <c r="K24" s="93">
        <f>J24*(1+Summary!$I$48)</f>
        <v>5204.9343805446115</v>
      </c>
      <c r="L24" s="93">
        <f>K24*(1+Summary!$I$48)</f>
        <v>5361.0824119609497</v>
      </c>
      <c r="M24" s="93">
        <f>L24*(1+Summary!$I$48)</f>
        <v>5521.9148843197781</v>
      </c>
      <c r="N24" s="93">
        <f>M24*(1+Summary!$I$48)</f>
        <v>5687.5723308493716</v>
      </c>
      <c r="O24" s="93">
        <f>N24*(1+Summary!$I$48)</f>
        <v>5858.1995007748528</v>
      </c>
      <c r="P24" s="93">
        <f>O24*(1+Summary!$I$48)</f>
        <v>6033.9454857980982</v>
      </c>
      <c r="Q24" s="93">
        <f>P24*(1+Summary!$I$48)</f>
        <v>6214.9638503720416</v>
      </c>
      <c r="R24" s="93">
        <f>Q24*(1+Summary!$I$48)</f>
        <v>6401.4127658832031</v>
      </c>
      <c r="S24" s="93">
        <f>R24*(1+Summary!$I$48)</f>
        <v>6593.455148859699</v>
      </c>
      <c r="T24" s="93">
        <f>S24*(1+Summary!$I$48)</f>
        <v>6791.2588033254897</v>
      </c>
      <c r="U24" s="93">
        <f>T24*(1+Summary!$I$48)</f>
        <v>6994.9965674252544</v>
      </c>
      <c r="W24" s="93">
        <f t="shared" si="5"/>
        <v>107441.55602634705</v>
      </c>
    </row>
    <row r="25" spans="1:51">
      <c r="A25" s="3" t="s">
        <v>65</v>
      </c>
      <c r="B25" s="129">
        <f>Summary!$I$53*Summary!$I$14*Summary!$I$9/1000*(1+Summary!$I$48)</f>
        <v>618</v>
      </c>
      <c r="C25" s="93">
        <f>B25*(1+Summary!$I$48)</f>
        <v>636.54</v>
      </c>
      <c r="D25" s="93">
        <f>C25*(1+Summary!$I$48)</f>
        <v>655.63620000000003</v>
      </c>
      <c r="E25" s="93">
        <f>D25*(1+Summary!$I$48)</f>
        <v>675.30528600000002</v>
      </c>
      <c r="F25" s="93">
        <f>E25*(1+Summary!$I$48)</f>
        <v>695.56444457999999</v>
      </c>
      <c r="G25" s="93">
        <f>F25*(1+Summary!$I$48)</f>
        <v>716.43137791740003</v>
      </c>
      <c r="H25" s="93">
        <f>G25*(1+Summary!$I$48)</f>
        <v>737.92431925492201</v>
      </c>
      <c r="I25" s="93">
        <f>H25*(1+Summary!$I$48)</f>
        <v>760.06204883256964</v>
      </c>
      <c r="J25" s="93">
        <f>I25*(1+Summary!$I$48)</f>
        <v>782.86391029754679</v>
      </c>
      <c r="K25" s="93">
        <f>J25*(1+Summary!$I$48)</f>
        <v>806.34982760647324</v>
      </c>
      <c r="L25" s="93">
        <f>K25*(1+Summary!$I$48)</f>
        <v>830.54032243466747</v>
      </c>
      <c r="M25" s="93">
        <f>L25*(1+Summary!$I$48)</f>
        <v>855.45653210770752</v>
      </c>
      <c r="N25" s="93">
        <f>M25*(1+Summary!$I$48)</f>
        <v>881.12022807093877</v>
      </c>
      <c r="O25" s="93">
        <f>N25*(1+Summary!$I$48)</f>
        <v>907.55383491306691</v>
      </c>
      <c r="P25" s="93">
        <f>O25*(1+Summary!$I$48)</f>
        <v>934.7804499604589</v>
      </c>
      <c r="Q25" s="93">
        <f>P25*(1+Summary!$I$48)</f>
        <v>962.82386345927273</v>
      </c>
      <c r="R25" s="93">
        <f>Q25*(1+Summary!$I$48)</f>
        <v>991.70857936305094</v>
      </c>
      <c r="S25" s="93">
        <f>R25*(1+Summary!$I$48)</f>
        <v>1021.4598367439424</v>
      </c>
      <c r="T25" s="93">
        <f>S25*(1+Summary!$I$48)</f>
        <v>1052.1036318462607</v>
      </c>
      <c r="U25" s="93">
        <f>T25*(1+Summary!$I$48)</f>
        <v>1083.6667408016485</v>
      </c>
      <c r="W25" s="93">
        <f t="shared" si="5"/>
        <v>16605.891434189925</v>
      </c>
    </row>
    <row r="26" spans="1:51">
      <c r="A26" s="3" t="s">
        <v>158</v>
      </c>
      <c r="B26" s="129">
        <f>Summary!I54*(1+Summary!$I$48)</f>
        <v>353.14285714285717</v>
      </c>
      <c r="C26" s="93">
        <f>B26*(1+Summary!$I$48)</f>
        <v>363.73714285714289</v>
      </c>
      <c r="D26" s="93">
        <f>C26*(1+Summary!$I$48)</f>
        <v>374.64925714285721</v>
      </c>
      <c r="E26" s="93">
        <f>D26*(1+Summary!$I$48)</f>
        <v>385.88873485714294</v>
      </c>
      <c r="F26" s="93">
        <f>E26*(1+Summary!$I$48)</f>
        <v>397.46539690285721</v>
      </c>
      <c r="G26" s="93">
        <f>F26*(1+Summary!$I$48)</f>
        <v>409.38935880994296</v>
      </c>
      <c r="H26" s="93">
        <f>G26*(1+Summary!$I$48)</f>
        <v>421.67103957424126</v>
      </c>
      <c r="I26" s="93">
        <f>H26*(1+Summary!$I$48)</f>
        <v>434.32117076146852</v>
      </c>
      <c r="J26" s="93">
        <f>I26*(1+Summary!$I$48)</f>
        <v>447.35080588431259</v>
      </c>
      <c r="K26" s="93">
        <f>J26*(1+Summary!$I$48)</f>
        <v>460.77133006084199</v>
      </c>
      <c r="L26" s="93">
        <f>K26*(1+Summary!$I$48)</f>
        <v>474.59446996266729</v>
      </c>
      <c r="M26" s="93">
        <f>L26*(1+Summary!$I$48)</f>
        <v>488.83230406154735</v>
      </c>
      <c r="N26" s="93">
        <f>M26*(1+Summary!$I$48)</f>
        <v>503.49727318339376</v>
      </c>
      <c r="O26" s="93">
        <f>N26*(1+Summary!$I$48)</f>
        <v>518.60219137889555</v>
      </c>
      <c r="P26" s="93">
        <f>O26*(1+Summary!$I$48)</f>
        <v>534.16025712026249</v>
      </c>
      <c r="Q26" s="93">
        <f>P26*(1+Summary!$I$48)</f>
        <v>550.18506483387034</v>
      </c>
      <c r="R26" s="93">
        <f>Q26*(1+Summary!$I$48)</f>
        <v>566.69061677888646</v>
      </c>
      <c r="S26" s="93">
        <f>R26*(1+Summary!$I$48)</f>
        <v>583.69133528225302</v>
      </c>
      <c r="T26" s="93">
        <f>S26*(1+Summary!$I$48)</f>
        <v>601.20207534072063</v>
      </c>
      <c r="U26" s="93">
        <f>T26*(1+Summary!$I$48)</f>
        <v>619.23813760094231</v>
      </c>
      <c r="W26" s="93">
        <f t="shared" si="5"/>
        <v>9489.0808195371064</v>
      </c>
    </row>
    <row r="27" spans="1:51">
      <c r="A27" s="3" t="s">
        <v>159</v>
      </c>
      <c r="B27" s="129">
        <f>Summary!I55*(1+Summary!$I$48)</f>
        <v>412.66655714285713</v>
      </c>
      <c r="C27" s="93">
        <f>B27*(1+Summary!$I$48)</f>
        <v>425.04655385714284</v>
      </c>
      <c r="D27" s="93">
        <f>C27*(1+Summary!$I$48)</f>
        <v>437.79795047285711</v>
      </c>
      <c r="E27" s="93">
        <f>D27*(1+Summary!$I$48)</f>
        <v>450.93188898704284</v>
      </c>
      <c r="F27" s="93">
        <f>E27*(1+Summary!$I$48)</f>
        <v>464.45984565665412</v>
      </c>
      <c r="G27" s="93">
        <f>F27*(1+Summary!$I$48)</f>
        <v>478.39364102635375</v>
      </c>
      <c r="H27" s="93">
        <f>G27*(1+Summary!$I$48)</f>
        <v>492.7454502571444</v>
      </c>
      <c r="I27" s="93">
        <f>H27*(1+Summary!$I$48)</f>
        <v>507.52781376485876</v>
      </c>
      <c r="J27" s="93">
        <f>I27*(1+Summary!$I$48)</f>
        <v>522.75364817780451</v>
      </c>
      <c r="K27" s="93">
        <f>J27*(1+Summary!$I$48)</f>
        <v>538.43625762313866</v>
      </c>
      <c r="L27" s="93">
        <f>K27*(1+Summary!$I$48)</f>
        <v>554.58934535183278</v>
      </c>
      <c r="M27" s="93">
        <f>L27*(1+Summary!$I$48)</f>
        <v>571.22702571238779</v>
      </c>
      <c r="N27" s="93">
        <f>M27*(1+Summary!$I$48)</f>
        <v>588.36383648375943</v>
      </c>
      <c r="O27" s="93">
        <f>N27*(1+Summary!$I$48)</f>
        <v>606.01475157827224</v>
      </c>
      <c r="P27" s="93">
        <f>O27*(1+Summary!$I$48)</f>
        <v>624.19519412562045</v>
      </c>
      <c r="Q27" s="93">
        <f>P27*(1+Summary!$I$48)</f>
        <v>642.92104994938904</v>
      </c>
      <c r="R27" s="93">
        <f>Q27*(1+Summary!$I$48)</f>
        <v>662.20868144787073</v>
      </c>
      <c r="S27" s="93">
        <f>R27*(1+Summary!$I$48)</f>
        <v>682.07494189130682</v>
      </c>
      <c r="T27" s="93">
        <f>S27*(1+Summary!$I$48)</f>
        <v>702.53719014804608</v>
      </c>
      <c r="U27" s="93">
        <f>T27*(1+Summary!$I$48)</f>
        <v>723.61330585248743</v>
      </c>
      <c r="W27" s="93">
        <f t="shared" si="5"/>
        <v>11088.504929506827</v>
      </c>
    </row>
    <row r="28" spans="1:51">
      <c r="A28" s="3" t="s">
        <v>289</v>
      </c>
      <c r="B28" s="527">
        <v>572</v>
      </c>
      <c r="C28" s="527">
        <v>583.4</v>
      </c>
      <c r="D28" s="527">
        <v>595.1</v>
      </c>
      <c r="E28" s="527">
        <v>607</v>
      </c>
      <c r="F28" s="527">
        <v>619.1</v>
      </c>
      <c r="G28" s="527">
        <v>631.5</v>
      </c>
      <c r="H28" s="527">
        <v>631.5</v>
      </c>
      <c r="I28" s="527">
        <v>631.5</v>
      </c>
      <c r="J28" s="527">
        <v>631.5</v>
      </c>
      <c r="K28" s="527">
        <v>631.5</v>
      </c>
      <c r="L28" s="527">
        <v>631.5</v>
      </c>
      <c r="M28" s="527">
        <v>631.5</v>
      </c>
      <c r="N28" s="527">
        <v>631.5</v>
      </c>
      <c r="O28" s="527">
        <v>631.5</v>
      </c>
      <c r="P28" s="527">
        <v>631.5</v>
      </c>
      <c r="Q28" s="527">
        <v>631.5</v>
      </c>
      <c r="R28" s="527">
        <v>631.5</v>
      </c>
      <c r="S28" s="527">
        <v>631.5</v>
      </c>
      <c r="T28" s="527">
        <v>631.5</v>
      </c>
      <c r="U28" s="527">
        <v>631.5</v>
      </c>
      <c r="W28" s="93">
        <f t="shared" si="5"/>
        <v>12449.1</v>
      </c>
    </row>
    <row r="29" spans="1:51">
      <c r="A29" s="3" t="s">
        <v>66</v>
      </c>
      <c r="B29" s="129">
        <f>Summary!I57*(1+Summary!$I$48)</f>
        <v>0</v>
      </c>
      <c r="C29" s="93">
        <f>B29*(1+Summary!$I$48)</f>
        <v>0</v>
      </c>
      <c r="D29" s="93">
        <f>C29*(1+Summary!$I$48)</f>
        <v>0</v>
      </c>
      <c r="E29" s="93">
        <f>D29*(1+Summary!$I$48)</f>
        <v>0</v>
      </c>
      <c r="F29" s="93">
        <f>E29*(1+Summary!$I$48)</f>
        <v>0</v>
      </c>
      <c r="G29" s="93">
        <f>F29*(1+Summary!$I$48)</f>
        <v>0</v>
      </c>
      <c r="H29" s="93">
        <f>G29*(1+Summary!$I$48)</f>
        <v>0</v>
      </c>
      <c r="I29" s="93">
        <f>H29*(1+Summary!$I$48)</f>
        <v>0</v>
      </c>
      <c r="J29" s="93">
        <f>I29*(1+Summary!$I$48)</f>
        <v>0</v>
      </c>
      <c r="K29" s="93">
        <f>J29*(1+Summary!$I$48)</f>
        <v>0</v>
      </c>
      <c r="L29" s="93">
        <f>K29*(1+Summary!$I$48)</f>
        <v>0</v>
      </c>
      <c r="M29" s="93">
        <f>L29*(1+Summary!$I$48)</f>
        <v>0</v>
      </c>
      <c r="N29" s="93">
        <f>M29*(1+Summary!$I$48)</f>
        <v>0</v>
      </c>
      <c r="O29" s="93">
        <f>N29*(1+Summary!$I$48)</f>
        <v>0</v>
      </c>
      <c r="P29" s="93">
        <f>O29*(1+Summary!$I$48)</f>
        <v>0</v>
      </c>
      <c r="Q29" s="93">
        <f>P29*(1+Summary!$I$48)</f>
        <v>0</v>
      </c>
      <c r="R29" s="93">
        <f>Q29*(1+Summary!$I$48)</f>
        <v>0</v>
      </c>
      <c r="S29" s="93">
        <f>R29*(1+Summary!$I$48)</f>
        <v>0</v>
      </c>
      <c r="T29" s="93">
        <f>S29*(1+Summary!$I$48)</f>
        <v>0</v>
      </c>
      <c r="U29" s="93">
        <f>T29*(1+Summary!$I$48)</f>
        <v>0</v>
      </c>
      <c r="W29" s="93">
        <f t="shared" si="5"/>
        <v>0</v>
      </c>
    </row>
    <row r="30" spans="1:51" s="18" customFormat="1">
      <c r="A30" s="3" t="s">
        <v>214</v>
      </c>
      <c r="B30" s="129">
        <v>0</v>
      </c>
      <c r="C30" s="93">
        <v>0</v>
      </c>
      <c r="D30" s="93">
        <v>0</v>
      </c>
      <c r="E30" s="93">
        <f>Summary!I46*Summary!I11*12</f>
        <v>510.72</v>
      </c>
      <c r="F30" s="93">
        <f>E30*(1+Summary!$I$48)</f>
        <v>526.04160000000002</v>
      </c>
      <c r="G30" s="93">
        <f>F30*(1+Summary!$I$48)</f>
        <v>541.82284800000002</v>
      </c>
      <c r="H30" s="93">
        <f>G30*(1+Summary!$I$48)</f>
        <v>558.07753344000002</v>
      </c>
      <c r="I30" s="93">
        <f>H30*(1+Summary!$I$48)</f>
        <v>574.81985944320002</v>
      </c>
      <c r="J30" s="93">
        <f>I30*(1+Summary!$I$48)</f>
        <v>592.06445522649608</v>
      </c>
      <c r="K30" s="93">
        <f>J30*(1+Summary!$I$48)</f>
        <v>609.82638888329097</v>
      </c>
      <c r="L30" s="93">
        <f>K30*(1+Summary!$I$48)</f>
        <v>628.12118054978976</v>
      </c>
      <c r="M30" s="93">
        <f>L30*(1+Summary!$I$48)</f>
        <v>646.96481596628348</v>
      </c>
      <c r="N30" s="93">
        <f>M30*(1+Summary!$I$48)</f>
        <v>666.37376044527196</v>
      </c>
      <c r="O30" s="93">
        <f>N30*(1+Summary!$I$48)</f>
        <v>686.36497325863013</v>
      </c>
      <c r="P30" s="93">
        <f>O30*(1+Summary!$I$48)</f>
        <v>706.95592245638909</v>
      </c>
      <c r="Q30" s="93">
        <f>P30*(1+Summary!$I$48)</f>
        <v>728.16460013008077</v>
      </c>
      <c r="R30" s="93">
        <f>Q30*(1+Summary!$I$48)</f>
        <v>750.00953813398326</v>
      </c>
      <c r="S30" s="93">
        <f>R30*(1+Summary!$I$48)</f>
        <v>772.50982427800272</v>
      </c>
      <c r="T30" s="93">
        <f>S30*(1+Summary!$I$48)</f>
        <v>795.6851190063428</v>
      </c>
      <c r="U30" s="93">
        <f>T30*(1+Summary!$I$48)</f>
        <v>819.55567257653308</v>
      </c>
      <c r="V30" s="93"/>
      <c r="W30" s="93">
        <f t="shared" si="5"/>
        <v>11114.078091794292</v>
      </c>
    </row>
    <row r="31" spans="1:51" s="18" customFormat="1">
      <c r="A31" s="88" t="s">
        <v>37</v>
      </c>
      <c r="B31" s="148">
        <f>IS!B31*Allocation!$F$14</f>
        <v>395.98523108533317</v>
      </c>
      <c r="C31" s="148">
        <f>IS!C31*Allocation!$F$14</f>
        <v>394.93694082008415</v>
      </c>
      <c r="D31" s="148">
        <f>IS!D31*Allocation!$F$14</f>
        <v>392.98114068186146</v>
      </c>
      <c r="E31" s="148">
        <f>IS!E31*Allocation!$F$14</f>
        <v>362.46421528924759</v>
      </c>
      <c r="F31" s="148">
        <f>IS!F31*Allocation!$F$14</f>
        <v>362.46421528924759</v>
      </c>
      <c r="G31" s="148">
        <f>IS!G31*Allocation!$F$14</f>
        <v>362.46421528924759</v>
      </c>
      <c r="H31" s="148">
        <f>IS!H31*Allocation!$F$14</f>
        <v>362.46421528924759</v>
      </c>
      <c r="I31" s="148">
        <f>IS!I31*Allocation!$F$14</f>
        <v>362.46421528924759</v>
      </c>
      <c r="J31" s="148">
        <f>IS!J31*Allocation!$F$14</f>
        <v>362.46421528924759</v>
      </c>
      <c r="K31" s="148">
        <f>IS!K31*Allocation!$F$14</f>
        <v>362.46421528924759</v>
      </c>
      <c r="L31" s="148">
        <f>IS!L31*Allocation!$F$14</f>
        <v>362.46421528924759</v>
      </c>
      <c r="M31" s="148">
        <f>IS!M31*Allocation!$F$14</f>
        <v>362.46421528924759</v>
      </c>
      <c r="N31" s="148">
        <f>IS!N31*Allocation!$F$14</f>
        <v>362.46421528924759</v>
      </c>
      <c r="O31" s="148">
        <f>IS!O31*Allocation!$F$14</f>
        <v>362.46421528924759</v>
      </c>
      <c r="P31" s="148">
        <f>IS!P31*Allocation!$F$14</f>
        <v>362.46421528924759</v>
      </c>
      <c r="Q31" s="148">
        <f>IS!Q31*Allocation!$F$14</f>
        <v>362.46421528924759</v>
      </c>
      <c r="R31" s="148">
        <f>IS!R31*Allocation!$F$14</f>
        <v>362.46421528924759</v>
      </c>
      <c r="S31" s="148">
        <f>IS!S31*Allocation!$F$14</f>
        <v>362.46421528924759</v>
      </c>
      <c r="T31" s="148">
        <f>IS!T31*Allocation!$F$14</f>
        <v>362.46421528924759</v>
      </c>
      <c r="U31" s="148">
        <f>IS!U31*Allocation!$F$14</f>
        <v>362.46421528924759</v>
      </c>
      <c r="V31" s="93"/>
      <c r="W31" s="93">
        <f t="shared" si="5"/>
        <v>7345.7949725044864</v>
      </c>
    </row>
    <row r="32" spans="1:51" s="18" customFormat="1">
      <c r="A32" s="507" t="s">
        <v>283</v>
      </c>
      <c r="B32" s="149">
        <f>B87</f>
        <v>219.53884490286418</v>
      </c>
      <c r="C32" s="149">
        <f t="shared" ref="C32:U32" si="6">C87</f>
        <v>146.35922993524281</v>
      </c>
      <c r="D32" s="149">
        <f t="shared" si="6"/>
        <v>146.35922993524281</v>
      </c>
      <c r="E32" s="149">
        <f t="shared" si="6"/>
        <v>146.35922993524281</v>
      </c>
      <c r="F32" s="149">
        <f t="shared" si="6"/>
        <v>146.35922993524281</v>
      </c>
      <c r="G32" s="149">
        <f t="shared" si="6"/>
        <v>146.35922993524281</v>
      </c>
      <c r="H32" s="149">
        <f t="shared" si="6"/>
        <v>146.35922993524281</v>
      </c>
      <c r="I32" s="149">
        <f t="shared" si="6"/>
        <v>146.35922993524281</v>
      </c>
      <c r="J32" s="149">
        <f t="shared" si="6"/>
        <v>146.35922993524281</v>
      </c>
      <c r="K32" s="149">
        <f t="shared" si="6"/>
        <v>146.35922993524281</v>
      </c>
      <c r="L32" s="149">
        <f t="shared" si="6"/>
        <v>146.35922993524281</v>
      </c>
      <c r="M32" s="149">
        <f t="shared" si="6"/>
        <v>146.35922993524281</v>
      </c>
      <c r="N32" s="149">
        <f t="shared" si="6"/>
        <v>146.35922993524281</v>
      </c>
      <c r="O32" s="149">
        <f t="shared" si="6"/>
        <v>146.35922993524281</v>
      </c>
      <c r="P32" s="149">
        <f t="shared" si="6"/>
        <v>146.35922993524281</v>
      </c>
      <c r="Q32" s="149">
        <f t="shared" si="6"/>
        <v>146.35922993524281</v>
      </c>
      <c r="R32" s="149">
        <f t="shared" si="6"/>
        <v>146.35922993524281</v>
      </c>
      <c r="S32" s="149">
        <f t="shared" si="6"/>
        <v>146.35922993524281</v>
      </c>
      <c r="T32" s="149">
        <f t="shared" si="6"/>
        <v>146.35922993524281</v>
      </c>
      <c r="U32" s="149">
        <f t="shared" si="6"/>
        <v>146.35922993524281</v>
      </c>
      <c r="V32" s="93"/>
      <c r="W32" s="93">
        <f t="shared" si="5"/>
        <v>3000.364213672477</v>
      </c>
    </row>
    <row r="33" spans="1:23">
      <c r="A33" s="3" t="s">
        <v>90</v>
      </c>
      <c r="B33" s="129">
        <f>SUM(B23:B32)</f>
        <v>8133.8902788453397</v>
      </c>
      <c r="C33" s="129">
        <f t="shared" ref="C33:U33" si="7">SUM(C23:C32)</f>
        <v>8279.4533596981837</v>
      </c>
      <c r="D33" s="129">
        <f t="shared" si="7"/>
        <v>8503.8402752282473</v>
      </c>
      <c r="E33" s="129">
        <f t="shared" si="7"/>
        <v>9128.0651306315667</v>
      </c>
      <c r="F33" s="129">
        <f t="shared" si="7"/>
        <v>9380.5323811937815</v>
      </c>
      <c r="G33" s="129">
        <f t="shared" si="7"/>
        <v>9640.5106492728592</v>
      </c>
      <c r="H33" s="129">
        <f t="shared" si="7"/>
        <v>9895.5162653943116</v>
      </c>
      <c r="I33" s="129">
        <f t="shared" si="7"/>
        <v>10158.172049999404</v>
      </c>
      <c r="J33" s="129">
        <f t="shared" si="7"/>
        <v>10428.707508142654</v>
      </c>
      <c r="K33" s="129">
        <f t="shared" si="7"/>
        <v>10707.359030030198</v>
      </c>
      <c r="L33" s="129">
        <f t="shared" si="7"/>
        <v>10994.37009757437</v>
      </c>
      <c r="M33" s="129">
        <f t="shared" si="7"/>
        <v>11289.991497144865</v>
      </c>
      <c r="N33" s="129">
        <f t="shared" si="7"/>
        <v>11594.481538702477</v>
      </c>
      <c r="O33" s="129">
        <f t="shared" si="7"/>
        <v>11908.106281506818</v>
      </c>
      <c r="P33" s="129">
        <f t="shared" si="7"/>
        <v>12231.139766595288</v>
      </c>
      <c r="Q33" s="129">
        <f t="shared" si="7"/>
        <v>12563.864256236411</v>
      </c>
      <c r="R33" s="129">
        <f t="shared" si="7"/>
        <v>12906.570480566768</v>
      </c>
      <c r="S33" s="129">
        <f t="shared" si="7"/>
        <v>13259.557891627037</v>
      </c>
      <c r="T33" s="129">
        <f t="shared" si="7"/>
        <v>13623.134925019116</v>
      </c>
      <c r="U33" s="129">
        <f t="shared" si="7"/>
        <v>13997.619269412951</v>
      </c>
      <c r="W33" s="93">
        <f t="shared" si="5"/>
        <v>218624.88293282266</v>
      </c>
    </row>
    <row r="34" spans="1:23" s="64" customFormat="1" outlineLevel="1">
      <c r="A34" s="5"/>
      <c r="B34" s="132"/>
      <c r="C34" s="133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W34" s="93"/>
    </row>
    <row r="35" spans="1:23" s="64" customFormat="1" ht="6.75" customHeight="1">
      <c r="A35" s="5"/>
      <c r="B35" s="132"/>
      <c r="C35" s="133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W35" s="93"/>
    </row>
    <row r="36" spans="1:23" s="59" customFormat="1" ht="18.75" customHeight="1">
      <c r="A36" s="1" t="s">
        <v>91</v>
      </c>
      <c r="B36" s="122">
        <f t="shared" ref="B36:U36" si="8">B20-B33</f>
        <v>26060.40309266909</v>
      </c>
      <c r="C36" s="122">
        <f t="shared" si="8"/>
        <v>26055.435483305591</v>
      </c>
      <c r="D36" s="122">
        <f t="shared" si="8"/>
        <v>25974.931191631396</v>
      </c>
      <c r="E36" s="122">
        <f t="shared" si="8"/>
        <v>40821.819900256261</v>
      </c>
      <c r="F36" s="122">
        <f t="shared" si="8"/>
        <v>42808.884108937069</v>
      </c>
      <c r="G36" s="122">
        <f t="shared" si="8"/>
        <v>43655.119573537784</v>
      </c>
      <c r="H36" s="122">
        <f t="shared" si="8"/>
        <v>44525.917662677013</v>
      </c>
      <c r="I36" s="122">
        <f t="shared" si="8"/>
        <v>45408.670922408957</v>
      </c>
      <c r="J36" s="122">
        <f t="shared" si="8"/>
        <v>46303.312944688965</v>
      </c>
      <c r="K36" s="122">
        <f t="shared" si="8"/>
        <v>47209.762577336136</v>
      </c>
      <c r="L36" s="122">
        <f t="shared" si="8"/>
        <v>48127.923099152438</v>
      </c>
      <c r="M36" s="122">
        <f t="shared" si="8"/>
        <v>49057.681358818671</v>
      </c>
      <c r="N36" s="122">
        <f t="shared" si="8"/>
        <v>49998.906876136185</v>
      </c>
      <c r="O36" s="122">
        <f t="shared" si="8"/>
        <v>50951.450904130339</v>
      </c>
      <c r="P36" s="122">
        <f t="shared" si="8"/>
        <v>51915.145450476164</v>
      </c>
      <c r="Q36" s="122">
        <f t="shared" si="8"/>
        <v>52684.390769319718</v>
      </c>
      <c r="R36" s="122">
        <f t="shared" si="8"/>
        <v>53452.064069248976</v>
      </c>
      <c r="S36" s="122">
        <f t="shared" si="8"/>
        <v>54217.378708342156</v>
      </c>
      <c r="T36" s="122">
        <f t="shared" si="8"/>
        <v>54979.502260979119</v>
      </c>
      <c r="U36" s="122">
        <f t="shared" si="8"/>
        <v>55737.554478797356</v>
      </c>
      <c r="W36" s="93">
        <f>SUM(B36:U36)</f>
        <v>909946.25543284952</v>
      </c>
    </row>
    <row r="37" spans="1:23" s="59" customFormat="1" ht="18.75" customHeight="1">
      <c r="A37" s="1"/>
      <c r="B37" s="134"/>
      <c r="C37" s="135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W37" s="93"/>
    </row>
    <row r="38" spans="1:23">
      <c r="A38" s="3" t="s">
        <v>92</v>
      </c>
      <c r="B38" s="129">
        <f>Depreciation!C53</f>
        <v>9210.7904065802322</v>
      </c>
      <c r="C38" s="129">
        <f>Depreciation!D53</f>
        <v>9210.7904065802322</v>
      </c>
      <c r="D38" s="129">
        <f>Depreciation!E53</f>
        <v>9210.7904065802322</v>
      </c>
      <c r="E38" s="129">
        <f>Depreciation!F53</f>
        <v>9210.7904065802322</v>
      </c>
      <c r="F38" s="129">
        <f>Depreciation!G53</f>
        <v>9210.7904065802322</v>
      </c>
      <c r="G38" s="129">
        <f>Depreciation!H53</f>
        <v>9210.7904065802322</v>
      </c>
      <c r="H38" s="129">
        <f>Depreciation!I53</f>
        <v>9210.7904065802322</v>
      </c>
      <c r="I38" s="129">
        <f>Depreciation!J53</f>
        <v>9210.7904065802322</v>
      </c>
      <c r="J38" s="129">
        <f>Depreciation!K53</f>
        <v>9210.7904065802322</v>
      </c>
      <c r="K38" s="129">
        <f>Depreciation!L53</f>
        <v>9210.7904065802322</v>
      </c>
      <c r="L38" s="129">
        <f>Depreciation!M53</f>
        <v>9210.7904065802322</v>
      </c>
      <c r="M38" s="129">
        <f>Depreciation!N53</f>
        <v>9210.7904065802322</v>
      </c>
      <c r="N38" s="129">
        <f>Depreciation!O53</f>
        <v>9210.7904065802322</v>
      </c>
      <c r="O38" s="129">
        <f>Depreciation!P53</f>
        <v>9210.7904065802322</v>
      </c>
      <c r="P38" s="129">
        <f>Depreciation!Q53</f>
        <v>9210.7904065802322</v>
      </c>
      <c r="Q38" s="129">
        <f>Depreciation!R53</f>
        <v>9210.7904065802322</v>
      </c>
      <c r="R38" s="129">
        <f>Depreciation!S53</f>
        <v>9210.7904065802322</v>
      </c>
      <c r="S38" s="129">
        <f>Depreciation!T53</f>
        <v>9210.7904065802322</v>
      </c>
      <c r="T38" s="129">
        <f>Depreciation!U53</f>
        <v>9210.7904065802322</v>
      </c>
      <c r="U38" s="129">
        <f>Depreciation!V53</f>
        <v>9210.7904065802322</v>
      </c>
      <c r="W38" s="93">
        <f>SUM(B38:U38)</f>
        <v>184215.8081316046</v>
      </c>
    </row>
    <row r="39" spans="1:23">
      <c r="A39" s="3"/>
      <c r="B39" s="129"/>
      <c r="C39" s="93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W39" s="93"/>
    </row>
    <row r="40" spans="1:23" s="59" customFormat="1">
      <c r="A40" s="1" t="s">
        <v>93</v>
      </c>
      <c r="B40" s="134">
        <f t="shared" ref="B40:U40" si="9">B36-B38</f>
        <v>16849.612686088858</v>
      </c>
      <c r="C40" s="134">
        <f t="shared" si="9"/>
        <v>16844.645076725359</v>
      </c>
      <c r="D40" s="134">
        <f t="shared" si="9"/>
        <v>16764.140785051164</v>
      </c>
      <c r="E40" s="134">
        <f t="shared" si="9"/>
        <v>31611.029493676029</v>
      </c>
      <c r="F40" s="134">
        <f t="shared" si="9"/>
        <v>33598.09370235684</v>
      </c>
      <c r="G40" s="134">
        <f t="shared" si="9"/>
        <v>34444.329166957556</v>
      </c>
      <c r="H40" s="134">
        <f t="shared" si="9"/>
        <v>35315.127256096777</v>
      </c>
      <c r="I40" s="134">
        <f t="shared" si="9"/>
        <v>36197.880515828729</v>
      </c>
      <c r="J40" s="134">
        <f t="shared" si="9"/>
        <v>37092.522538108737</v>
      </c>
      <c r="K40" s="134">
        <f t="shared" si="9"/>
        <v>37998.972170755907</v>
      </c>
      <c r="L40" s="134">
        <f t="shared" si="9"/>
        <v>38917.13269257221</v>
      </c>
      <c r="M40" s="134">
        <f t="shared" si="9"/>
        <v>39846.890952238435</v>
      </c>
      <c r="N40" s="134">
        <f t="shared" si="9"/>
        <v>40788.116469555956</v>
      </c>
      <c r="O40" s="134">
        <f t="shared" si="9"/>
        <v>41740.66049755011</v>
      </c>
      <c r="P40" s="134">
        <f t="shared" si="9"/>
        <v>42704.355043895936</v>
      </c>
      <c r="Q40" s="134">
        <f t="shared" si="9"/>
        <v>43473.600362739482</v>
      </c>
      <c r="R40" s="134">
        <f t="shared" si="9"/>
        <v>44241.27366266874</v>
      </c>
      <c r="S40" s="134">
        <f t="shared" si="9"/>
        <v>45006.58830176192</v>
      </c>
      <c r="T40" s="134">
        <f t="shared" si="9"/>
        <v>45768.711854398891</v>
      </c>
      <c r="U40" s="134">
        <f t="shared" si="9"/>
        <v>46526.76407221712</v>
      </c>
      <c r="W40" s="93">
        <f>SUM(B40:U40)</f>
        <v>725730.44730124471</v>
      </c>
    </row>
    <row r="41" spans="1:23" s="59" customFormat="1">
      <c r="A41" s="1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W41" s="93"/>
    </row>
    <row r="42" spans="1:23">
      <c r="A42" s="6" t="s">
        <v>94</v>
      </c>
      <c r="B42" s="129">
        <f>IS!B42*Allocation!$F$14</f>
        <v>14088.45264772892</v>
      </c>
      <c r="C42" s="129">
        <f>IS!C42*Allocation!$F$14</f>
        <v>13614.1894134784</v>
      </c>
      <c r="D42" s="129">
        <f>IS!D42*Allocation!$F$14</f>
        <v>13063.306947870838</v>
      </c>
      <c r="E42" s="129">
        <f>IS!E42*Allocation!$F$14</f>
        <v>12631.719894368167</v>
      </c>
      <c r="F42" s="129">
        <f>IS!F42*Allocation!$F$14</f>
        <v>12463.745229012364</v>
      </c>
      <c r="G42" s="129">
        <f>IS!G42*Allocation!$F$14</f>
        <v>12254.823164620559</v>
      </c>
      <c r="H42" s="129">
        <f>IS!H42*Allocation!$F$14</f>
        <v>12004.188842487587</v>
      </c>
      <c r="I42" s="129">
        <f>IS!I42*Allocation!$F$14</f>
        <v>11739.92873653658</v>
      </c>
      <c r="J42" s="129">
        <f>IS!J42*Allocation!$F$14</f>
        <v>11358.612548460997</v>
      </c>
      <c r="K42" s="129">
        <f>IS!K42*Allocation!$F$14</f>
        <v>10952.323603077055</v>
      </c>
      <c r="L42" s="129">
        <f>IS!L42*Allocation!$F$14</f>
        <v>10481.679452661489</v>
      </c>
      <c r="M42" s="129">
        <f>IS!M42*Allocation!$F$14</f>
        <v>9944.762392496772</v>
      </c>
      <c r="N42" s="129">
        <f>IS!N42*Allocation!$F$14</f>
        <v>9260.6824951506005</v>
      </c>
      <c r="O42" s="129">
        <f>IS!O42*Allocation!$F$14</f>
        <v>8505.9341369984577</v>
      </c>
      <c r="P42" s="129">
        <f>IS!P42*Allocation!$F$14</f>
        <v>7641.8082266541933</v>
      </c>
      <c r="Q42" s="129">
        <f>IS!Q42*Allocation!$F$14</f>
        <v>6676.8271952634859</v>
      </c>
      <c r="R42" s="129">
        <f>IS!R42*Allocation!$F$14</f>
        <v>5543.646195373828</v>
      </c>
      <c r="S42" s="129">
        <f>IS!S42*Allocation!$F$14</f>
        <v>4290.9396440680557</v>
      </c>
      <c r="T42" s="129">
        <f>IS!T42*Allocation!$F$14</f>
        <v>2883.1563161363811</v>
      </c>
      <c r="U42" s="129">
        <f>IS!U42*Allocation!$F$14</f>
        <v>1306.2855288224002</v>
      </c>
      <c r="W42" s="93">
        <f>SUM(B42:U42)</f>
        <v>190707.01261126713</v>
      </c>
    </row>
    <row r="43" spans="1:23" ht="6" customHeight="1">
      <c r="B43" s="69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W43" s="93"/>
    </row>
    <row r="44" spans="1:23" s="59" customFormat="1">
      <c r="A44" s="1" t="s">
        <v>95</v>
      </c>
      <c r="B44" s="134">
        <f t="shared" ref="B44:U44" si="10">B40-B42</f>
        <v>2761.160038359938</v>
      </c>
      <c r="C44" s="134">
        <f t="shared" si="10"/>
        <v>3230.4556632469594</v>
      </c>
      <c r="D44" s="134">
        <f t="shared" si="10"/>
        <v>3700.8338371803256</v>
      </c>
      <c r="E44" s="134">
        <f t="shared" si="10"/>
        <v>18979.30959930786</v>
      </c>
      <c r="F44" s="134">
        <f t="shared" si="10"/>
        <v>21134.348473344478</v>
      </c>
      <c r="G44" s="134">
        <f t="shared" si="10"/>
        <v>22189.506002336995</v>
      </c>
      <c r="H44" s="134">
        <f t="shared" si="10"/>
        <v>23310.93841360919</v>
      </c>
      <c r="I44" s="134">
        <f t="shared" si="10"/>
        <v>24457.951779292147</v>
      </c>
      <c r="J44" s="134">
        <f t="shared" si="10"/>
        <v>25733.909989647742</v>
      </c>
      <c r="K44" s="134">
        <f t="shared" si="10"/>
        <v>27046.648567678851</v>
      </c>
      <c r="L44" s="134">
        <f t="shared" si="10"/>
        <v>28435.453239910719</v>
      </c>
      <c r="M44" s="134">
        <f t="shared" si="10"/>
        <v>29902.128559741665</v>
      </c>
      <c r="N44" s="134">
        <f t="shared" si="10"/>
        <v>31527.433974405358</v>
      </c>
      <c r="O44" s="134">
        <f t="shared" si="10"/>
        <v>33234.726360551649</v>
      </c>
      <c r="P44" s="134">
        <f t="shared" si="10"/>
        <v>35062.546817241746</v>
      </c>
      <c r="Q44" s="134">
        <f t="shared" si="10"/>
        <v>36796.773167476</v>
      </c>
      <c r="R44" s="134">
        <f t="shared" si="10"/>
        <v>38697.627467294915</v>
      </c>
      <c r="S44" s="134">
        <f t="shared" si="10"/>
        <v>40715.648657693862</v>
      </c>
      <c r="T44" s="134">
        <f t="shared" si="10"/>
        <v>42885.55553826251</v>
      </c>
      <c r="U44" s="134">
        <f t="shared" si="10"/>
        <v>45220.478543394718</v>
      </c>
      <c r="W44" s="93">
        <f>SUM(B44:U44)</f>
        <v>535023.43468997767</v>
      </c>
    </row>
    <row r="45" spans="1:23" s="59" customFormat="1">
      <c r="A45" s="1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W45" s="93"/>
    </row>
    <row r="46" spans="1:23">
      <c r="A46" s="3" t="s">
        <v>96</v>
      </c>
      <c r="B46" s="129">
        <f>B44*-Summary!$I$37</f>
        <v>-198.25129075424354</v>
      </c>
      <c r="C46" s="129">
        <f>C44*-Summary!$I$37</f>
        <v>-231.94671662113169</v>
      </c>
      <c r="D46" s="129">
        <f>D44*-Summary!$I$37</f>
        <v>-265.71986950954738</v>
      </c>
      <c r="E46" s="129">
        <f>E44*-Summary!$I$37</f>
        <v>-1362.7144292303044</v>
      </c>
      <c r="F46" s="129">
        <f>F44*-Summary!$I$37</f>
        <v>-1517.4462203861335</v>
      </c>
      <c r="G46" s="129">
        <f>G44*-Summary!$I$37</f>
        <v>-1593.2065309677964</v>
      </c>
      <c r="H46" s="129">
        <f>H44*-Summary!$I$37</f>
        <v>-1673.72537809714</v>
      </c>
      <c r="I46" s="129">
        <f>I44*-Summary!$I$37</f>
        <v>-1756.0809377531762</v>
      </c>
      <c r="J46" s="129">
        <f>J44*-Summary!$I$37</f>
        <v>-1847.6947372567079</v>
      </c>
      <c r="K46" s="129">
        <f>K44*-Summary!$I$37</f>
        <v>-1941.9493671593416</v>
      </c>
      <c r="L46" s="129">
        <f>L44*-Summary!$I$37</f>
        <v>-2041.6655426255898</v>
      </c>
      <c r="M46" s="129">
        <f>M44*-Summary!$I$37</f>
        <v>-2146.9728305894514</v>
      </c>
      <c r="N46" s="129">
        <f>N44*-Summary!$I$37</f>
        <v>-2263.6697593623048</v>
      </c>
      <c r="O46" s="129">
        <f>O44*-Summary!$I$37</f>
        <v>-2386.2533526876086</v>
      </c>
      <c r="P46" s="129">
        <f>P44*-Summary!$I$37</f>
        <v>-2517.4908614779574</v>
      </c>
      <c r="Q46" s="129">
        <f>Q44*-Summary!$I$37</f>
        <v>-2642.008313424777</v>
      </c>
      <c r="R46" s="129">
        <f>R44*-Summary!$I$37</f>
        <v>-2778.4896521517749</v>
      </c>
      <c r="S46" s="129">
        <f>S44*-Summary!$I$37</f>
        <v>-2923.3835736224196</v>
      </c>
      <c r="T46" s="129">
        <f>T44*-Summary!$I$37</f>
        <v>-3079.1828876472482</v>
      </c>
      <c r="U46" s="129">
        <f>U44*-Summary!$I$37</f>
        <v>-3246.830359415741</v>
      </c>
      <c r="W46" s="93">
        <f>SUM(B46:U46)</f>
        <v>-38414.68261074039</v>
      </c>
    </row>
    <row r="47" spans="1:23">
      <c r="A47" s="3" t="s">
        <v>97</v>
      </c>
      <c r="B47" s="123">
        <f>(B44+B46)*-Summary!$I$36</f>
        <v>-897.01806166199299</v>
      </c>
      <c r="C47" s="123">
        <f>(C44+C46)*-Summary!$I$36</f>
        <v>-1049.4781313190397</v>
      </c>
      <c r="D47" s="123">
        <f>(D44+D46)*-Summary!$I$36</f>
        <v>-1202.2898886847722</v>
      </c>
      <c r="E47" s="123">
        <f>(E44+E46)*-Summary!$I$36</f>
        <v>-6165.808309527144</v>
      </c>
      <c r="F47" s="123">
        <f>(F44+F46)*-Summary!$I$36</f>
        <v>-6865.9157885354207</v>
      </c>
      <c r="G47" s="123">
        <f>(G44+G46)*-Summary!$I$36</f>
        <v>-7208.704814979219</v>
      </c>
      <c r="H47" s="123">
        <f>(H44+H46)*-Summary!$I$36</f>
        <v>-7573.0245624292165</v>
      </c>
      <c r="I47" s="123">
        <f>(I44+I46)*-Summary!$I$36</f>
        <v>-7945.6547945386392</v>
      </c>
      <c r="J47" s="123">
        <f>(J44+J46)*-Summary!$I$36</f>
        <v>-8360.1753383368614</v>
      </c>
      <c r="K47" s="123">
        <f>(K44+K46)*-Summary!$I$36</f>
        <v>-8786.6447201818282</v>
      </c>
      <c r="L47" s="123">
        <f>(L44+L46)*-Summary!$I$36</f>
        <v>-9237.825694049794</v>
      </c>
      <c r="M47" s="123">
        <f>(M44+M46)*-Summary!$I$36</f>
        <v>-9714.3045052032739</v>
      </c>
      <c r="N47" s="123">
        <f>(N44+N46)*-Summary!$I$36</f>
        <v>-10242.317475265068</v>
      </c>
      <c r="O47" s="123">
        <f>(O44+O46)*-Summary!$I$36</f>
        <v>-10796.965552752414</v>
      </c>
      <c r="P47" s="123">
        <f>(P44+P46)*-Summary!$I$36</f>
        <v>-11390.769584517326</v>
      </c>
      <c r="Q47" s="123">
        <f>(Q44+Q46)*-Summary!$I$36</f>
        <v>-11954.167698917927</v>
      </c>
      <c r="R47" s="123">
        <f>(R44+R46)*-Summary!$I$36</f>
        <v>-12571.698235300099</v>
      </c>
      <c r="S47" s="123">
        <f>(S44+S46)*-Summary!$I$36</f>
        <v>-13227.292779425004</v>
      </c>
      <c r="T47" s="123">
        <f>(T44+T46)*-Summary!$I$36</f>
        <v>-13932.23042771534</v>
      </c>
      <c r="U47" s="123">
        <f>(U44+U46)*-Summary!$I$36</f>
        <v>-14690.776864392641</v>
      </c>
      <c r="W47" s="93">
        <f>SUM(B47:U47)</f>
        <v>-173813.06322773304</v>
      </c>
    </row>
    <row r="48" spans="1:23" ht="6" customHeight="1"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W48" s="93"/>
    </row>
    <row r="49" spans="1:51" s="66" customFormat="1" ht="15.75">
      <c r="A49" s="47" t="s">
        <v>124</v>
      </c>
      <c r="B49" s="136">
        <f t="shared" ref="B49:U49" si="11">SUM(B44:B47)</f>
        <v>1665.8906859437013</v>
      </c>
      <c r="C49" s="136">
        <f t="shared" si="11"/>
        <v>1949.0308153067881</v>
      </c>
      <c r="D49" s="136">
        <f t="shared" si="11"/>
        <v>2232.8240789860056</v>
      </c>
      <c r="E49" s="136">
        <f t="shared" si="11"/>
        <v>11450.786860550412</v>
      </c>
      <c r="F49" s="136">
        <f t="shared" si="11"/>
        <v>12750.986464422924</v>
      </c>
      <c r="G49" s="136">
        <f t="shared" si="11"/>
        <v>13387.59465638998</v>
      </c>
      <c r="H49" s="136">
        <f t="shared" si="11"/>
        <v>14064.188473082833</v>
      </c>
      <c r="I49" s="136">
        <f t="shared" si="11"/>
        <v>14756.216047000331</v>
      </c>
      <c r="J49" s="136">
        <f t="shared" si="11"/>
        <v>15526.039914054172</v>
      </c>
      <c r="K49" s="136">
        <f t="shared" si="11"/>
        <v>16318.054480337682</v>
      </c>
      <c r="L49" s="136">
        <f t="shared" si="11"/>
        <v>17155.962003235334</v>
      </c>
      <c r="M49" s="136">
        <f t="shared" si="11"/>
        <v>18040.851223948936</v>
      </c>
      <c r="N49" s="136">
        <f t="shared" si="11"/>
        <v>19021.446739777988</v>
      </c>
      <c r="O49" s="136">
        <f t="shared" si="11"/>
        <v>20051.507455111627</v>
      </c>
      <c r="P49" s="136">
        <f t="shared" si="11"/>
        <v>21154.286371246464</v>
      </c>
      <c r="Q49" s="136">
        <f t="shared" si="11"/>
        <v>22200.597155133299</v>
      </c>
      <c r="R49" s="136">
        <f t="shared" si="11"/>
        <v>23347.439579843041</v>
      </c>
      <c r="S49" s="136">
        <f t="shared" si="11"/>
        <v>24564.972304646435</v>
      </c>
      <c r="T49" s="136">
        <f t="shared" si="11"/>
        <v>25874.142222899922</v>
      </c>
      <c r="U49" s="136">
        <f t="shared" si="11"/>
        <v>27282.871319586338</v>
      </c>
      <c r="W49" s="93">
        <f>SUM(B49:U49)</f>
        <v>322795.68885150424</v>
      </c>
    </row>
    <row r="50" spans="1:51" s="64" customFormat="1" ht="9" outlineLevel="1">
      <c r="A50" s="4"/>
      <c r="B50" s="62"/>
      <c r="C50" s="63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</row>
    <row r="51" spans="1:51" s="64" customFormat="1" ht="9" outlineLevel="1">
      <c r="A51" s="4"/>
      <c r="B51" s="62"/>
      <c r="C51" s="63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</row>
    <row r="52" spans="1:51" outlineLevel="1">
      <c r="A52" s="13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</row>
    <row r="53" spans="1:51" ht="18.75" outlineLevel="1">
      <c r="A53" s="57" t="s">
        <v>125</v>
      </c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</row>
    <row r="54" spans="1:51" outlineLevel="1">
      <c r="A54" s="1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</row>
    <row r="55" spans="1:51" ht="12.75" customHeight="1" outlineLevel="1">
      <c r="A55" s="1" t="s">
        <v>116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</row>
    <row r="56" spans="1:51" ht="12.75" customHeight="1" outlineLevel="1">
      <c r="A56" s="1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</row>
    <row r="57" spans="1:51" ht="13.5" outlineLevel="1" thickBot="1">
      <c r="A57" s="202" t="s">
        <v>83</v>
      </c>
      <c r="B57" s="8">
        <v>2001</v>
      </c>
      <c r="C57" s="8">
        <f>B57+1</f>
        <v>2002</v>
      </c>
      <c r="D57" s="8">
        <f t="shared" ref="D57:U57" si="12">C57+1</f>
        <v>2003</v>
      </c>
      <c r="E57" s="8">
        <f t="shared" si="12"/>
        <v>2004</v>
      </c>
      <c r="F57" s="8">
        <f t="shared" si="12"/>
        <v>2005</v>
      </c>
      <c r="G57" s="8">
        <f t="shared" si="12"/>
        <v>2006</v>
      </c>
      <c r="H57" s="8">
        <f t="shared" si="12"/>
        <v>2007</v>
      </c>
      <c r="I57" s="8">
        <f t="shared" si="12"/>
        <v>2008</v>
      </c>
      <c r="J57" s="8">
        <f t="shared" si="12"/>
        <v>2009</v>
      </c>
      <c r="K57" s="8">
        <f t="shared" si="12"/>
        <v>2010</v>
      </c>
      <c r="L57" s="8">
        <f t="shared" si="12"/>
        <v>2011</v>
      </c>
      <c r="M57" s="8">
        <f t="shared" si="12"/>
        <v>2012</v>
      </c>
      <c r="N57" s="8">
        <f t="shared" si="12"/>
        <v>2013</v>
      </c>
      <c r="O57" s="8">
        <f t="shared" si="12"/>
        <v>2014</v>
      </c>
      <c r="P57" s="8">
        <f t="shared" si="12"/>
        <v>2015</v>
      </c>
      <c r="Q57" s="8">
        <f t="shared" si="12"/>
        <v>2016</v>
      </c>
      <c r="R57" s="8">
        <f t="shared" si="12"/>
        <v>2017</v>
      </c>
      <c r="S57" s="8">
        <f t="shared" si="12"/>
        <v>2018</v>
      </c>
      <c r="T57" s="8">
        <f t="shared" si="12"/>
        <v>2019</v>
      </c>
      <c r="U57" s="8">
        <f t="shared" si="12"/>
        <v>2020</v>
      </c>
      <c r="W57" s="456" t="s">
        <v>231</v>
      </c>
    </row>
    <row r="58" spans="1:51" outlineLevel="1">
      <c r="A58" s="12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W58" s="25"/>
    </row>
    <row r="59" spans="1:51" outlineLevel="1">
      <c r="A59" s="13" t="s">
        <v>91</v>
      </c>
      <c r="B59" s="69">
        <f t="shared" ref="B59:U59" si="13">B36</f>
        <v>26060.40309266909</v>
      </c>
      <c r="C59" s="69">
        <f t="shared" si="13"/>
        <v>26055.435483305591</v>
      </c>
      <c r="D59" s="69">
        <f t="shared" si="13"/>
        <v>25974.931191631396</v>
      </c>
      <c r="E59" s="69">
        <f t="shared" si="13"/>
        <v>40821.819900256261</v>
      </c>
      <c r="F59" s="69">
        <f t="shared" si="13"/>
        <v>42808.884108937069</v>
      </c>
      <c r="G59" s="69">
        <f t="shared" si="13"/>
        <v>43655.119573537784</v>
      </c>
      <c r="H59" s="69">
        <f t="shared" si="13"/>
        <v>44525.917662677013</v>
      </c>
      <c r="I59" s="69">
        <f t="shared" si="13"/>
        <v>45408.670922408957</v>
      </c>
      <c r="J59" s="69">
        <f t="shared" si="13"/>
        <v>46303.312944688965</v>
      </c>
      <c r="K59" s="69">
        <f t="shared" si="13"/>
        <v>47209.762577336136</v>
      </c>
      <c r="L59" s="69">
        <f t="shared" si="13"/>
        <v>48127.923099152438</v>
      </c>
      <c r="M59" s="69">
        <f t="shared" si="13"/>
        <v>49057.681358818671</v>
      </c>
      <c r="N59" s="69">
        <f t="shared" si="13"/>
        <v>49998.906876136185</v>
      </c>
      <c r="O59" s="69">
        <f t="shared" si="13"/>
        <v>50951.450904130339</v>
      </c>
      <c r="P59" s="69">
        <f t="shared" si="13"/>
        <v>51915.145450476164</v>
      </c>
      <c r="Q59" s="69">
        <f t="shared" si="13"/>
        <v>52684.390769319718</v>
      </c>
      <c r="R59" s="69">
        <f t="shared" si="13"/>
        <v>53452.064069248976</v>
      </c>
      <c r="S59" s="69">
        <f t="shared" si="13"/>
        <v>54217.378708342156</v>
      </c>
      <c r="T59" s="69">
        <f t="shared" si="13"/>
        <v>54979.502260979119</v>
      </c>
      <c r="U59" s="69">
        <f t="shared" si="13"/>
        <v>55737.554478797356</v>
      </c>
      <c r="W59" s="457">
        <f>SUM(B59:U59)</f>
        <v>909946.25543284952</v>
      </c>
    </row>
    <row r="60" spans="1:51">
      <c r="A60" s="13" t="s">
        <v>255</v>
      </c>
      <c r="B60" s="69">
        <f>B28</f>
        <v>572</v>
      </c>
      <c r="C60" s="69">
        <f t="shared" ref="C60:U60" si="14">C28</f>
        <v>583.4</v>
      </c>
      <c r="D60" s="69">
        <f t="shared" si="14"/>
        <v>595.1</v>
      </c>
      <c r="E60" s="69">
        <f t="shared" si="14"/>
        <v>607</v>
      </c>
      <c r="F60" s="69">
        <f t="shared" si="14"/>
        <v>619.1</v>
      </c>
      <c r="G60" s="69">
        <f t="shared" si="14"/>
        <v>631.5</v>
      </c>
      <c r="H60" s="69">
        <f t="shared" si="14"/>
        <v>631.5</v>
      </c>
      <c r="I60" s="69">
        <f t="shared" si="14"/>
        <v>631.5</v>
      </c>
      <c r="J60" s="69">
        <f t="shared" si="14"/>
        <v>631.5</v>
      </c>
      <c r="K60" s="69">
        <f t="shared" si="14"/>
        <v>631.5</v>
      </c>
      <c r="L60" s="69">
        <f t="shared" si="14"/>
        <v>631.5</v>
      </c>
      <c r="M60" s="69">
        <f t="shared" si="14"/>
        <v>631.5</v>
      </c>
      <c r="N60" s="69">
        <f t="shared" si="14"/>
        <v>631.5</v>
      </c>
      <c r="O60" s="69">
        <f t="shared" si="14"/>
        <v>631.5</v>
      </c>
      <c r="P60" s="69">
        <f t="shared" si="14"/>
        <v>631.5</v>
      </c>
      <c r="Q60" s="69">
        <f t="shared" si="14"/>
        <v>631.5</v>
      </c>
      <c r="R60" s="69">
        <f t="shared" si="14"/>
        <v>631.5</v>
      </c>
      <c r="S60" s="69">
        <f t="shared" si="14"/>
        <v>631.5</v>
      </c>
      <c r="T60" s="69">
        <f t="shared" si="14"/>
        <v>631.5</v>
      </c>
      <c r="U60" s="69">
        <f t="shared" si="14"/>
        <v>631.5</v>
      </c>
      <c r="W60" s="457">
        <f>SUM(B60:U60)</f>
        <v>12449.1</v>
      </c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</row>
    <row r="61" spans="1:51">
      <c r="A61" s="13" t="s">
        <v>256</v>
      </c>
      <c r="B61" s="537">
        <v>-333.7</v>
      </c>
      <c r="C61" s="69">
        <f>-B60</f>
        <v>-572</v>
      </c>
      <c r="D61" s="69">
        <f t="shared" ref="D61:U61" si="15">-C60</f>
        <v>-583.4</v>
      </c>
      <c r="E61" s="69">
        <f t="shared" si="15"/>
        <v>-595.1</v>
      </c>
      <c r="F61" s="69">
        <f t="shared" si="15"/>
        <v>-607</v>
      </c>
      <c r="G61" s="69">
        <f t="shared" si="15"/>
        <v>-619.1</v>
      </c>
      <c r="H61" s="69">
        <f t="shared" si="15"/>
        <v>-631.5</v>
      </c>
      <c r="I61" s="69">
        <f t="shared" si="15"/>
        <v>-631.5</v>
      </c>
      <c r="J61" s="69">
        <f t="shared" si="15"/>
        <v>-631.5</v>
      </c>
      <c r="K61" s="69">
        <f t="shared" si="15"/>
        <v>-631.5</v>
      </c>
      <c r="L61" s="69">
        <f t="shared" si="15"/>
        <v>-631.5</v>
      </c>
      <c r="M61" s="69">
        <f t="shared" si="15"/>
        <v>-631.5</v>
      </c>
      <c r="N61" s="69">
        <f t="shared" si="15"/>
        <v>-631.5</v>
      </c>
      <c r="O61" s="69">
        <f t="shared" si="15"/>
        <v>-631.5</v>
      </c>
      <c r="P61" s="69">
        <f t="shared" si="15"/>
        <v>-631.5</v>
      </c>
      <c r="Q61" s="69">
        <f t="shared" si="15"/>
        <v>-631.5</v>
      </c>
      <c r="R61" s="69">
        <f t="shared" si="15"/>
        <v>-631.5</v>
      </c>
      <c r="S61" s="69">
        <f t="shared" si="15"/>
        <v>-631.5</v>
      </c>
      <c r="T61" s="69">
        <f t="shared" si="15"/>
        <v>-631.5</v>
      </c>
      <c r="U61" s="69">
        <f t="shared" si="15"/>
        <v>-631.5</v>
      </c>
      <c r="W61" s="457">
        <f>SUM(B61:U61)</f>
        <v>-12151.3</v>
      </c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</row>
    <row r="62" spans="1:51" outlineLevel="1">
      <c r="A62" s="13" t="s">
        <v>99</v>
      </c>
      <c r="B62" s="455">
        <f>-Debt!B75*Allocation!$F$14</f>
        <v>-19798.604785183186</v>
      </c>
      <c r="C62" s="455">
        <f>-Debt!C75*Allocation!$F$14</f>
        <v>-19746.322074785014</v>
      </c>
      <c r="D62" s="455">
        <f>-Debt!D75*Allocation!$F$14</f>
        <v>-19645.714021581167</v>
      </c>
      <c r="E62" s="455">
        <f>-Debt!E75*Allocation!$F$14</f>
        <v>-13762.710279842117</v>
      </c>
      <c r="F62" s="455">
        <f>-Debt!F75*Allocation!$F$14</f>
        <v>-14466.289828462463</v>
      </c>
      <c r="G62" s="455">
        <f>-Debt!G75*Allocation!$F$14</f>
        <v>-14670.306939645647</v>
      </c>
      <c r="H62" s="455">
        <f>-Debt!H75*Allocation!$F$14</f>
        <v>-14861.262557146396</v>
      </c>
      <c r="I62" s="455">
        <f>-Debt!I75*Allocation!$F$14</f>
        <v>-15114.553670362988</v>
      </c>
      <c r="J62" s="455">
        <f>-Debt!J75*Allocation!$F$14</f>
        <v>-15312.252475768821</v>
      </c>
      <c r="K62" s="455">
        <f>-Debt!K75*Allocation!$F$14</f>
        <v>-15462.361518423661</v>
      </c>
      <c r="L62" s="455">
        <f>-Debt!L75*Allocation!$F$14</f>
        <v>-15766.850416553607</v>
      </c>
      <c r="M62" s="455">
        <f>-Debt!M75*Allocation!$F$14</f>
        <v>-16129.518575862263</v>
      </c>
      <c r="N62" s="455">
        <f>-Debt!N75*Allocation!$F$14</f>
        <v>-16369.876032402066</v>
      </c>
      <c r="O62" s="455">
        <f>-Debt!O75*Allocation!$F$14</f>
        <v>-16664.019901460644</v>
      </c>
      <c r="P62" s="455">
        <f>-Debt!P75*Allocation!$F$14</f>
        <v>-16924.342848179611</v>
      </c>
      <c r="Q62" s="455">
        <f>-Debt!Q75*Allocation!$F$14</f>
        <v>-17238.860025562015</v>
      </c>
      <c r="R62" s="455">
        <f>-Debt!R75*Allocation!$F$14</f>
        <v>-17408.202305460425</v>
      </c>
      <c r="S62" s="455">
        <f>-Debt!S75*Allocation!$F$14</f>
        <v>-17629.938921257384</v>
      </c>
      <c r="T62" s="455">
        <f>-Debt!T75*Allocation!$F$14</f>
        <v>-17855.781733930184</v>
      </c>
      <c r="U62" s="455">
        <f>-Debt!U75*Allocation!$F$14</f>
        <v>-18116.968599513857</v>
      </c>
      <c r="W62" s="457">
        <f>SUM(B62:U62)</f>
        <v>-332944.73751138349</v>
      </c>
    </row>
    <row r="63" spans="1:51" outlineLevel="1">
      <c r="A63" s="13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W63" s="458"/>
    </row>
    <row r="64" spans="1:51" s="59" customFormat="1" outlineLevel="1">
      <c r="A64" s="12" t="s">
        <v>100</v>
      </c>
      <c r="B64" s="138">
        <f t="shared" ref="B64:U64" si="16">SUM(B59:B62)</f>
        <v>6500.0983074859032</v>
      </c>
      <c r="C64" s="138">
        <f t="shared" si="16"/>
        <v>6320.5134085205791</v>
      </c>
      <c r="D64" s="138">
        <f t="shared" si="16"/>
        <v>6340.9171700502266</v>
      </c>
      <c r="E64" s="138">
        <f t="shared" si="16"/>
        <v>27071.009620414145</v>
      </c>
      <c r="F64" s="138">
        <f t="shared" si="16"/>
        <v>28354.694280474607</v>
      </c>
      <c r="G64" s="138">
        <f t="shared" si="16"/>
        <v>28997.212633892137</v>
      </c>
      <c r="H64" s="138">
        <f t="shared" si="16"/>
        <v>29664.655105530619</v>
      </c>
      <c r="I64" s="138">
        <f t="shared" si="16"/>
        <v>30294.11725204597</v>
      </c>
      <c r="J64" s="138">
        <f t="shared" si="16"/>
        <v>30991.060468920143</v>
      </c>
      <c r="K64" s="138">
        <f t="shared" si="16"/>
        <v>31747.401058912474</v>
      </c>
      <c r="L64" s="138">
        <f t="shared" si="16"/>
        <v>32361.072682598831</v>
      </c>
      <c r="M64" s="138">
        <f t="shared" si="16"/>
        <v>32928.16278295641</v>
      </c>
      <c r="N64" s="138">
        <f t="shared" si="16"/>
        <v>33629.030843734115</v>
      </c>
      <c r="O64" s="138">
        <f t="shared" si="16"/>
        <v>34287.431002669691</v>
      </c>
      <c r="P64" s="138">
        <f t="shared" si="16"/>
        <v>34990.80260229655</v>
      </c>
      <c r="Q64" s="138">
        <f t="shared" si="16"/>
        <v>35445.530743757699</v>
      </c>
      <c r="R64" s="138">
        <f t="shared" si="16"/>
        <v>36043.861763788547</v>
      </c>
      <c r="S64" s="138">
        <f t="shared" si="16"/>
        <v>36587.439787084775</v>
      </c>
      <c r="T64" s="138">
        <f t="shared" si="16"/>
        <v>37123.720527048936</v>
      </c>
      <c r="U64" s="138">
        <f t="shared" si="16"/>
        <v>37620.585879283499</v>
      </c>
      <c r="W64" s="457">
        <f>SUM(B64:U64)</f>
        <v>577299.31792146584</v>
      </c>
    </row>
    <row r="65" spans="1:23" outlineLevel="1">
      <c r="A65" s="12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W65" s="458"/>
    </row>
    <row r="66" spans="1:23" ht="15" outlineLevel="1">
      <c r="A66" s="13" t="s">
        <v>136</v>
      </c>
      <c r="B66" s="235">
        <f>-B106</f>
        <v>0</v>
      </c>
      <c r="C66" s="235">
        <f t="shared" ref="C66:U66" si="17">-C106</f>
        <v>0</v>
      </c>
      <c r="D66" s="235">
        <f t="shared" si="17"/>
        <v>0</v>
      </c>
      <c r="E66" s="235">
        <f t="shared" si="17"/>
        <v>0</v>
      </c>
      <c r="F66" s="235">
        <f t="shared" si="17"/>
        <v>0</v>
      </c>
      <c r="G66" s="235">
        <f t="shared" si="17"/>
        <v>0</v>
      </c>
      <c r="H66" s="235">
        <f t="shared" si="17"/>
        <v>-491.99237494803504</v>
      </c>
      <c r="I66" s="235">
        <f t="shared" si="17"/>
        <v>-1114.5862290964897</v>
      </c>
      <c r="J66" s="235">
        <f t="shared" si="17"/>
        <v>-1208.4044777706624</v>
      </c>
      <c r="K66" s="235">
        <f t="shared" si="17"/>
        <v>-1300.4546585026551</v>
      </c>
      <c r="L66" s="235">
        <f t="shared" si="17"/>
        <v>-1402.3752831395448</v>
      </c>
      <c r="M66" s="235">
        <f t="shared" si="17"/>
        <v>-1505.4781219327651</v>
      </c>
      <c r="N66" s="235">
        <f t="shared" si="17"/>
        <v>-1624.3794998762594</v>
      </c>
      <c r="O66" s="235">
        <f t="shared" si="17"/>
        <v>-1744.7586440309215</v>
      </c>
      <c r="P66" s="235">
        <f t="shared" si="17"/>
        <v>-1878.200601991912</v>
      </c>
      <c r="Q66" s="235">
        <f t="shared" si="17"/>
        <v>-2653.0305592779846</v>
      </c>
      <c r="R66" s="235">
        <f t="shared" si="17"/>
        <v>-3439.8244033442361</v>
      </c>
      <c r="S66" s="235">
        <f t="shared" si="17"/>
        <v>-3584.7183248148799</v>
      </c>
      <c r="T66" s="235">
        <f t="shared" si="17"/>
        <v>-3740.5176388397094</v>
      </c>
      <c r="U66" s="235">
        <f t="shared" si="17"/>
        <v>-3908.1651106082018</v>
      </c>
      <c r="W66" s="457">
        <f>SUM(B66:U66)</f>
        <v>-29596.885928174255</v>
      </c>
    </row>
    <row r="67" spans="1:23" outlineLevel="1">
      <c r="A67" s="13" t="s">
        <v>137</v>
      </c>
      <c r="B67" s="130">
        <f>-Allocation!$F$14*Tax!B19</f>
        <v>331.87342041493673</v>
      </c>
      <c r="C67" s="130">
        <f>-Allocation!$F$14*Tax!C19</f>
        <v>4489.1126922557723</v>
      </c>
      <c r="D67" s="130">
        <f>-Allocation!$F$14*Tax!D19</f>
        <v>3438.6736204887002</v>
      </c>
      <c r="E67" s="130">
        <f>-Allocation!$F$14*Tax!E19</f>
        <v>-2632.1933914901692</v>
      </c>
      <c r="F67" s="130">
        <f>-Allocation!$F$14*Tax!F19</f>
        <v>-4129.5390169525635</v>
      </c>
      <c r="G67" s="130">
        <f>-Allocation!$F$14*Tax!G19</f>
        <v>-4946.2257769835296</v>
      </c>
      <c r="H67" s="130">
        <f>-Allocation!$F$14*Tax!H19</f>
        <v>-5489.086626844507</v>
      </c>
      <c r="I67" s="130">
        <f>-Allocation!$F$14*Tax!I19</f>
        <v>-5705.1044492355031</v>
      </c>
      <c r="J67" s="130">
        <f>-Allocation!$F$14*Tax!J19</f>
        <v>-6073.7485130457817</v>
      </c>
      <c r="K67" s="130">
        <f>-Allocation!$F$14*Tax!K19</f>
        <v>-6347.4944037054547</v>
      </c>
      <c r="L67" s="130">
        <f>-Allocation!$F$14*Tax!L19</f>
        <v>-6807.721243959897</v>
      </c>
      <c r="M67" s="130">
        <f>-Allocation!$F$14*Tax!M19</f>
        <v>-7288.9383686458514</v>
      </c>
      <c r="N67" s="130">
        <f>-Allocation!$F$14*Tax!N19</f>
        <v>-7802.4743121085994</v>
      </c>
      <c r="O67" s="130">
        <f>-Allocation!$F$14*Tax!O19</f>
        <v>-8330.6475035012973</v>
      </c>
      <c r="P67" s="130">
        <f>-Allocation!$F$14*Tax!P19</f>
        <v>-8879.2114977405254</v>
      </c>
      <c r="Q67" s="130">
        <f>-Allocation!$F$14*Tax!Q19</f>
        <v>-12103.695434711868</v>
      </c>
      <c r="R67" s="130">
        <f>-Allocation!$F$14*Tax!R19</f>
        <v>-15333.12362348213</v>
      </c>
      <c r="S67" s="130">
        <f>-Allocation!$F$14*Tax!S19</f>
        <v>-15962.268500004951</v>
      </c>
      <c r="T67" s="130">
        <f>-Allocation!$F$14*Tax!T19</f>
        <v>-16646.208868989914</v>
      </c>
      <c r="U67" s="130">
        <f>-Allocation!$F$14*Tax!U19</f>
        <v>-17377.663973825205</v>
      </c>
      <c r="W67" s="457">
        <f>SUM(B67:U67)</f>
        <v>-143595.68577206833</v>
      </c>
    </row>
    <row r="68" spans="1:23" outlineLevel="1">
      <c r="A68" s="13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W68" s="458"/>
    </row>
    <row r="69" spans="1:23" s="66" customFormat="1" ht="15.75" outlineLevel="1">
      <c r="A69" s="48" t="s">
        <v>101</v>
      </c>
      <c r="B69" s="139">
        <f t="shared" ref="B69:U69" si="18">B64+B67+B66</f>
        <v>6831.9717279008401</v>
      </c>
      <c r="C69" s="139">
        <f t="shared" si="18"/>
        <v>10809.626100776351</v>
      </c>
      <c r="D69" s="139">
        <f t="shared" si="18"/>
        <v>9779.5907905389267</v>
      </c>
      <c r="E69" s="139">
        <f t="shared" si="18"/>
        <v>24438.816228923977</v>
      </c>
      <c r="F69" s="139">
        <f t="shared" si="18"/>
        <v>24225.155263522043</v>
      </c>
      <c r="G69" s="139">
        <f t="shared" si="18"/>
        <v>24050.986856908607</v>
      </c>
      <c r="H69" s="139">
        <f t="shared" si="18"/>
        <v>23683.576103738076</v>
      </c>
      <c r="I69" s="139">
        <f t="shared" si="18"/>
        <v>23474.426573713976</v>
      </c>
      <c r="J69" s="139">
        <f t="shared" si="18"/>
        <v>23708.907478103698</v>
      </c>
      <c r="K69" s="139">
        <f t="shared" si="18"/>
        <v>24099.451996704363</v>
      </c>
      <c r="L69" s="139">
        <f t="shared" si="18"/>
        <v>24150.976155499393</v>
      </c>
      <c r="M69" s="139">
        <f t="shared" si="18"/>
        <v>24133.746292377793</v>
      </c>
      <c r="N69" s="139">
        <f t="shared" si="18"/>
        <v>24202.177031749256</v>
      </c>
      <c r="O69" s="139">
        <f t="shared" si="18"/>
        <v>24212.024855137472</v>
      </c>
      <c r="P69" s="139">
        <f t="shared" si="18"/>
        <v>24233.390502564111</v>
      </c>
      <c r="Q69" s="139">
        <f t="shared" si="18"/>
        <v>20688.804749767849</v>
      </c>
      <c r="R69" s="139">
        <f t="shared" si="18"/>
        <v>17270.913736962182</v>
      </c>
      <c r="S69" s="139">
        <f t="shared" si="18"/>
        <v>17040.452962264942</v>
      </c>
      <c r="T69" s="139">
        <f t="shared" si="18"/>
        <v>16736.994019219313</v>
      </c>
      <c r="U69" s="139">
        <f t="shared" si="18"/>
        <v>16334.756794850091</v>
      </c>
      <c r="W69" s="457">
        <f>SUM(B69:U69)</f>
        <v>404106.74622122326</v>
      </c>
    </row>
    <row r="70" spans="1:23" outlineLevel="1">
      <c r="A70" s="15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</row>
    <row r="71" spans="1:23" outlineLevel="1">
      <c r="A71" s="14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</row>
    <row r="72" spans="1:23" outlineLevel="1">
      <c r="A72" s="14">
        <v>0</v>
      </c>
      <c r="B72" s="69">
        <f>B36</f>
        <v>26060.40309266909</v>
      </c>
      <c r="C72" s="69">
        <f t="shared" ref="C72:U72" si="19">C36</f>
        <v>26055.435483305591</v>
      </c>
      <c r="D72" s="69">
        <f t="shared" si="19"/>
        <v>25974.931191631396</v>
      </c>
      <c r="E72" s="69">
        <f t="shared" si="19"/>
        <v>40821.819900256261</v>
      </c>
      <c r="F72" s="69">
        <f t="shared" si="19"/>
        <v>42808.884108937069</v>
      </c>
      <c r="G72" s="69">
        <f t="shared" si="19"/>
        <v>43655.119573537784</v>
      </c>
      <c r="H72" s="69">
        <f t="shared" si="19"/>
        <v>44525.917662677013</v>
      </c>
      <c r="I72" s="69">
        <f t="shared" si="19"/>
        <v>45408.670922408957</v>
      </c>
      <c r="J72" s="69">
        <f t="shared" si="19"/>
        <v>46303.312944688965</v>
      </c>
      <c r="K72" s="69">
        <f t="shared" si="19"/>
        <v>47209.762577336136</v>
      </c>
      <c r="L72" s="69">
        <f t="shared" si="19"/>
        <v>48127.923099152438</v>
      </c>
      <c r="M72" s="69">
        <f t="shared" si="19"/>
        <v>49057.681358818671</v>
      </c>
      <c r="N72" s="69">
        <f t="shared" si="19"/>
        <v>49998.906876136185</v>
      </c>
      <c r="O72" s="69">
        <f t="shared" si="19"/>
        <v>50951.450904130339</v>
      </c>
      <c r="P72" s="69">
        <f t="shared" si="19"/>
        <v>51915.145450476164</v>
      </c>
      <c r="Q72" s="69">
        <f t="shared" si="19"/>
        <v>52684.390769319718</v>
      </c>
      <c r="R72" s="69">
        <f t="shared" si="19"/>
        <v>53452.064069248976</v>
      </c>
      <c r="S72" s="69">
        <f t="shared" si="19"/>
        <v>54217.378708342156</v>
      </c>
      <c r="T72" s="69">
        <f t="shared" si="19"/>
        <v>54979.502260979119</v>
      </c>
      <c r="U72" s="69">
        <f t="shared" si="19"/>
        <v>55737.554478797356</v>
      </c>
    </row>
    <row r="73" spans="1:23" outlineLevel="1">
      <c r="A73" s="14" t="s">
        <v>239</v>
      </c>
      <c r="B73" s="463">
        <f>Assumptions!B39</f>
        <v>0.11443483820421446</v>
      </c>
      <c r="C73" s="464">
        <f>[7]!_xludf.xnpv(B73,A72:U72,CF!$B$8:$V$8)</f>
        <v>311101.46573335014</v>
      </c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</row>
    <row r="74" spans="1:23" outlineLevel="1">
      <c r="A74" s="70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</row>
    <row r="75" spans="1:23" outlineLevel="1">
      <c r="A75" s="7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</row>
    <row r="76" spans="1:23" outlineLevel="1">
      <c r="A76" s="72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61"/>
      <c r="M76" s="61"/>
      <c r="N76" s="61"/>
      <c r="O76" s="61"/>
      <c r="P76" s="61"/>
      <c r="Q76" s="61"/>
      <c r="R76" s="61"/>
      <c r="S76" s="61"/>
      <c r="T76" s="61"/>
      <c r="U76" s="61"/>
    </row>
    <row r="77" spans="1:23" ht="18.75" outlineLevel="1">
      <c r="A77" s="57" t="s">
        <v>282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</row>
    <row r="78" spans="1:23" outlineLevel="1">
      <c r="A78" s="59"/>
      <c r="B78" s="20"/>
      <c r="C78" s="20"/>
      <c r="D78" s="20"/>
      <c r="E78" s="20"/>
      <c r="F78" s="20"/>
      <c r="G78" s="140"/>
      <c r="H78" s="20"/>
      <c r="I78" s="20"/>
      <c r="J78" s="20"/>
      <c r="K78" s="20"/>
      <c r="L78" s="20"/>
      <c r="M78" s="140"/>
      <c r="N78" s="20"/>
      <c r="O78" s="20"/>
      <c r="P78" s="20"/>
      <c r="Q78" s="20"/>
      <c r="R78" s="20"/>
      <c r="S78" s="140"/>
      <c r="T78" s="20"/>
      <c r="U78" s="20"/>
    </row>
    <row r="79" spans="1:23" outlineLevel="1">
      <c r="A79" s="236"/>
      <c r="B79" s="257">
        <v>3</v>
      </c>
      <c r="C79" s="257">
        <v>4</v>
      </c>
      <c r="D79" s="257">
        <v>5</v>
      </c>
      <c r="E79" s="258">
        <v>6</v>
      </c>
      <c r="F79" s="257">
        <v>7</v>
      </c>
      <c r="G79" s="257">
        <v>8</v>
      </c>
      <c r="H79" s="257">
        <v>9</v>
      </c>
      <c r="I79" s="257">
        <v>10</v>
      </c>
      <c r="J79" s="257">
        <v>11</v>
      </c>
      <c r="K79" s="258">
        <v>12</v>
      </c>
      <c r="L79" s="257">
        <v>13</v>
      </c>
      <c r="M79" s="257">
        <v>14</v>
      </c>
      <c r="N79" s="257">
        <v>15</v>
      </c>
      <c r="O79" s="257">
        <v>16</v>
      </c>
      <c r="P79" s="257">
        <v>17</v>
      </c>
      <c r="Q79" s="258">
        <v>18</v>
      </c>
      <c r="R79" s="257">
        <v>19</v>
      </c>
      <c r="S79" s="257">
        <v>20</v>
      </c>
      <c r="T79" s="257">
        <v>21</v>
      </c>
      <c r="U79" s="257">
        <v>22</v>
      </c>
    </row>
    <row r="80" spans="1:23" ht="13.5" outlineLevel="1" thickBot="1">
      <c r="A80" s="202" t="s">
        <v>83</v>
      </c>
      <c r="B80" s="8">
        <v>2001</v>
      </c>
      <c r="C80" s="8">
        <v>2002</v>
      </c>
      <c r="D80" s="8">
        <v>2003</v>
      </c>
      <c r="E80" s="8">
        <v>2004</v>
      </c>
      <c r="F80" s="8">
        <v>2005</v>
      </c>
      <c r="G80" s="8">
        <v>2006</v>
      </c>
      <c r="H80" s="8">
        <v>2007</v>
      </c>
      <c r="I80" s="8">
        <v>2008</v>
      </c>
      <c r="J80" s="8">
        <v>2009</v>
      </c>
      <c r="K80" s="8">
        <v>2010</v>
      </c>
      <c r="L80" s="8">
        <v>2011</v>
      </c>
      <c r="M80" s="8">
        <v>2012</v>
      </c>
      <c r="N80" s="8">
        <v>2013</v>
      </c>
      <c r="O80" s="8">
        <v>2014</v>
      </c>
      <c r="P80" s="8">
        <v>2015</v>
      </c>
      <c r="Q80" s="8">
        <v>2016</v>
      </c>
      <c r="R80" s="8">
        <v>2017</v>
      </c>
      <c r="S80" s="8">
        <v>2018</v>
      </c>
      <c r="T80" s="8">
        <v>2019</v>
      </c>
      <c r="U80" s="8">
        <v>2020</v>
      </c>
    </row>
    <row r="81" spans="1:252" outlineLevel="1">
      <c r="A81" s="236"/>
      <c r="B81" s="264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5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1:252" outlineLevel="1">
      <c r="A83" s="237" t="s">
        <v>279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1:252" s="492" customFormat="1" ht="12" customHeight="1">
      <c r="A84" s="505"/>
      <c r="B84" s="488"/>
      <c r="C84" s="488"/>
      <c r="D84" s="261"/>
      <c r="E84" s="261"/>
      <c r="F84" s="261"/>
      <c r="G84" s="261"/>
      <c r="H84" s="261"/>
      <c r="I84" s="261"/>
      <c r="J84" s="261"/>
      <c r="K84" s="261"/>
      <c r="L84" s="261"/>
      <c r="M84" s="261"/>
      <c r="N84" s="261"/>
      <c r="O84" s="261"/>
      <c r="P84" s="261"/>
      <c r="Q84" s="261"/>
      <c r="R84" s="261"/>
      <c r="S84" s="261"/>
      <c r="T84" s="261"/>
      <c r="U84" s="261"/>
      <c r="V84" s="261"/>
      <c r="W84" s="261"/>
      <c r="X84" s="261"/>
      <c r="Y84" s="261"/>
      <c r="Z84" s="488"/>
      <c r="AA84" s="491"/>
      <c r="AB84" s="491"/>
      <c r="AC84" s="491"/>
      <c r="AD84" s="491"/>
      <c r="AE84" s="491"/>
      <c r="AF84" s="491"/>
      <c r="AG84" s="491"/>
      <c r="AH84" s="491"/>
      <c r="AI84" s="491"/>
      <c r="AJ84" s="491"/>
      <c r="AK84" s="491"/>
      <c r="AL84" s="491"/>
      <c r="AM84" s="491"/>
      <c r="AN84" s="491"/>
      <c r="AO84" s="491"/>
      <c r="AP84" s="491"/>
      <c r="AQ84" s="491"/>
      <c r="AR84" s="491"/>
      <c r="AS84" s="491"/>
      <c r="AT84" s="491"/>
      <c r="AU84" s="491"/>
      <c r="AV84" s="491"/>
      <c r="AW84" s="491"/>
      <c r="AX84" s="491"/>
      <c r="AY84" s="491"/>
      <c r="AZ84" s="491"/>
      <c r="BA84" s="491"/>
      <c r="BB84" s="491"/>
      <c r="BC84" s="491"/>
      <c r="BD84" s="491"/>
      <c r="BE84" s="491"/>
      <c r="BF84" s="491"/>
      <c r="BG84" s="491"/>
      <c r="BH84" s="491"/>
      <c r="BI84" s="491"/>
      <c r="BJ84" s="491"/>
      <c r="BK84" s="491"/>
      <c r="BL84" s="491"/>
      <c r="BM84" s="491"/>
      <c r="BN84" s="491"/>
      <c r="BO84" s="491"/>
      <c r="BP84" s="491"/>
      <c r="BQ84" s="491"/>
      <c r="BR84" s="491"/>
      <c r="BS84" s="491"/>
      <c r="BT84" s="491"/>
      <c r="BU84" s="491"/>
      <c r="BV84" s="491"/>
      <c r="BW84" s="491"/>
      <c r="BX84" s="491"/>
      <c r="BY84" s="491"/>
      <c r="BZ84" s="491"/>
      <c r="CA84" s="491"/>
      <c r="CB84" s="491"/>
      <c r="CC84" s="491"/>
      <c r="CD84" s="491"/>
      <c r="CE84" s="491"/>
      <c r="CF84" s="491"/>
      <c r="CG84" s="491"/>
      <c r="CH84" s="491"/>
      <c r="CI84" s="491"/>
      <c r="CJ84" s="491"/>
      <c r="CK84" s="491"/>
      <c r="CL84" s="491"/>
      <c r="CM84" s="491"/>
      <c r="CN84" s="491"/>
      <c r="CO84" s="491"/>
      <c r="CP84" s="491"/>
      <c r="CQ84" s="491"/>
      <c r="CR84" s="491"/>
      <c r="CS84" s="491"/>
      <c r="CT84" s="491"/>
      <c r="CU84" s="491"/>
      <c r="CV84" s="491"/>
      <c r="CW84" s="491"/>
      <c r="CX84" s="491"/>
      <c r="CY84" s="491"/>
      <c r="CZ84" s="491"/>
      <c r="DA84" s="491"/>
      <c r="DB84" s="491"/>
      <c r="DC84" s="491"/>
      <c r="DD84" s="491"/>
      <c r="DE84" s="491"/>
      <c r="DF84" s="491"/>
      <c r="DG84" s="491"/>
      <c r="DH84" s="491"/>
      <c r="DI84" s="491"/>
      <c r="DJ84" s="491"/>
      <c r="DK84" s="491"/>
      <c r="DL84" s="491"/>
      <c r="DM84" s="491"/>
      <c r="DN84" s="491"/>
      <c r="DO84" s="491"/>
      <c r="DP84" s="491"/>
      <c r="DQ84" s="491"/>
      <c r="DR84" s="491"/>
      <c r="DS84" s="491"/>
      <c r="DT84" s="491"/>
      <c r="DU84" s="491"/>
      <c r="DV84" s="491"/>
      <c r="DW84" s="491"/>
      <c r="DX84" s="491"/>
      <c r="DY84" s="491"/>
      <c r="DZ84" s="491"/>
      <c r="EA84" s="491"/>
      <c r="EB84" s="491"/>
      <c r="EC84" s="491"/>
      <c r="ED84" s="491"/>
      <c r="EE84" s="491"/>
      <c r="EF84" s="491"/>
      <c r="EG84" s="491"/>
      <c r="EH84" s="491"/>
      <c r="EI84" s="491"/>
      <c r="EJ84" s="491"/>
      <c r="EK84" s="491"/>
      <c r="EL84" s="491"/>
      <c r="EM84" s="491"/>
      <c r="EN84" s="491"/>
      <c r="EO84" s="491"/>
      <c r="EP84" s="491"/>
      <c r="EQ84" s="491"/>
      <c r="ER84" s="491"/>
      <c r="ES84" s="491"/>
      <c r="ET84" s="491"/>
      <c r="EU84" s="491"/>
      <c r="EV84" s="491"/>
      <c r="EW84" s="491"/>
      <c r="EX84" s="491"/>
      <c r="EY84" s="491"/>
      <c r="EZ84" s="491"/>
      <c r="FA84" s="491"/>
      <c r="FB84" s="491"/>
      <c r="FC84" s="491"/>
      <c r="FD84" s="491"/>
      <c r="FE84" s="491"/>
      <c r="FF84" s="491"/>
      <c r="FG84" s="491"/>
      <c r="FH84" s="491"/>
      <c r="FI84" s="491"/>
      <c r="FJ84" s="491"/>
      <c r="FK84" s="491"/>
      <c r="FL84" s="491"/>
      <c r="FM84" s="491"/>
      <c r="FN84" s="491"/>
      <c r="FO84" s="491"/>
      <c r="FP84" s="491"/>
      <c r="FQ84" s="491"/>
      <c r="FR84" s="491"/>
      <c r="FS84" s="491"/>
      <c r="FT84" s="491"/>
      <c r="FU84" s="491"/>
      <c r="FV84" s="491"/>
      <c r="FW84" s="491"/>
      <c r="FX84" s="491"/>
      <c r="FY84" s="491"/>
      <c r="FZ84" s="491"/>
      <c r="GA84" s="491"/>
      <c r="GB84" s="491"/>
      <c r="GC84" s="491"/>
      <c r="GD84" s="491"/>
      <c r="GE84" s="491"/>
      <c r="GF84" s="491"/>
      <c r="GG84" s="491"/>
      <c r="GH84" s="491"/>
      <c r="GI84" s="491"/>
      <c r="GJ84" s="491"/>
      <c r="GK84" s="491"/>
      <c r="GL84" s="491"/>
      <c r="GM84" s="491"/>
      <c r="GN84" s="491"/>
      <c r="GO84" s="491"/>
      <c r="GP84" s="491"/>
      <c r="GQ84" s="491"/>
      <c r="GR84" s="491"/>
      <c r="GS84" s="491"/>
      <c r="GT84" s="491"/>
      <c r="GU84" s="491"/>
      <c r="GV84" s="491"/>
      <c r="GW84" s="491"/>
      <c r="GX84" s="491"/>
      <c r="GY84" s="491"/>
      <c r="GZ84" s="491"/>
      <c r="HA84" s="491"/>
      <c r="HB84" s="491"/>
      <c r="HC84" s="491"/>
      <c r="HD84" s="491"/>
      <c r="HE84" s="491"/>
      <c r="HF84" s="491"/>
      <c r="HG84" s="491"/>
      <c r="HH84" s="491"/>
      <c r="HI84" s="491"/>
      <c r="HJ84" s="491"/>
      <c r="HK84" s="491"/>
      <c r="HL84" s="491"/>
      <c r="HM84" s="491"/>
      <c r="HN84" s="491"/>
      <c r="HO84" s="491"/>
      <c r="HP84" s="491"/>
      <c r="HQ84" s="491"/>
      <c r="HR84" s="491"/>
      <c r="HS84" s="491"/>
      <c r="HT84" s="491"/>
      <c r="HU84" s="491"/>
      <c r="HV84" s="491"/>
      <c r="HW84" s="491"/>
      <c r="HX84" s="491"/>
      <c r="HY84" s="491"/>
      <c r="HZ84" s="491"/>
      <c r="IA84" s="491"/>
      <c r="IB84" s="491"/>
      <c r="IC84" s="491"/>
      <c r="ID84" s="491"/>
      <c r="IE84" s="491"/>
      <c r="IF84" s="491"/>
      <c r="IG84" s="491"/>
      <c r="IH84" s="491"/>
      <c r="II84" s="491"/>
      <c r="IJ84" s="491"/>
      <c r="IK84" s="491"/>
      <c r="IL84" s="491"/>
      <c r="IM84" s="491"/>
      <c r="IN84" s="491"/>
      <c r="IO84" s="491"/>
      <c r="IP84" s="491"/>
      <c r="IQ84" s="491"/>
      <c r="IR84" s="491"/>
    </row>
    <row r="85" spans="1:252" s="492" customFormat="1" ht="12" customHeight="1">
      <c r="A85" s="506" t="s">
        <v>276</v>
      </c>
      <c r="B85" s="499">
        <f>Depreciation!$B$52*Assumptions!$B$8</f>
        <v>146359.22993524279</v>
      </c>
      <c r="C85" s="499">
        <f>Depreciation!$B$52*Assumptions!$B$8</f>
        <v>146359.22993524279</v>
      </c>
      <c r="D85" s="499">
        <f>Depreciation!$B$52*Assumptions!$B$8</f>
        <v>146359.22993524279</v>
      </c>
      <c r="E85" s="499">
        <f>Depreciation!$B$52*Assumptions!$B$8</f>
        <v>146359.22993524279</v>
      </c>
      <c r="F85" s="499">
        <f>Depreciation!$B$52*Assumptions!$B$8</f>
        <v>146359.22993524279</v>
      </c>
      <c r="G85" s="499">
        <f>Depreciation!$B$52*Assumptions!$B$8</f>
        <v>146359.22993524279</v>
      </c>
      <c r="H85" s="499">
        <f>Depreciation!$B$52*Assumptions!$B$8</f>
        <v>146359.22993524279</v>
      </c>
      <c r="I85" s="499">
        <f>Depreciation!$B$52*Assumptions!$B$8</f>
        <v>146359.22993524279</v>
      </c>
      <c r="J85" s="499">
        <f>Depreciation!$B$52*Assumptions!$B$8</f>
        <v>146359.22993524279</v>
      </c>
      <c r="K85" s="499">
        <f>Depreciation!$B$52*Assumptions!$B$8</f>
        <v>146359.22993524279</v>
      </c>
      <c r="L85" s="499">
        <f>Depreciation!$B$52*Assumptions!$B$8</f>
        <v>146359.22993524279</v>
      </c>
      <c r="M85" s="499">
        <f>Depreciation!$B$52*Assumptions!$B$8</f>
        <v>146359.22993524279</v>
      </c>
      <c r="N85" s="499">
        <f>Depreciation!$B$52*Assumptions!$B$8</f>
        <v>146359.22993524279</v>
      </c>
      <c r="O85" s="499">
        <f>Depreciation!$B$52*Assumptions!$B$8</f>
        <v>146359.22993524279</v>
      </c>
      <c r="P85" s="499">
        <f>Depreciation!$B$52*Assumptions!$B$8</f>
        <v>146359.22993524279</v>
      </c>
      <c r="Q85" s="499">
        <f>Depreciation!$B$52*Assumptions!$B$8</f>
        <v>146359.22993524279</v>
      </c>
      <c r="R85" s="499">
        <f>Depreciation!$B$52*Assumptions!$B$8</f>
        <v>146359.22993524279</v>
      </c>
      <c r="S85" s="499">
        <f>Depreciation!$B$52*Assumptions!$B$8</f>
        <v>146359.22993524279</v>
      </c>
      <c r="T85" s="499">
        <f>Depreciation!$B$52*Assumptions!$B$8</f>
        <v>146359.22993524279</v>
      </c>
      <c r="U85" s="499">
        <f>Depreciation!$B$52*Assumptions!$B$8</f>
        <v>146359.22993524279</v>
      </c>
      <c r="V85" s="499"/>
      <c r="W85" s="499"/>
      <c r="X85" s="499"/>
      <c r="Y85" s="499"/>
      <c r="Z85" s="488"/>
      <c r="AA85" s="491"/>
      <c r="AB85" s="491"/>
      <c r="AC85" s="491"/>
      <c r="AD85" s="491"/>
      <c r="AE85" s="491"/>
      <c r="AF85" s="491"/>
      <c r="AG85" s="491"/>
      <c r="AH85" s="491"/>
      <c r="AI85" s="491"/>
      <c r="AJ85" s="491"/>
      <c r="AK85" s="491"/>
      <c r="AL85" s="491"/>
      <c r="AM85" s="491"/>
      <c r="AN85" s="491"/>
      <c r="AO85" s="491"/>
      <c r="AP85" s="491"/>
      <c r="AQ85" s="491"/>
      <c r="AR85" s="491"/>
      <c r="AS85" s="491"/>
      <c r="AT85" s="491"/>
      <c r="AU85" s="491"/>
      <c r="AV85" s="491"/>
      <c r="AW85" s="491"/>
      <c r="AX85" s="491"/>
      <c r="AY85" s="491"/>
      <c r="AZ85" s="491"/>
      <c r="BA85" s="491"/>
      <c r="BB85" s="491"/>
      <c r="BC85" s="491"/>
      <c r="BD85" s="491"/>
      <c r="BE85" s="491"/>
      <c r="BF85" s="491"/>
      <c r="BG85" s="491"/>
      <c r="BH85" s="491"/>
      <c r="BI85" s="491"/>
      <c r="BJ85" s="491"/>
      <c r="BK85" s="491"/>
      <c r="BL85" s="491"/>
      <c r="BM85" s="491"/>
      <c r="BN85" s="491"/>
      <c r="BO85" s="491"/>
      <c r="BP85" s="491"/>
      <c r="BQ85" s="491"/>
      <c r="BR85" s="491"/>
      <c r="BS85" s="491"/>
      <c r="BT85" s="491"/>
      <c r="BU85" s="491"/>
      <c r="BV85" s="491"/>
      <c r="BW85" s="491"/>
      <c r="BX85" s="491"/>
      <c r="BY85" s="491"/>
      <c r="BZ85" s="491"/>
      <c r="CA85" s="491"/>
      <c r="CB85" s="491"/>
      <c r="CC85" s="491"/>
      <c r="CD85" s="491"/>
      <c r="CE85" s="491"/>
      <c r="CF85" s="491"/>
      <c r="CG85" s="491"/>
      <c r="CH85" s="491"/>
      <c r="CI85" s="491"/>
      <c r="CJ85" s="491"/>
      <c r="CK85" s="491"/>
      <c r="CL85" s="491"/>
      <c r="CM85" s="491"/>
      <c r="CN85" s="491"/>
      <c r="CO85" s="491"/>
      <c r="CP85" s="491"/>
      <c r="CQ85" s="491"/>
      <c r="CR85" s="491"/>
      <c r="CS85" s="491"/>
      <c r="CT85" s="491"/>
      <c r="CU85" s="491"/>
      <c r="CV85" s="491"/>
      <c r="CW85" s="491"/>
      <c r="CX85" s="491"/>
      <c r="CY85" s="491"/>
      <c r="CZ85" s="491"/>
      <c r="DA85" s="491"/>
      <c r="DB85" s="491"/>
      <c r="DC85" s="491"/>
      <c r="DD85" s="491"/>
      <c r="DE85" s="491"/>
      <c r="DF85" s="491"/>
      <c r="DG85" s="491"/>
      <c r="DH85" s="491"/>
      <c r="DI85" s="491"/>
      <c r="DJ85" s="491"/>
      <c r="DK85" s="491"/>
      <c r="DL85" s="491"/>
      <c r="DM85" s="491"/>
      <c r="DN85" s="491"/>
      <c r="DO85" s="491"/>
      <c r="DP85" s="491"/>
      <c r="DQ85" s="491"/>
      <c r="DR85" s="491"/>
      <c r="DS85" s="491"/>
      <c r="DT85" s="491"/>
      <c r="DU85" s="491"/>
      <c r="DV85" s="491"/>
      <c r="DW85" s="491"/>
      <c r="DX85" s="491"/>
      <c r="DY85" s="491"/>
      <c r="DZ85" s="491"/>
      <c r="EA85" s="491"/>
      <c r="EB85" s="491"/>
      <c r="EC85" s="491"/>
      <c r="ED85" s="491"/>
      <c r="EE85" s="491"/>
      <c r="EF85" s="491"/>
      <c r="EG85" s="491"/>
      <c r="EH85" s="491"/>
      <c r="EI85" s="491"/>
      <c r="EJ85" s="491"/>
      <c r="EK85" s="491"/>
      <c r="EL85" s="491"/>
      <c r="EM85" s="491"/>
      <c r="EN85" s="491"/>
      <c r="EO85" s="491"/>
      <c r="EP85" s="491"/>
      <c r="EQ85" s="491"/>
      <c r="ER85" s="491"/>
      <c r="ES85" s="491"/>
      <c r="ET85" s="491"/>
      <c r="EU85" s="491"/>
      <c r="EV85" s="491"/>
      <c r="EW85" s="491"/>
      <c r="EX85" s="491"/>
      <c r="EY85" s="491"/>
      <c r="EZ85" s="491"/>
      <c r="FA85" s="491"/>
      <c r="FB85" s="491"/>
      <c r="FC85" s="491"/>
      <c r="FD85" s="491"/>
      <c r="FE85" s="491"/>
      <c r="FF85" s="491"/>
      <c r="FG85" s="491"/>
      <c r="FH85" s="491"/>
      <c r="FI85" s="491"/>
      <c r="FJ85" s="491"/>
      <c r="FK85" s="491"/>
      <c r="FL85" s="491"/>
      <c r="FM85" s="491"/>
      <c r="FN85" s="491"/>
      <c r="FO85" s="491"/>
      <c r="FP85" s="491"/>
      <c r="FQ85" s="491"/>
      <c r="FR85" s="491"/>
      <c r="FS85" s="491"/>
      <c r="FT85" s="491"/>
      <c r="FU85" s="491"/>
      <c r="FV85" s="491"/>
      <c r="FW85" s="491"/>
      <c r="FX85" s="491"/>
      <c r="FY85" s="491"/>
      <c r="FZ85" s="491"/>
      <c r="GA85" s="491"/>
      <c r="GB85" s="491"/>
      <c r="GC85" s="491"/>
      <c r="GD85" s="491"/>
      <c r="GE85" s="491"/>
      <c r="GF85" s="491"/>
      <c r="GG85" s="491"/>
      <c r="GH85" s="491"/>
      <c r="GI85" s="491"/>
      <c r="GJ85" s="491"/>
      <c r="GK85" s="491"/>
      <c r="GL85" s="491"/>
      <c r="GM85" s="491"/>
      <c r="GN85" s="491"/>
      <c r="GO85" s="491"/>
      <c r="GP85" s="491"/>
      <c r="GQ85" s="491"/>
      <c r="GR85" s="491"/>
      <c r="GS85" s="491"/>
      <c r="GT85" s="491"/>
      <c r="GU85" s="491"/>
      <c r="GV85" s="491"/>
      <c r="GW85" s="491"/>
      <c r="GX85" s="491"/>
      <c r="GY85" s="491"/>
      <c r="GZ85" s="491"/>
      <c r="HA85" s="491"/>
      <c r="HB85" s="491"/>
      <c r="HC85" s="491"/>
      <c r="HD85" s="491"/>
      <c r="HE85" s="491"/>
      <c r="HF85" s="491"/>
      <c r="HG85" s="491"/>
      <c r="HH85" s="491"/>
      <c r="HI85" s="491"/>
      <c r="HJ85" s="491"/>
      <c r="HK85" s="491"/>
      <c r="HL85" s="491"/>
      <c r="HM85" s="491"/>
      <c r="HN85" s="491"/>
      <c r="HO85" s="491"/>
      <c r="HP85" s="491"/>
      <c r="HQ85" s="491"/>
      <c r="HR85" s="491"/>
      <c r="HS85" s="491"/>
      <c r="HT85" s="491"/>
      <c r="HU85" s="491"/>
      <c r="HV85" s="491"/>
      <c r="HW85" s="491"/>
      <c r="HX85" s="491"/>
      <c r="HY85" s="491"/>
      <c r="HZ85" s="491"/>
      <c r="IA85" s="491"/>
      <c r="IB85" s="491"/>
      <c r="IC85" s="491"/>
      <c r="ID85" s="491"/>
      <c r="IE85" s="491"/>
      <c r="IF85" s="491"/>
      <c r="IG85" s="491"/>
      <c r="IH85" s="491"/>
      <c r="II85" s="491"/>
      <c r="IJ85" s="491"/>
      <c r="IK85" s="491"/>
      <c r="IL85" s="491"/>
      <c r="IM85" s="491"/>
      <c r="IN85" s="491"/>
      <c r="IO85" s="491"/>
      <c r="IP85" s="491"/>
      <c r="IQ85" s="491"/>
      <c r="IR85" s="491"/>
    </row>
    <row r="86" spans="1:252" s="493" customFormat="1" ht="12" customHeight="1">
      <c r="A86" s="506" t="s">
        <v>280</v>
      </c>
      <c r="B86" s="500">
        <f>Summary!I40</f>
        <v>1.5E-3</v>
      </c>
      <c r="C86" s="500">
        <f>Summary!$I$41</f>
        <v>1E-3</v>
      </c>
      <c r="D86" s="500">
        <f>Summary!$I$41</f>
        <v>1E-3</v>
      </c>
      <c r="E86" s="500">
        <f>Summary!$I$41</f>
        <v>1E-3</v>
      </c>
      <c r="F86" s="500">
        <f>Summary!$I$41</f>
        <v>1E-3</v>
      </c>
      <c r="G86" s="500">
        <f>Summary!$I$41</f>
        <v>1E-3</v>
      </c>
      <c r="H86" s="500">
        <f>Summary!$I$41</f>
        <v>1E-3</v>
      </c>
      <c r="I86" s="500">
        <f>Summary!$I$41</f>
        <v>1E-3</v>
      </c>
      <c r="J86" s="500">
        <f>Summary!$I$41</f>
        <v>1E-3</v>
      </c>
      <c r="K86" s="500">
        <f>Summary!$I$41</f>
        <v>1E-3</v>
      </c>
      <c r="L86" s="500">
        <f>Summary!$I$41</f>
        <v>1E-3</v>
      </c>
      <c r="M86" s="500">
        <f>Summary!$I$41</f>
        <v>1E-3</v>
      </c>
      <c r="N86" s="500">
        <f>Summary!$I$41</f>
        <v>1E-3</v>
      </c>
      <c r="O86" s="500">
        <f>Summary!$I$41</f>
        <v>1E-3</v>
      </c>
      <c r="P86" s="500">
        <f>Summary!$I$41</f>
        <v>1E-3</v>
      </c>
      <c r="Q86" s="500">
        <f>Summary!$I$41</f>
        <v>1E-3</v>
      </c>
      <c r="R86" s="500">
        <f>Summary!$I$41</f>
        <v>1E-3</v>
      </c>
      <c r="S86" s="500">
        <f>Summary!$I$41</f>
        <v>1E-3</v>
      </c>
      <c r="T86" s="500">
        <f>Summary!$I$41</f>
        <v>1E-3</v>
      </c>
      <c r="U86" s="500">
        <f>Summary!$I$41</f>
        <v>1E-3</v>
      </c>
      <c r="V86" s="500"/>
      <c r="W86" s="500"/>
      <c r="X86" s="500"/>
      <c r="Y86" s="500"/>
      <c r="Z86" s="490"/>
      <c r="AA86" s="491"/>
      <c r="AB86" s="491"/>
      <c r="AC86" s="491"/>
      <c r="AD86" s="491"/>
      <c r="AE86" s="491"/>
      <c r="AF86" s="491"/>
      <c r="AG86" s="491"/>
      <c r="AH86" s="491"/>
      <c r="AI86" s="491"/>
      <c r="AJ86" s="491"/>
      <c r="AK86" s="491"/>
      <c r="AL86" s="491"/>
      <c r="AM86" s="491"/>
      <c r="AN86" s="491"/>
      <c r="AO86" s="491"/>
      <c r="AP86" s="491"/>
      <c r="AQ86" s="491"/>
      <c r="AR86" s="491"/>
      <c r="AS86" s="491"/>
      <c r="AT86" s="491"/>
      <c r="AU86" s="491"/>
      <c r="AV86" s="491"/>
      <c r="AW86" s="491"/>
      <c r="AX86" s="491"/>
      <c r="AY86" s="491"/>
      <c r="AZ86" s="491"/>
      <c r="BA86" s="491"/>
      <c r="BB86" s="491"/>
      <c r="BC86" s="491"/>
      <c r="BD86" s="491"/>
      <c r="BE86" s="491"/>
      <c r="BF86" s="491"/>
      <c r="BG86" s="491"/>
      <c r="BH86" s="491"/>
      <c r="BI86" s="491"/>
      <c r="BJ86" s="491"/>
      <c r="BK86" s="491"/>
      <c r="BL86" s="491"/>
      <c r="BM86" s="491"/>
      <c r="BN86" s="491"/>
      <c r="BO86" s="491"/>
      <c r="BP86" s="491"/>
      <c r="BQ86" s="491"/>
      <c r="BR86" s="491"/>
      <c r="BS86" s="491"/>
      <c r="BT86" s="491"/>
      <c r="BU86" s="491"/>
      <c r="BV86" s="491"/>
      <c r="BW86" s="491"/>
      <c r="BX86" s="491"/>
      <c r="BY86" s="491"/>
      <c r="BZ86" s="491"/>
      <c r="CA86" s="491"/>
      <c r="CB86" s="491"/>
      <c r="CC86" s="491"/>
      <c r="CD86" s="491"/>
      <c r="CE86" s="491"/>
      <c r="CF86" s="491"/>
      <c r="CG86" s="491"/>
      <c r="CH86" s="491"/>
      <c r="CI86" s="491"/>
      <c r="CJ86" s="491"/>
      <c r="CK86" s="491"/>
      <c r="CL86" s="491"/>
      <c r="CM86" s="491"/>
      <c r="CN86" s="491"/>
      <c r="CO86" s="491"/>
      <c r="CP86" s="491"/>
      <c r="CQ86" s="491"/>
      <c r="CR86" s="491"/>
      <c r="CS86" s="491"/>
      <c r="CT86" s="491"/>
      <c r="CU86" s="491"/>
      <c r="CV86" s="491"/>
      <c r="CW86" s="491"/>
      <c r="CX86" s="491"/>
      <c r="CY86" s="491"/>
      <c r="CZ86" s="491"/>
      <c r="DA86" s="491"/>
      <c r="DB86" s="491"/>
      <c r="DC86" s="491"/>
      <c r="DD86" s="491"/>
      <c r="DE86" s="491"/>
      <c r="DF86" s="491"/>
      <c r="DG86" s="491"/>
      <c r="DH86" s="491"/>
      <c r="DI86" s="491"/>
      <c r="DJ86" s="491"/>
      <c r="DK86" s="491"/>
      <c r="DL86" s="491"/>
      <c r="DM86" s="491"/>
      <c r="DN86" s="491"/>
      <c r="DO86" s="491"/>
      <c r="DP86" s="491"/>
      <c r="DQ86" s="491"/>
      <c r="DR86" s="491"/>
      <c r="DS86" s="491"/>
      <c r="DT86" s="491"/>
      <c r="DU86" s="491"/>
      <c r="DV86" s="491"/>
      <c r="DW86" s="491"/>
      <c r="DX86" s="491"/>
      <c r="DY86" s="491"/>
      <c r="DZ86" s="491"/>
      <c r="EA86" s="491"/>
      <c r="EB86" s="491"/>
      <c r="EC86" s="491"/>
      <c r="ED86" s="491"/>
      <c r="EE86" s="491"/>
      <c r="EF86" s="491"/>
      <c r="EG86" s="491"/>
      <c r="EH86" s="491"/>
      <c r="EI86" s="491"/>
      <c r="EJ86" s="491"/>
      <c r="EK86" s="491"/>
      <c r="EL86" s="491"/>
      <c r="EM86" s="491"/>
      <c r="EN86" s="491"/>
      <c r="EO86" s="491"/>
      <c r="EP86" s="491"/>
      <c r="EQ86" s="491"/>
      <c r="ER86" s="491"/>
      <c r="ES86" s="491"/>
      <c r="ET86" s="491"/>
      <c r="EU86" s="491"/>
      <c r="EV86" s="491"/>
      <c r="EW86" s="491"/>
      <c r="EX86" s="491"/>
      <c r="EY86" s="491"/>
      <c r="EZ86" s="491"/>
      <c r="FA86" s="491"/>
      <c r="FB86" s="491"/>
      <c r="FC86" s="491"/>
      <c r="FD86" s="491"/>
      <c r="FE86" s="491"/>
      <c r="FF86" s="491"/>
      <c r="FG86" s="491"/>
      <c r="FH86" s="491"/>
      <c r="FI86" s="491"/>
      <c r="FJ86" s="491"/>
      <c r="FK86" s="491"/>
      <c r="FL86" s="491"/>
      <c r="FM86" s="491"/>
      <c r="FN86" s="491"/>
      <c r="FO86" s="491"/>
      <c r="FP86" s="491"/>
      <c r="FQ86" s="491"/>
      <c r="FR86" s="491"/>
      <c r="FS86" s="491"/>
      <c r="FT86" s="491"/>
      <c r="FU86" s="491"/>
      <c r="FV86" s="491"/>
      <c r="FW86" s="491"/>
      <c r="FX86" s="491"/>
      <c r="FY86" s="491"/>
      <c r="FZ86" s="491"/>
      <c r="GA86" s="491"/>
      <c r="GB86" s="491"/>
      <c r="GC86" s="491"/>
      <c r="GD86" s="491"/>
      <c r="GE86" s="491"/>
      <c r="GF86" s="491"/>
      <c r="GG86" s="491"/>
      <c r="GH86" s="491"/>
      <c r="GI86" s="491"/>
      <c r="GJ86" s="491"/>
      <c r="GK86" s="491"/>
      <c r="GL86" s="491"/>
      <c r="GM86" s="491"/>
      <c r="GN86" s="491"/>
      <c r="GO86" s="491"/>
      <c r="GP86" s="491"/>
      <c r="GQ86" s="491"/>
      <c r="GR86" s="491"/>
      <c r="GS86" s="491"/>
      <c r="GT86" s="491"/>
      <c r="GU86" s="491"/>
      <c r="GV86" s="491"/>
      <c r="GW86" s="491"/>
      <c r="GX86" s="491"/>
      <c r="GY86" s="491"/>
      <c r="GZ86" s="491"/>
      <c r="HA86" s="491"/>
      <c r="HB86" s="491"/>
      <c r="HC86" s="491"/>
      <c r="HD86" s="491"/>
      <c r="HE86" s="491"/>
      <c r="HF86" s="491"/>
      <c r="HG86" s="491"/>
      <c r="HH86" s="491"/>
      <c r="HI86" s="491"/>
      <c r="HJ86" s="491"/>
      <c r="HK86" s="491"/>
      <c r="HL86" s="491"/>
      <c r="HM86" s="491"/>
      <c r="HN86" s="491"/>
      <c r="HO86" s="491"/>
      <c r="HP86" s="491"/>
      <c r="HQ86" s="491"/>
      <c r="HR86" s="491"/>
      <c r="HS86" s="491"/>
      <c r="HT86" s="491"/>
      <c r="HU86" s="491"/>
      <c r="HV86" s="491"/>
      <c r="HW86" s="491"/>
      <c r="HX86" s="491"/>
      <c r="HY86" s="491"/>
      <c r="HZ86" s="491"/>
      <c r="IA86" s="491"/>
      <c r="IB86" s="491"/>
      <c r="IC86" s="491"/>
      <c r="ID86" s="491"/>
      <c r="IE86" s="491"/>
      <c r="IF86" s="491"/>
      <c r="IG86" s="491"/>
      <c r="IH86" s="491"/>
      <c r="II86" s="491"/>
      <c r="IJ86" s="491"/>
      <c r="IK86" s="491"/>
      <c r="IL86" s="491"/>
      <c r="IM86" s="491"/>
      <c r="IN86" s="491"/>
      <c r="IO86" s="491"/>
    </row>
    <row r="87" spans="1:252" s="493" customFormat="1" ht="12" customHeight="1">
      <c r="A87" s="344" t="s">
        <v>281</v>
      </c>
      <c r="B87" s="501">
        <f>B85*B86</f>
        <v>219.53884490286418</v>
      </c>
      <c r="C87" s="501">
        <f t="shared" ref="C87:U87" si="20">C85*C86</f>
        <v>146.35922993524281</v>
      </c>
      <c r="D87" s="501">
        <f t="shared" si="20"/>
        <v>146.35922993524281</v>
      </c>
      <c r="E87" s="501">
        <f t="shared" si="20"/>
        <v>146.35922993524281</v>
      </c>
      <c r="F87" s="501">
        <f t="shared" si="20"/>
        <v>146.35922993524281</v>
      </c>
      <c r="G87" s="501">
        <f t="shared" si="20"/>
        <v>146.35922993524281</v>
      </c>
      <c r="H87" s="501">
        <f t="shared" si="20"/>
        <v>146.35922993524281</v>
      </c>
      <c r="I87" s="501">
        <f t="shared" si="20"/>
        <v>146.35922993524281</v>
      </c>
      <c r="J87" s="501">
        <f t="shared" si="20"/>
        <v>146.35922993524281</v>
      </c>
      <c r="K87" s="501">
        <f t="shared" si="20"/>
        <v>146.35922993524281</v>
      </c>
      <c r="L87" s="501">
        <f t="shared" si="20"/>
        <v>146.35922993524281</v>
      </c>
      <c r="M87" s="501">
        <f t="shared" si="20"/>
        <v>146.35922993524281</v>
      </c>
      <c r="N87" s="501">
        <f t="shared" si="20"/>
        <v>146.35922993524281</v>
      </c>
      <c r="O87" s="501">
        <f t="shared" si="20"/>
        <v>146.35922993524281</v>
      </c>
      <c r="P87" s="501">
        <f t="shared" si="20"/>
        <v>146.35922993524281</v>
      </c>
      <c r="Q87" s="501">
        <f t="shared" si="20"/>
        <v>146.35922993524281</v>
      </c>
      <c r="R87" s="501">
        <f t="shared" si="20"/>
        <v>146.35922993524281</v>
      </c>
      <c r="S87" s="501">
        <f t="shared" si="20"/>
        <v>146.35922993524281</v>
      </c>
      <c r="T87" s="501">
        <f t="shared" si="20"/>
        <v>146.35922993524281</v>
      </c>
      <c r="U87" s="501">
        <f t="shared" si="20"/>
        <v>146.35922993524281</v>
      </c>
      <c r="V87" s="501"/>
      <c r="W87" s="501"/>
      <c r="X87" s="501"/>
      <c r="Y87" s="501"/>
      <c r="Z87" s="490"/>
      <c r="AA87" s="491"/>
      <c r="AB87" s="491"/>
      <c r="AC87" s="491"/>
      <c r="AD87" s="491"/>
      <c r="AE87" s="491"/>
      <c r="AF87" s="491"/>
      <c r="AG87" s="491"/>
      <c r="AH87" s="491"/>
      <c r="AI87" s="491"/>
      <c r="AJ87" s="491"/>
      <c r="AK87" s="491"/>
      <c r="AL87" s="491"/>
      <c r="AM87" s="491"/>
      <c r="AN87" s="491"/>
      <c r="AO87" s="491"/>
      <c r="AP87" s="491"/>
      <c r="AQ87" s="491"/>
      <c r="AR87" s="491"/>
      <c r="AS87" s="491"/>
      <c r="AT87" s="491"/>
      <c r="AU87" s="491"/>
      <c r="AV87" s="491"/>
      <c r="AW87" s="491"/>
      <c r="AX87" s="491"/>
      <c r="AY87" s="491"/>
      <c r="AZ87" s="491"/>
      <c r="BA87" s="491"/>
      <c r="BB87" s="491"/>
      <c r="BC87" s="491"/>
      <c r="BD87" s="491"/>
      <c r="BE87" s="491"/>
      <c r="BF87" s="491"/>
      <c r="BG87" s="491"/>
      <c r="BH87" s="491"/>
      <c r="BI87" s="491"/>
      <c r="BJ87" s="491"/>
      <c r="BK87" s="491"/>
      <c r="BL87" s="491"/>
      <c r="BM87" s="491"/>
      <c r="BN87" s="491"/>
      <c r="BO87" s="491"/>
      <c r="BP87" s="491"/>
      <c r="BQ87" s="491"/>
      <c r="BR87" s="491"/>
      <c r="BS87" s="491"/>
      <c r="BT87" s="491"/>
      <c r="BU87" s="491"/>
      <c r="BV87" s="491"/>
      <c r="BW87" s="491"/>
      <c r="BX87" s="491"/>
      <c r="BY87" s="491"/>
      <c r="BZ87" s="491"/>
      <c r="CA87" s="491"/>
      <c r="CB87" s="491"/>
      <c r="CC87" s="491"/>
      <c r="CD87" s="491"/>
      <c r="CE87" s="491"/>
      <c r="CF87" s="491"/>
      <c r="CG87" s="491"/>
      <c r="CH87" s="491"/>
      <c r="CI87" s="491"/>
      <c r="CJ87" s="491"/>
      <c r="CK87" s="491"/>
      <c r="CL87" s="491"/>
      <c r="CM87" s="491"/>
      <c r="CN87" s="491"/>
      <c r="CO87" s="491"/>
      <c r="CP87" s="491"/>
      <c r="CQ87" s="491"/>
      <c r="CR87" s="491"/>
      <c r="CS87" s="491"/>
      <c r="CT87" s="491"/>
      <c r="CU87" s="491"/>
      <c r="CV87" s="491"/>
      <c r="CW87" s="491"/>
      <c r="CX87" s="491"/>
      <c r="CY87" s="491"/>
      <c r="CZ87" s="491"/>
      <c r="DA87" s="491"/>
      <c r="DB87" s="491"/>
      <c r="DC87" s="491"/>
      <c r="DD87" s="491"/>
      <c r="DE87" s="491"/>
      <c r="DF87" s="491"/>
      <c r="DG87" s="491"/>
      <c r="DH87" s="491"/>
      <c r="DI87" s="491"/>
      <c r="DJ87" s="491"/>
      <c r="DK87" s="491"/>
      <c r="DL87" s="491"/>
      <c r="DM87" s="491"/>
      <c r="DN87" s="491"/>
      <c r="DO87" s="491"/>
      <c r="DP87" s="491"/>
      <c r="DQ87" s="491"/>
      <c r="DR87" s="491"/>
      <c r="DS87" s="491"/>
      <c r="DT87" s="491"/>
      <c r="DU87" s="491"/>
      <c r="DV87" s="491"/>
      <c r="DW87" s="491"/>
      <c r="DX87" s="491"/>
      <c r="DY87" s="491"/>
      <c r="DZ87" s="491"/>
      <c r="EA87" s="491"/>
      <c r="EB87" s="491"/>
      <c r="EC87" s="491"/>
      <c r="ED87" s="491"/>
      <c r="EE87" s="491"/>
      <c r="EF87" s="491"/>
      <c r="EG87" s="491"/>
      <c r="EH87" s="491"/>
      <c r="EI87" s="491"/>
      <c r="EJ87" s="491"/>
      <c r="EK87" s="491"/>
      <c r="EL87" s="491"/>
      <c r="EM87" s="491"/>
      <c r="EN87" s="491"/>
      <c r="EO87" s="491"/>
      <c r="EP87" s="491"/>
      <c r="EQ87" s="491"/>
      <c r="ER87" s="491"/>
      <c r="ES87" s="491"/>
      <c r="ET87" s="491"/>
      <c r="EU87" s="491"/>
      <c r="EV87" s="491"/>
      <c r="EW87" s="491"/>
      <c r="EX87" s="491"/>
      <c r="EY87" s="491"/>
      <c r="EZ87" s="491"/>
      <c r="FA87" s="491"/>
      <c r="FB87" s="491"/>
      <c r="FC87" s="491"/>
      <c r="FD87" s="491"/>
      <c r="FE87" s="491"/>
      <c r="FF87" s="491"/>
      <c r="FG87" s="491"/>
      <c r="FH87" s="491"/>
      <c r="FI87" s="491"/>
      <c r="FJ87" s="491"/>
      <c r="FK87" s="491"/>
      <c r="FL87" s="491"/>
      <c r="FM87" s="491"/>
      <c r="FN87" s="491"/>
      <c r="FO87" s="491"/>
      <c r="FP87" s="491"/>
      <c r="FQ87" s="491"/>
      <c r="FR87" s="491"/>
      <c r="FS87" s="491"/>
      <c r="FT87" s="491"/>
      <c r="FU87" s="491"/>
      <c r="FV87" s="491"/>
      <c r="FW87" s="491"/>
      <c r="FX87" s="491"/>
      <c r="FY87" s="491"/>
      <c r="FZ87" s="491"/>
      <c r="GA87" s="491"/>
      <c r="GB87" s="491"/>
      <c r="GC87" s="491"/>
      <c r="GD87" s="491"/>
      <c r="GE87" s="491"/>
      <c r="GF87" s="491"/>
      <c r="GG87" s="491"/>
      <c r="GH87" s="491"/>
      <c r="GI87" s="491"/>
      <c r="GJ87" s="491"/>
      <c r="GK87" s="491"/>
      <c r="GL87" s="491"/>
      <c r="GM87" s="491"/>
      <c r="GN87" s="491"/>
      <c r="GO87" s="491"/>
      <c r="GP87" s="491"/>
      <c r="GQ87" s="491"/>
      <c r="GR87" s="491"/>
      <c r="GS87" s="491"/>
      <c r="GT87" s="491"/>
      <c r="GU87" s="491"/>
      <c r="GV87" s="491"/>
      <c r="GW87" s="491"/>
      <c r="GX87" s="491"/>
      <c r="GY87" s="491"/>
      <c r="GZ87" s="491"/>
      <c r="HA87" s="491"/>
      <c r="HB87" s="491"/>
      <c r="HC87" s="491"/>
      <c r="HD87" s="491"/>
      <c r="HE87" s="491"/>
      <c r="HF87" s="491"/>
      <c r="HG87" s="491"/>
      <c r="HH87" s="491"/>
      <c r="HI87" s="491"/>
      <c r="HJ87" s="491"/>
      <c r="HK87" s="491"/>
      <c r="HL87" s="491"/>
      <c r="HM87" s="491"/>
      <c r="HN87" s="491"/>
      <c r="HO87" s="491"/>
      <c r="HP87" s="491"/>
      <c r="HQ87" s="491"/>
      <c r="HR87" s="491"/>
      <c r="HS87" s="491"/>
      <c r="HT87" s="491"/>
      <c r="HU87" s="491"/>
      <c r="HV87" s="491"/>
      <c r="HW87" s="491"/>
      <c r="HX87" s="491"/>
      <c r="HY87" s="491"/>
      <c r="HZ87" s="491"/>
      <c r="IA87" s="491"/>
      <c r="IB87" s="491"/>
      <c r="IC87" s="491"/>
      <c r="ID87" s="491"/>
      <c r="IE87" s="491"/>
      <c r="IF87" s="491"/>
      <c r="IG87" s="491"/>
      <c r="IH87" s="491"/>
      <c r="II87" s="491"/>
      <c r="IJ87" s="491"/>
      <c r="IK87" s="491"/>
      <c r="IL87" s="491"/>
      <c r="IM87" s="491"/>
      <c r="IN87" s="491"/>
      <c r="IO87" s="491"/>
      <c r="IP87" s="491"/>
      <c r="IQ87" s="491"/>
    </row>
    <row r="88" spans="1:252" s="493" customFormat="1" ht="12" customHeight="1">
      <c r="A88" s="494"/>
      <c r="B88" s="494"/>
      <c r="C88" s="494"/>
      <c r="D88" s="495"/>
      <c r="E88" s="495"/>
      <c r="F88" s="495"/>
      <c r="G88" s="495"/>
      <c r="H88" s="495"/>
      <c r="I88" s="495"/>
      <c r="J88" s="495"/>
      <c r="K88" s="495"/>
      <c r="L88" s="495"/>
      <c r="M88" s="495"/>
      <c r="N88" s="495"/>
      <c r="O88" s="495"/>
      <c r="P88" s="495"/>
      <c r="Q88" s="495"/>
      <c r="R88" s="495"/>
      <c r="S88" s="495"/>
      <c r="T88" s="495"/>
      <c r="U88" s="495"/>
      <c r="V88" s="495"/>
      <c r="W88" s="495"/>
      <c r="X88" s="495"/>
      <c r="Y88" s="495"/>
      <c r="Z88" s="490"/>
      <c r="AA88" s="491"/>
      <c r="AB88" s="491"/>
      <c r="AC88" s="491"/>
      <c r="AD88" s="491"/>
      <c r="AE88" s="491"/>
      <c r="AF88" s="491"/>
      <c r="AG88" s="491"/>
      <c r="AH88" s="491"/>
      <c r="AI88" s="491"/>
      <c r="AJ88" s="491"/>
      <c r="AK88" s="491"/>
      <c r="AL88" s="491"/>
      <c r="AM88" s="491"/>
      <c r="AN88" s="491"/>
      <c r="AO88" s="491"/>
      <c r="AP88" s="491"/>
      <c r="AQ88" s="491"/>
      <c r="AR88" s="491"/>
      <c r="AS88" s="491"/>
      <c r="AT88" s="491"/>
      <c r="AU88" s="491"/>
      <c r="AV88" s="491"/>
      <c r="AW88" s="491"/>
      <c r="AX88" s="491"/>
      <c r="AY88" s="491"/>
      <c r="AZ88" s="491"/>
      <c r="BA88" s="491"/>
      <c r="BB88" s="491"/>
      <c r="BC88" s="491"/>
      <c r="BD88" s="491"/>
      <c r="BE88" s="491"/>
      <c r="BF88" s="491"/>
      <c r="BG88" s="491"/>
      <c r="BH88" s="491"/>
      <c r="BI88" s="491"/>
      <c r="BJ88" s="491"/>
      <c r="BK88" s="491"/>
      <c r="BL88" s="491"/>
      <c r="BM88" s="491"/>
      <c r="BN88" s="491"/>
      <c r="BO88" s="491"/>
      <c r="BP88" s="491"/>
      <c r="BQ88" s="491"/>
      <c r="BR88" s="491"/>
      <c r="BS88" s="491"/>
      <c r="BT88" s="491"/>
      <c r="BU88" s="491"/>
      <c r="BV88" s="491"/>
      <c r="BW88" s="491"/>
      <c r="BX88" s="491"/>
      <c r="BY88" s="491"/>
      <c r="BZ88" s="491"/>
      <c r="CA88" s="491"/>
      <c r="CB88" s="491"/>
      <c r="CC88" s="491"/>
      <c r="CD88" s="491"/>
      <c r="CE88" s="491"/>
      <c r="CF88" s="491"/>
      <c r="CG88" s="491"/>
      <c r="CH88" s="491"/>
      <c r="CI88" s="491"/>
      <c r="CJ88" s="491"/>
      <c r="CK88" s="491"/>
      <c r="CL88" s="491"/>
      <c r="CM88" s="491"/>
      <c r="CN88" s="491"/>
      <c r="CO88" s="491"/>
      <c r="CP88" s="491"/>
      <c r="CQ88" s="491"/>
      <c r="CR88" s="491"/>
      <c r="CS88" s="491"/>
      <c r="CT88" s="491"/>
      <c r="CU88" s="491"/>
      <c r="CV88" s="491"/>
      <c r="CW88" s="491"/>
      <c r="CX88" s="491"/>
      <c r="CY88" s="491"/>
      <c r="CZ88" s="491"/>
      <c r="DA88" s="491"/>
      <c r="DB88" s="491"/>
      <c r="DC88" s="491"/>
      <c r="DD88" s="491"/>
      <c r="DE88" s="491"/>
      <c r="DF88" s="491"/>
      <c r="DG88" s="491"/>
      <c r="DH88" s="491"/>
      <c r="DI88" s="491"/>
      <c r="DJ88" s="491"/>
      <c r="DK88" s="491"/>
      <c r="DL88" s="491"/>
      <c r="DM88" s="491"/>
      <c r="DN88" s="491"/>
      <c r="DO88" s="491"/>
      <c r="DP88" s="491"/>
      <c r="DQ88" s="491"/>
      <c r="DR88" s="491"/>
      <c r="DS88" s="491"/>
      <c r="DT88" s="491"/>
      <c r="DU88" s="491"/>
      <c r="DV88" s="491"/>
      <c r="DW88" s="491"/>
      <c r="DX88" s="491"/>
      <c r="DY88" s="491"/>
      <c r="DZ88" s="491"/>
      <c r="EA88" s="491"/>
      <c r="EB88" s="491"/>
      <c r="EC88" s="491"/>
      <c r="ED88" s="491"/>
      <c r="EE88" s="491"/>
      <c r="EF88" s="491"/>
      <c r="EG88" s="491"/>
      <c r="EH88" s="491"/>
      <c r="EI88" s="491"/>
      <c r="EJ88" s="491"/>
      <c r="EK88" s="491"/>
      <c r="EL88" s="491"/>
      <c r="EM88" s="491"/>
      <c r="EN88" s="491"/>
      <c r="EO88" s="491"/>
      <c r="EP88" s="491"/>
      <c r="EQ88" s="491"/>
      <c r="ER88" s="491"/>
      <c r="ES88" s="491"/>
      <c r="ET88" s="491"/>
      <c r="EU88" s="491"/>
      <c r="EV88" s="491"/>
      <c r="EW88" s="491"/>
      <c r="EX88" s="491"/>
      <c r="EY88" s="491"/>
      <c r="EZ88" s="491"/>
      <c r="FA88" s="491"/>
      <c r="FB88" s="491"/>
      <c r="FC88" s="491"/>
      <c r="FD88" s="491"/>
      <c r="FE88" s="491"/>
      <c r="FF88" s="491"/>
      <c r="FG88" s="491"/>
      <c r="FH88" s="491"/>
      <c r="FI88" s="491"/>
      <c r="FJ88" s="491"/>
      <c r="FK88" s="491"/>
      <c r="FL88" s="491"/>
      <c r="FM88" s="491"/>
      <c r="FN88" s="491"/>
      <c r="FO88" s="491"/>
      <c r="FP88" s="491"/>
      <c r="FQ88" s="491"/>
      <c r="FR88" s="491"/>
      <c r="FS88" s="491"/>
      <c r="FT88" s="491"/>
      <c r="FU88" s="491"/>
      <c r="FV88" s="491"/>
      <c r="FW88" s="491"/>
      <c r="FX88" s="491"/>
      <c r="FY88" s="491"/>
      <c r="FZ88" s="491"/>
      <c r="GA88" s="491"/>
      <c r="GB88" s="491"/>
      <c r="GC88" s="491"/>
      <c r="GD88" s="491"/>
      <c r="GE88" s="491"/>
      <c r="GF88" s="491"/>
      <c r="GG88" s="491"/>
      <c r="GH88" s="491"/>
      <c r="GI88" s="491"/>
      <c r="GJ88" s="491"/>
      <c r="GK88" s="491"/>
      <c r="GL88" s="491"/>
      <c r="GM88" s="491"/>
      <c r="GN88" s="491"/>
      <c r="GO88" s="491"/>
      <c r="GP88" s="491"/>
      <c r="GQ88" s="491"/>
      <c r="GR88" s="491"/>
      <c r="GS88" s="491"/>
      <c r="GT88" s="491"/>
      <c r="GU88" s="491"/>
      <c r="GV88" s="491"/>
      <c r="GW88" s="491"/>
      <c r="GX88" s="491"/>
      <c r="GY88" s="491"/>
      <c r="GZ88" s="491"/>
      <c r="HA88" s="491"/>
      <c r="HB88" s="491"/>
      <c r="HC88" s="491"/>
      <c r="HD88" s="491"/>
      <c r="HE88" s="491"/>
      <c r="HF88" s="491"/>
      <c r="HG88" s="491"/>
      <c r="HH88" s="491"/>
      <c r="HI88" s="491"/>
      <c r="HJ88" s="491"/>
      <c r="HK88" s="491"/>
      <c r="HL88" s="491"/>
      <c r="HM88" s="491"/>
      <c r="HN88" s="491"/>
      <c r="HO88" s="491"/>
      <c r="HP88" s="491"/>
      <c r="HQ88" s="491"/>
      <c r="HR88" s="491"/>
      <c r="HS88" s="491"/>
      <c r="HT88" s="491"/>
      <c r="HU88" s="491"/>
      <c r="HV88" s="491"/>
      <c r="HW88" s="491"/>
      <c r="HX88" s="491"/>
      <c r="HY88" s="491"/>
      <c r="HZ88" s="491"/>
      <c r="IA88" s="491"/>
      <c r="IB88" s="491"/>
      <c r="IC88" s="491"/>
      <c r="ID88" s="491"/>
      <c r="IE88" s="491"/>
      <c r="IF88" s="491"/>
      <c r="IG88" s="491"/>
      <c r="IH88" s="491"/>
      <c r="II88" s="491"/>
      <c r="IJ88" s="491"/>
      <c r="IK88" s="491"/>
      <c r="IL88" s="491"/>
      <c r="IM88" s="491"/>
      <c r="IN88" s="491"/>
      <c r="IO88" s="491"/>
      <c r="IP88" s="491"/>
      <c r="IQ88" s="491"/>
    </row>
    <row r="89" spans="1:252" s="493" customFormat="1" ht="12" customHeight="1">
      <c r="A89" s="494"/>
      <c r="B89" s="494"/>
      <c r="C89" s="494"/>
      <c r="D89" s="495"/>
      <c r="E89" s="495"/>
      <c r="F89" s="495"/>
      <c r="G89" s="495"/>
      <c r="H89" s="495"/>
      <c r="I89" s="495"/>
      <c r="J89" s="495"/>
      <c r="K89" s="495"/>
      <c r="L89" s="495"/>
      <c r="M89" s="495"/>
      <c r="N89" s="495"/>
      <c r="O89" s="495"/>
      <c r="P89" s="495"/>
      <c r="Q89" s="495"/>
      <c r="R89" s="495"/>
      <c r="S89" s="495"/>
      <c r="T89" s="495"/>
      <c r="U89" s="495"/>
      <c r="V89" s="495"/>
      <c r="W89" s="495"/>
      <c r="X89" s="495"/>
      <c r="Y89" s="495"/>
      <c r="Z89" s="490"/>
      <c r="AA89" s="491"/>
      <c r="AB89" s="491"/>
      <c r="AC89" s="491"/>
      <c r="AD89" s="491"/>
      <c r="AE89" s="491"/>
      <c r="AF89" s="491"/>
      <c r="AG89" s="491"/>
      <c r="AH89" s="491"/>
      <c r="AI89" s="491"/>
      <c r="AJ89" s="491"/>
      <c r="AK89" s="491"/>
      <c r="AL89" s="491"/>
      <c r="AM89" s="491"/>
      <c r="AN89" s="491"/>
      <c r="AO89" s="491"/>
      <c r="AP89" s="491"/>
      <c r="AQ89" s="491"/>
      <c r="AR89" s="491"/>
      <c r="AS89" s="491"/>
      <c r="AT89" s="491"/>
      <c r="AU89" s="491"/>
      <c r="AV89" s="491"/>
      <c r="AW89" s="491"/>
      <c r="AX89" s="491"/>
      <c r="AY89" s="491"/>
      <c r="AZ89" s="491"/>
      <c r="BA89" s="491"/>
      <c r="BB89" s="491"/>
      <c r="BC89" s="491"/>
      <c r="BD89" s="491"/>
      <c r="BE89" s="491"/>
      <c r="BF89" s="491"/>
      <c r="BG89" s="491"/>
      <c r="BH89" s="491"/>
      <c r="BI89" s="491"/>
      <c r="BJ89" s="491"/>
      <c r="BK89" s="491"/>
      <c r="BL89" s="491"/>
      <c r="BM89" s="491"/>
      <c r="BN89" s="491"/>
      <c r="BO89" s="491"/>
      <c r="BP89" s="491"/>
      <c r="BQ89" s="491"/>
      <c r="BR89" s="491"/>
      <c r="BS89" s="491"/>
      <c r="BT89" s="491"/>
      <c r="BU89" s="491"/>
      <c r="BV89" s="491"/>
      <c r="BW89" s="491"/>
      <c r="BX89" s="491"/>
      <c r="BY89" s="491"/>
      <c r="BZ89" s="491"/>
      <c r="CA89" s="491"/>
      <c r="CB89" s="491"/>
      <c r="CC89" s="491"/>
      <c r="CD89" s="491"/>
      <c r="CE89" s="491"/>
      <c r="CF89" s="491"/>
      <c r="CG89" s="491"/>
      <c r="CH89" s="491"/>
      <c r="CI89" s="491"/>
      <c r="CJ89" s="491"/>
      <c r="CK89" s="491"/>
      <c r="CL89" s="491"/>
      <c r="CM89" s="491"/>
      <c r="CN89" s="491"/>
      <c r="CO89" s="491"/>
      <c r="CP89" s="491"/>
      <c r="CQ89" s="491"/>
      <c r="CR89" s="491"/>
      <c r="CS89" s="491"/>
      <c r="CT89" s="491"/>
      <c r="CU89" s="491"/>
      <c r="CV89" s="491"/>
      <c r="CW89" s="491"/>
      <c r="CX89" s="491"/>
      <c r="CY89" s="491"/>
      <c r="CZ89" s="491"/>
      <c r="DA89" s="491"/>
      <c r="DB89" s="491"/>
      <c r="DC89" s="491"/>
      <c r="DD89" s="491"/>
      <c r="DE89" s="491"/>
      <c r="DF89" s="491"/>
      <c r="DG89" s="491"/>
      <c r="DH89" s="491"/>
      <c r="DI89" s="491"/>
      <c r="DJ89" s="491"/>
      <c r="DK89" s="491"/>
      <c r="DL89" s="491"/>
      <c r="DM89" s="491"/>
      <c r="DN89" s="491"/>
      <c r="DO89" s="491"/>
      <c r="DP89" s="491"/>
      <c r="DQ89" s="491"/>
      <c r="DR89" s="491"/>
      <c r="DS89" s="491"/>
      <c r="DT89" s="491"/>
      <c r="DU89" s="491"/>
      <c r="DV89" s="491"/>
      <c r="DW89" s="491"/>
      <c r="DX89" s="491"/>
      <c r="DY89" s="491"/>
      <c r="DZ89" s="491"/>
      <c r="EA89" s="491"/>
      <c r="EB89" s="491"/>
      <c r="EC89" s="491"/>
      <c r="ED89" s="491"/>
      <c r="EE89" s="491"/>
      <c r="EF89" s="491"/>
      <c r="EG89" s="491"/>
      <c r="EH89" s="491"/>
      <c r="EI89" s="491"/>
      <c r="EJ89" s="491"/>
      <c r="EK89" s="491"/>
      <c r="EL89" s="491"/>
      <c r="EM89" s="491"/>
      <c r="EN89" s="491"/>
      <c r="EO89" s="491"/>
      <c r="EP89" s="491"/>
      <c r="EQ89" s="491"/>
      <c r="ER89" s="491"/>
      <c r="ES89" s="491"/>
      <c r="ET89" s="491"/>
      <c r="EU89" s="491"/>
      <c r="EV89" s="491"/>
      <c r="EW89" s="491"/>
      <c r="EX89" s="491"/>
      <c r="EY89" s="491"/>
      <c r="EZ89" s="491"/>
      <c r="FA89" s="491"/>
      <c r="FB89" s="491"/>
      <c r="FC89" s="491"/>
      <c r="FD89" s="491"/>
      <c r="FE89" s="491"/>
      <c r="FF89" s="491"/>
      <c r="FG89" s="491"/>
      <c r="FH89" s="491"/>
      <c r="FI89" s="491"/>
      <c r="FJ89" s="491"/>
      <c r="FK89" s="491"/>
      <c r="FL89" s="491"/>
      <c r="FM89" s="491"/>
      <c r="FN89" s="491"/>
      <c r="FO89" s="491"/>
      <c r="FP89" s="491"/>
      <c r="FQ89" s="491"/>
      <c r="FR89" s="491"/>
      <c r="FS89" s="491"/>
      <c r="FT89" s="491"/>
      <c r="FU89" s="491"/>
      <c r="FV89" s="491"/>
      <c r="FW89" s="491"/>
      <c r="FX89" s="491"/>
      <c r="FY89" s="491"/>
      <c r="FZ89" s="491"/>
      <c r="GA89" s="491"/>
      <c r="GB89" s="491"/>
      <c r="GC89" s="491"/>
      <c r="GD89" s="491"/>
      <c r="GE89" s="491"/>
      <c r="GF89" s="491"/>
      <c r="GG89" s="491"/>
      <c r="GH89" s="491"/>
      <c r="GI89" s="491"/>
      <c r="GJ89" s="491"/>
      <c r="GK89" s="491"/>
      <c r="GL89" s="491"/>
      <c r="GM89" s="491"/>
      <c r="GN89" s="491"/>
      <c r="GO89" s="491"/>
      <c r="GP89" s="491"/>
      <c r="GQ89" s="491"/>
      <c r="GR89" s="491"/>
      <c r="GS89" s="491"/>
      <c r="GT89" s="491"/>
      <c r="GU89" s="491"/>
      <c r="GV89" s="491"/>
      <c r="GW89" s="491"/>
      <c r="GX89" s="491"/>
      <c r="GY89" s="491"/>
      <c r="GZ89" s="491"/>
      <c r="HA89" s="491"/>
      <c r="HB89" s="491"/>
      <c r="HC89" s="491"/>
      <c r="HD89" s="491"/>
      <c r="HE89" s="491"/>
      <c r="HF89" s="491"/>
      <c r="HG89" s="491"/>
      <c r="HH89" s="491"/>
      <c r="HI89" s="491"/>
      <c r="HJ89" s="491"/>
      <c r="HK89" s="491"/>
      <c r="HL89" s="491"/>
      <c r="HM89" s="491"/>
      <c r="HN89" s="491"/>
      <c r="HO89" s="491"/>
      <c r="HP89" s="491"/>
      <c r="HQ89" s="491"/>
      <c r="HR89" s="491"/>
      <c r="HS89" s="491"/>
      <c r="HT89" s="491"/>
      <c r="HU89" s="491"/>
      <c r="HV89" s="491"/>
      <c r="HW89" s="491"/>
      <c r="HX89" s="491"/>
      <c r="HY89" s="491"/>
      <c r="HZ89" s="491"/>
      <c r="IA89" s="491"/>
      <c r="IB89" s="491"/>
      <c r="IC89" s="491"/>
      <c r="ID89" s="491"/>
      <c r="IE89" s="491"/>
      <c r="IF89" s="491"/>
      <c r="IG89" s="491"/>
      <c r="IH89" s="491"/>
      <c r="II89" s="491"/>
      <c r="IJ89" s="491"/>
      <c r="IK89" s="491"/>
      <c r="IL89" s="491"/>
      <c r="IM89" s="491"/>
      <c r="IN89" s="491"/>
      <c r="IO89" s="491"/>
      <c r="IP89" s="491"/>
      <c r="IQ89" s="491"/>
    </row>
    <row r="90" spans="1:252" s="493" customFormat="1" ht="12" customHeight="1">
      <c r="A90" s="237" t="s">
        <v>112</v>
      </c>
      <c r="B90" s="494"/>
      <c r="C90" s="494"/>
      <c r="D90" s="495"/>
      <c r="E90" s="495"/>
      <c r="F90" s="495"/>
      <c r="G90" s="495"/>
      <c r="H90" s="495"/>
      <c r="I90" s="495"/>
      <c r="J90" s="495"/>
      <c r="K90" s="495"/>
      <c r="L90" s="495"/>
      <c r="M90" s="495"/>
      <c r="N90" s="495"/>
      <c r="O90" s="495"/>
      <c r="P90" s="495"/>
      <c r="Q90" s="495"/>
      <c r="R90" s="495"/>
      <c r="S90" s="495"/>
      <c r="T90" s="495"/>
      <c r="U90" s="495"/>
      <c r="V90" s="495"/>
      <c r="W90" s="495"/>
      <c r="X90" s="495"/>
      <c r="Y90" s="495"/>
      <c r="Z90" s="490"/>
      <c r="AA90" s="491"/>
      <c r="AB90" s="491"/>
      <c r="AC90" s="491"/>
      <c r="AD90" s="491"/>
      <c r="AE90" s="491"/>
      <c r="AF90" s="491"/>
      <c r="AG90" s="491"/>
      <c r="AH90" s="491"/>
      <c r="AI90" s="491"/>
      <c r="AJ90" s="491"/>
      <c r="AK90" s="491"/>
      <c r="AL90" s="491"/>
      <c r="AM90" s="491"/>
      <c r="AN90" s="491"/>
      <c r="AO90" s="491"/>
      <c r="AP90" s="491"/>
      <c r="AQ90" s="491"/>
      <c r="AR90" s="491"/>
      <c r="AS90" s="491"/>
      <c r="AT90" s="491"/>
      <c r="AU90" s="491"/>
      <c r="AV90" s="491"/>
      <c r="AW90" s="491"/>
      <c r="AX90" s="491"/>
      <c r="AY90" s="491"/>
      <c r="AZ90" s="491"/>
      <c r="BA90" s="491"/>
      <c r="BB90" s="491"/>
      <c r="BC90" s="491"/>
      <c r="BD90" s="491"/>
      <c r="BE90" s="491"/>
      <c r="BF90" s="491"/>
      <c r="BG90" s="491"/>
      <c r="BH90" s="491"/>
      <c r="BI90" s="491"/>
      <c r="BJ90" s="491"/>
      <c r="BK90" s="491"/>
      <c r="BL90" s="491"/>
      <c r="BM90" s="491"/>
      <c r="BN90" s="491"/>
      <c r="BO90" s="491"/>
      <c r="BP90" s="491"/>
      <c r="BQ90" s="491"/>
      <c r="BR90" s="491"/>
      <c r="BS90" s="491"/>
      <c r="BT90" s="491"/>
      <c r="BU90" s="491"/>
      <c r="BV90" s="491"/>
      <c r="BW90" s="491"/>
      <c r="BX90" s="491"/>
      <c r="BY90" s="491"/>
      <c r="BZ90" s="491"/>
      <c r="CA90" s="491"/>
      <c r="CB90" s="491"/>
      <c r="CC90" s="491"/>
      <c r="CD90" s="491"/>
      <c r="CE90" s="491"/>
      <c r="CF90" s="491"/>
      <c r="CG90" s="491"/>
      <c r="CH90" s="491"/>
      <c r="CI90" s="491"/>
      <c r="CJ90" s="491"/>
      <c r="CK90" s="491"/>
      <c r="CL90" s="491"/>
      <c r="CM90" s="491"/>
      <c r="CN90" s="491"/>
      <c r="CO90" s="491"/>
      <c r="CP90" s="491"/>
      <c r="CQ90" s="491"/>
      <c r="CR90" s="491"/>
      <c r="CS90" s="491"/>
      <c r="CT90" s="491"/>
      <c r="CU90" s="491"/>
      <c r="CV90" s="491"/>
      <c r="CW90" s="491"/>
      <c r="CX90" s="491"/>
      <c r="CY90" s="491"/>
      <c r="CZ90" s="491"/>
      <c r="DA90" s="491"/>
      <c r="DB90" s="491"/>
      <c r="DC90" s="491"/>
      <c r="DD90" s="491"/>
      <c r="DE90" s="491"/>
      <c r="DF90" s="491"/>
      <c r="DG90" s="491"/>
      <c r="DH90" s="491"/>
      <c r="DI90" s="491"/>
      <c r="DJ90" s="491"/>
      <c r="DK90" s="491"/>
      <c r="DL90" s="491"/>
      <c r="DM90" s="491"/>
      <c r="DN90" s="491"/>
      <c r="DO90" s="491"/>
      <c r="DP90" s="491"/>
      <c r="DQ90" s="491"/>
      <c r="DR90" s="491"/>
      <c r="DS90" s="491"/>
      <c r="DT90" s="491"/>
      <c r="DU90" s="491"/>
      <c r="DV90" s="491"/>
      <c r="DW90" s="491"/>
      <c r="DX90" s="491"/>
      <c r="DY90" s="491"/>
      <c r="DZ90" s="491"/>
      <c r="EA90" s="491"/>
      <c r="EB90" s="491"/>
      <c r="EC90" s="491"/>
      <c r="ED90" s="491"/>
      <c r="EE90" s="491"/>
      <c r="EF90" s="491"/>
      <c r="EG90" s="491"/>
      <c r="EH90" s="491"/>
      <c r="EI90" s="491"/>
      <c r="EJ90" s="491"/>
      <c r="EK90" s="491"/>
      <c r="EL90" s="491"/>
      <c r="EM90" s="491"/>
      <c r="EN90" s="491"/>
      <c r="EO90" s="491"/>
      <c r="EP90" s="491"/>
      <c r="EQ90" s="491"/>
      <c r="ER90" s="491"/>
      <c r="ES90" s="491"/>
      <c r="ET90" s="491"/>
      <c r="EU90" s="491"/>
      <c r="EV90" s="491"/>
      <c r="EW90" s="491"/>
      <c r="EX90" s="491"/>
      <c r="EY90" s="491"/>
      <c r="EZ90" s="491"/>
      <c r="FA90" s="491"/>
      <c r="FB90" s="491"/>
      <c r="FC90" s="491"/>
      <c r="FD90" s="491"/>
      <c r="FE90" s="491"/>
      <c r="FF90" s="491"/>
      <c r="FG90" s="491"/>
      <c r="FH90" s="491"/>
      <c r="FI90" s="491"/>
      <c r="FJ90" s="491"/>
      <c r="FK90" s="491"/>
      <c r="FL90" s="491"/>
      <c r="FM90" s="491"/>
      <c r="FN90" s="491"/>
      <c r="FO90" s="491"/>
      <c r="FP90" s="491"/>
      <c r="FQ90" s="491"/>
      <c r="FR90" s="491"/>
      <c r="FS90" s="491"/>
      <c r="FT90" s="491"/>
      <c r="FU90" s="491"/>
      <c r="FV90" s="491"/>
      <c r="FW90" s="491"/>
      <c r="FX90" s="491"/>
      <c r="FY90" s="491"/>
      <c r="FZ90" s="491"/>
      <c r="GA90" s="491"/>
      <c r="GB90" s="491"/>
      <c r="GC90" s="491"/>
      <c r="GD90" s="491"/>
      <c r="GE90" s="491"/>
      <c r="GF90" s="491"/>
      <c r="GG90" s="491"/>
      <c r="GH90" s="491"/>
      <c r="GI90" s="491"/>
      <c r="GJ90" s="491"/>
      <c r="GK90" s="491"/>
      <c r="GL90" s="491"/>
      <c r="GM90" s="491"/>
      <c r="GN90" s="491"/>
      <c r="GO90" s="491"/>
      <c r="GP90" s="491"/>
      <c r="GQ90" s="491"/>
      <c r="GR90" s="491"/>
      <c r="GS90" s="491"/>
      <c r="GT90" s="491"/>
      <c r="GU90" s="491"/>
      <c r="GV90" s="491"/>
      <c r="GW90" s="491"/>
      <c r="GX90" s="491"/>
      <c r="GY90" s="491"/>
      <c r="GZ90" s="491"/>
      <c r="HA90" s="491"/>
      <c r="HB90" s="491"/>
      <c r="HC90" s="491"/>
      <c r="HD90" s="491"/>
      <c r="HE90" s="491"/>
      <c r="HF90" s="491"/>
      <c r="HG90" s="491"/>
      <c r="HH90" s="491"/>
      <c r="HI90" s="491"/>
      <c r="HJ90" s="491"/>
      <c r="HK90" s="491"/>
      <c r="HL90" s="491"/>
      <c r="HM90" s="491"/>
      <c r="HN90" s="491"/>
      <c r="HO90" s="491"/>
      <c r="HP90" s="491"/>
      <c r="HQ90" s="491"/>
      <c r="HR90" s="491"/>
      <c r="HS90" s="491"/>
      <c r="HT90" s="491"/>
      <c r="HU90" s="491"/>
      <c r="HV90" s="491"/>
      <c r="HW90" s="491"/>
      <c r="HX90" s="491"/>
      <c r="HY90" s="491"/>
      <c r="HZ90" s="491"/>
      <c r="IA90" s="491"/>
      <c r="IB90" s="491"/>
      <c r="IC90" s="491"/>
      <c r="ID90" s="491"/>
      <c r="IE90" s="491"/>
      <c r="IF90" s="491"/>
      <c r="IG90" s="491"/>
      <c r="IH90" s="491"/>
      <c r="II90" s="491"/>
      <c r="IJ90" s="491"/>
      <c r="IK90" s="491"/>
      <c r="IL90" s="491"/>
      <c r="IM90" s="491"/>
      <c r="IN90" s="491"/>
      <c r="IO90" s="491"/>
      <c r="IP90" s="491"/>
      <c r="IQ90" s="491"/>
    </row>
    <row r="91" spans="1:252" s="493" customFormat="1" ht="12" customHeight="1">
      <c r="A91" s="237"/>
      <c r="B91" s="494"/>
      <c r="C91" s="494"/>
      <c r="D91" s="495"/>
      <c r="E91" s="495"/>
      <c r="F91" s="495"/>
      <c r="G91" s="495"/>
      <c r="H91" s="495"/>
      <c r="I91" s="495"/>
      <c r="J91" s="495"/>
      <c r="K91" s="495"/>
      <c r="L91" s="495"/>
      <c r="M91" s="495"/>
      <c r="N91" s="495"/>
      <c r="O91" s="495"/>
      <c r="P91" s="495"/>
      <c r="Q91" s="495"/>
      <c r="R91" s="495"/>
      <c r="S91" s="495"/>
      <c r="T91" s="495"/>
      <c r="U91" s="495"/>
      <c r="V91" s="495"/>
      <c r="W91" s="495"/>
      <c r="X91" s="495"/>
      <c r="Y91" s="495"/>
      <c r="Z91" s="490"/>
      <c r="AA91" s="491"/>
      <c r="AB91" s="491"/>
      <c r="AC91" s="491"/>
      <c r="AD91" s="491"/>
      <c r="AE91" s="491"/>
      <c r="AF91" s="491"/>
      <c r="AG91" s="491"/>
      <c r="AH91" s="491"/>
      <c r="AI91" s="491"/>
      <c r="AJ91" s="491"/>
      <c r="AK91" s="491"/>
      <c r="AL91" s="491"/>
      <c r="AM91" s="491"/>
      <c r="AN91" s="491"/>
      <c r="AO91" s="491"/>
      <c r="AP91" s="491"/>
      <c r="AQ91" s="491"/>
      <c r="AR91" s="491"/>
      <c r="AS91" s="491"/>
      <c r="AT91" s="491"/>
      <c r="AU91" s="491"/>
      <c r="AV91" s="491"/>
      <c r="AW91" s="491"/>
      <c r="AX91" s="491"/>
      <c r="AY91" s="491"/>
      <c r="AZ91" s="491"/>
      <c r="BA91" s="491"/>
      <c r="BB91" s="491"/>
      <c r="BC91" s="491"/>
      <c r="BD91" s="491"/>
      <c r="BE91" s="491"/>
      <c r="BF91" s="491"/>
      <c r="BG91" s="491"/>
      <c r="BH91" s="491"/>
      <c r="BI91" s="491"/>
      <c r="BJ91" s="491"/>
      <c r="BK91" s="491"/>
      <c r="BL91" s="491"/>
      <c r="BM91" s="491"/>
      <c r="BN91" s="491"/>
      <c r="BO91" s="491"/>
      <c r="BP91" s="491"/>
      <c r="BQ91" s="491"/>
      <c r="BR91" s="491"/>
      <c r="BS91" s="491"/>
      <c r="BT91" s="491"/>
      <c r="BU91" s="491"/>
      <c r="BV91" s="491"/>
      <c r="BW91" s="491"/>
      <c r="BX91" s="491"/>
      <c r="BY91" s="491"/>
      <c r="BZ91" s="491"/>
      <c r="CA91" s="491"/>
      <c r="CB91" s="491"/>
      <c r="CC91" s="491"/>
      <c r="CD91" s="491"/>
      <c r="CE91" s="491"/>
      <c r="CF91" s="491"/>
      <c r="CG91" s="491"/>
      <c r="CH91" s="491"/>
      <c r="CI91" s="491"/>
      <c r="CJ91" s="491"/>
      <c r="CK91" s="491"/>
      <c r="CL91" s="491"/>
      <c r="CM91" s="491"/>
      <c r="CN91" s="491"/>
      <c r="CO91" s="491"/>
      <c r="CP91" s="491"/>
      <c r="CQ91" s="491"/>
      <c r="CR91" s="491"/>
      <c r="CS91" s="491"/>
      <c r="CT91" s="491"/>
      <c r="CU91" s="491"/>
      <c r="CV91" s="491"/>
      <c r="CW91" s="491"/>
      <c r="CX91" s="491"/>
      <c r="CY91" s="491"/>
      <c r="CZ91" s="491"/>
      <c r="DA91" s="491"/>
      <c r="DB91" s="491"/>
      <c r="DC91" s="491"/>
      <c r="DD91" s="491"/>
      <c r="DE91" s="491"/>
      <c r="DF91" s="491"/>
      <c r="DG91" s="491"/>
      <c r="DH91" s="491"/>
      <c r="DI91" s="491"/>
      <c r="DJ91" s="491"/>
      <c r="DK91" s="491"/>
      <c r="DL91" s="491"/>
      <c r="DM91" s="491"/>
      <c r="DN91" s="491"/>
      <c r="DO91" s="491"/>
      <c r="DP91" s="491"/>
      <c r="DQ91" s="491"/>
      <c r="DR91" s="491"/>
      <c r="DS91" s="491"/>
      <c r="DT91" s="491"/>
      <c r="DU91" s="491"/>
      <c r="DV91" s="491"/>
      <c r="DW91" s="491"/>
      <c r="DX91" s="491"/>
      <c r="DY91" s="491"/>
      <c r="DZ91" s="491"/>
      <c r="EA91" s="491"/>
      <c r="EB91" s="491"/>
      <c r="EC91" s="491"/>
      <c r="ED91" s="491"/>
      <c r="EE91" s="491"/>
      <c r="EF91" s="491"/>
      <c r="EG91" s="491"/>
      <c r="EH91" s="491"/>
      <c r="EI91" s="491"/>
      <c r="EJ91" s="491"/>
      <c r="EK91" s="491"/>
      <c r="EL91" s="491"/>
      <c r="EM91" s="491"/>
      <c r="EN91" s="491"/>
      <c r="EO91" s="491"/>
      <c r="EP91" s="491"/>
      <c r="EQ91" s="491"/>
      <c r="ER91" s="491"/>
      <c r="ES91" s="491"/>
      <c r="ET91" s="491"/>
      <c r="EU91" s="491"/>
      <c r="EV91" s="491"/>
      <c r="EW91" s="491"/>
      <c r="EX91" s="491"/>
      <c r="EY91" s="491"/>
      <c r="EZ91" s="491"/>
      <c r="FA91" s="491"/>
      <c r="FB91" s="491"/>
      <c r="FC91" s="491"/>
      <c r="FD91" s="491"/>
      <c r="FE91" s="491"/>
      <c r="FF91" s="491"/>
      <c r="FG91" s="491"/>
      <c r="FH91" s="491"/>
      <c r="FI91" s="491"/>
      <c r="FJ91" s="491"/>
      <c r="FK91" s="491"/>
      <c r="FL91" s="491"/>
      <c r="FM91" s="491"/>
      <c r="FN91" s="491"/>
      <c r="FO91" s="491"/>
      <c r="FP91" s="491"/>
      <c r="FQ91" s="491"/>
      <c r="FR91" s="491"/>
      <c r="FS91" s="491"/>
      <c r="FT91" s="491"/>
      <c r="FU91" s="491"/>
      <c r="FV91" s="491"/>
      <c r="FW91" s="491"/>
      <c r="FX91" s="491"/>
      <c r="FY91" s="491"/>
      <c r="FZ91" s="491"/>
      <c r="GA91" s="491"/>
      <c r="GB91" s="491"/>
      <c r="GC91" s="491"/>
      <c r="GD91" s="491"/>
      <c r="GE91" s="491"/>
      <c r="GF91" s="491"/>
      <c r="GG91" s="491"/>
      <c r="GH91" s="491"/>
      <c r="GI91" s="491"/>
      <c r="GJ91" s="491"/>
      <c r="GK91" s="491"/>
      <c r="GL91" s="491"/>
      <c r="GM91" s="491"/>
      <c r="GN91" s="491"/>
      <c r="GO91" s="491"/>
      <c r="GP91" s="491"/>
      <c r="GQ91" s="491"/>
      <c r="GR91" s="491"/>
      <c r="GS91" s="491"/>
      <c r="GT91" s="491"/>
      <c r="GU91" s="491"/>
      <c r="GV91" s="491"/>
      <c r="GW91" s="491"/>
      <c r="GX91" s="491"/>
      <c r="GY91" s="491"/>
      <c r="GZ91" s="491"/>
      <c r="HA91" s="491"/>
      <c r="HB91" s="491"/>
      <c r="HC91" s="491"/>
      <c r="HD91" s="491"/>
      <c r="HE91" s="491"/>
      <c r="HF91" s="491"/>
      <c r="HG91" s="491"/>
      <c r="HH91" s="491"/>
      <c r="HI91" s="491"/>
      <c r="HJ91" s="491"/>
      <c r="HK91" s="491"/>
      <c r="HL91" s="491"/>
      <c r="HM91" s="491"/>
      <c r="HN91" s="491"/>
      <c r="HO91" s="491"/>
      <c r="HP91" s="491"/>
      <c r="HQ91" s="491"/>
      <c r="HR91" s="491"/>
      <c r="HS91" s="491"/>
      <c r="HT91" s="491"/>
      <c r="HU91" s="491"/>
      <c r="HV91" s="491"/>
      <c r="HW91" s="491"/>
      <c r="HX91" s="491"/>
      <c r="HY91" s="491"/>
      <c r="HZ91" s="491"/>
      <c r="IA91" s="491"/>
      <c r="IB91" s="491"/>
      <c r="IC91" s="491"/>
      <c r="ID91" s="491"/>
      <c r="IE91" s="491"/>
      <c r="IF91" s="491"/>
      <c r="IG91" s="491"/>
      <c r="IH91" s="491"/>
      <c r="II91" s="491"/>
      <c r="IJ91" s="491"/>
      <c r="IK91" s="491"/>
      <c r="IL91" s="491"/>
      <c r="IM91" s="491"/>
      <c r="IN91" s="491"/>
      <c r="IO91" s="491"/>
      <c r="IP91" s="491"/>
      <c r="IQ91" s="491"/>
    </row>
    <row r="92" spans="1:252" outlineLevel="1">
      <c r="A92" s="23" t="s">
        <v>182</v>
      </c>
      <c r="B92" s="22">
        <f>B44</f>
        <v>2761.160038359938</v>
      </c>
      <c r="C92" s="22">
        <f t="shared" ref="C92:U92" si="21">C44</f>
        <v>3230.4556632469594</v>
      </c>
      <c r="D92" s="22">
        <f t="shared" si="21"/>
        <v>3700.8338371803256</v>
      </c>
      <c r="E92" s="22">
        <f t="shared" si="21"/>
        <v>18979.30959930786</v>
      </c>
      <c r="F92" s="22">
        <f t="shared" si="21"/>
        <v>21134.348473344478</v>
      </c>
      <c r="G92" s="22">
        <f t="shared" si="21"/>
        <v>22189.506002336995</v>
      </c>
      <c r="H92" s="22">
        <f t="shared" si="21"/>
        <v>23310.93841360919</v>
      </c>
      <c r="I92" s="22">
        <f t="shared" si="21"/>
        <v>24457.951779292147</v>
      </c>
      <c r="J92" s="22">
        <f t="shared" si="21"/>
        <v>25733.909989647742</v>
      </c>
      <c r="K92" s="22">
        <f t="shared" si="21"/>
        <v>27046.648567678851</v>
      </c>
      <c r="L92" s="22">
        <f t="shared" si="21"/>
        <v>28435.453239910719</v>
      </c>
      <c r="M92" s="22">
        <f t="shared" si="21"/>
        <v>29902.128559741665</v>
      </c>
      <c r="N92" s="22">
        <f t="shared" si="21"/>
        <v>31527.433974405358</v>
      </c>
      <c r="O92" s="22">
        <f t="shared" si="21"/>
        <v>33234.726360551649</v>
      </c>
      <c r="P92" s="22">
        <f t="shared" si="21"/>
        <v>35062.546817241746</v>
      </c>
      <c r="Q92" s="22">
        <f t="shared" si="21"/>
        <v>36796.773167476</v>
      </c>
      <c r="R92" s="22">
        <f t="shared" si="21"/>
        <v>38697.627467294915</v>
      </c>
      <c r="S92" s="22">
        <f t="shared" si="21"/>
        <v>40715.648657693862</v>
      </c>
      <c r="T92" s="22">
        <f t="shared" si="21"/>
        <v>42885.55553826251</v>
      </c>
      <c r="U92" s="22">
        <f t="shared" si="21"/>
        <v>45220.478543394718</v>
      </c>
      <c r="W92" s="483">
        <f>SUM(B92:U92)</f>
        <v>535023.43468997767</v>
      </c>
    </row>
    <row r="93" spans="1:252" outlineLevel="1">
      <c r="A93" s="23" t="s">
        <v>183</v>
      </c>
      <c r="B93" s="22">
        <f>B38</f>
        <v>9210.7904065802322</v>
      </c>
      <c r="C93" s="22">
        <f t="shared" ref="C93:U93" si="22">C38</f>
        <v>9210.7904065802322</v>
      </c>
      <c r="D93" s="22">
        <f t="shared" si="22"/>
        <v>9210.7904065802322</v>
      </c>
      <c r="E93" s="22">
        <f t="shared" si="22"/>
        <v>9210.7904065802322</v>
      </c>
      <c r="F93" s="22">
        <f t="shared" si="22"/>
        <v>9210.7904065802322</v>
      </c>
      <c r="G93" s="22">
        <f t="shared" si="22"/>
        <v>9210.7904065802322</v>
      </c>
      <c r="H93" s="22">
        <f t="shared" si="22"/>
        <v>9210.7904065802322</v>
      </c>
      <c r="I93" s="22">
        <f t="shared" si="22"/>
        <v>9210.7904065802322</v>
      </c>
      <c r="J93" s="22">
        <f t="shared" si="22"/>
        <v>9210.7904065802322</v>
      </c>
      <c r="K93" s="22">
        <f t="shared" si="22"/>
        <v>9210.7904065802322</v>
      </c>
      <c r="L93" s="22">
        <f t="shared" si="22"/>
        <v>9210.7904065802322</v>
      </c>
      <c r="M93" s="22">
        <f t="shared" si="22"/>
        <v>9210.7904065802322</v>
      </c>
      <c r="N93" s="22">
        <f t="shared" si="22"/>
        <v>9210.7904065802322</v>
      </c>
      <c r="O93" s="22">
        <f t="shared" si="22"/>
        <v>9210.7904065802322</v>
      </c>
      <c r="P93" s="22">
        <f t="shared" si="22"/>
        <v>9210.7904065802322</v>
      </c>
      <c r="Q93" s="22">
        <f t="shared" si="22"/>
        <v>9210.7904065802322</v>
      </c>
      <c r="R93" s="22">
        <f t="shared" si="22"/>
        <v>9210.7904065802322</v>
      </c>
      <c r="S93" s="22">
        <f t="shared" si="22"/>
        <v>9210.7904065802322</v>
      </c>
      <c r="T93" s="22">
        <f t="shared" si="22"/>
        <v>9210.7904065802322</v>
      </c>
      <c r="U93" s="22">
        <f t="shared" si="22"/>
        <v>9210.7904065802322</v>
      </c>
      <c r="W93" s="483">
        <f>SUM(B93:U93)</f>
        <v>184215.8081316046</v>
      </c>
    </row>
    <row r="94" spans="1:252" ht="15" outlineLevel="1">
      <c r="A94" s="23" t="s">
        <v>308</v>
      </c>
      <c r="B94" s="240">
        <f>-Depreciation!C99-Depreciation!C112*Allocation!$F$14</f>
        <v>-15351.317344300385</v>
      </c>
      <c r="C94" s="240">
        <f>-Depreciation!D99-Depreciation!D112*Allocation!$F$14</f>
        <v>-29167.50295417073</v>
      </c>
      <c r="D94" s="240">
        <f>-Depreciation!E99-Depreciation!E112*Allocation!$F$14</f>
        <v>-26250.752658753659</v>
      </c>
      <c r="E94" s="240">
        <f>-Depreciation!F99-Depreciation!F112*Allocation!$F$14</f>
        <v>-23641.028710222592</v>
      </c>
      <c r="F94" s="240">
        <f>-Depreciation!G99-Depreciation!G112*Allocation!$F$14</f>
        <v>-21276.925839200332</v>
      </c>
      <c r="G94" s="240">
        <f>-Depreciation!H99-Depreciation!H112*Allocation!$F$14</f>
        <v>-19127.741410998278</v>
      </c>
      <c r="H94" s="240">
        <f>-Depreciation!I99-Depreciation!I112*Allocation!$F$14</f>
        <v>-18114.554466274454</v>
      </c>
      <c r="I94" s="240">
        <f>-Depreciation!J99-Depreciation!J112*Allocation!$F$14</f>
        <v>-18145.257100963056</v>
      </c>
      <c r="J94" s="240">
        <f>-Depreciation!K99-Depreciation!K112*Allocation!$F$14</f>
        <v>-18114.554466274454</v>
      </c>
      <c r="K94" s="240">
        <f>-Depreciation!L99-Depreciation!L112*Allocation!$F$14</f>
        <v>-18145.257100963056</v>
      </c>
      <c r="L94" s="240">
        <f>-Depreciation!M99-Depreciation!M112*Allocation!$F$14</f>
        <v>-18114.554466274454</v>
      </c>
      <c r="M94" s="240">
        <f>-Depreciation!N99-Depreciation!N112*Allocation!$F$14</f>
        <v>-18145.257100963056</v>
      </c>
      <c r="N94" s="240">
        <f>-Depreciation!O99-Depreciation!O112*Allocation!$F$14</f>
        <v>-18114.554466274454</v>
      </c>
      <c r="O94" s="240">
        <f>-Depreciation!P99-Depreciation!P112*Allocation!$F$14</f>
        <v>-18145.257100963056</v>
      </c>
      <c r="P94" s="240">
        <f>-Depreciation!Q99-Depreciation!Q112*Allocation!$F$14</f>
        <v>-18114.554466274454</v>
      </c>
      <c r="Q94" s="240">
        <f>-Depreciation!R99-Depreciation!R112*Allocation!$F$14</f>
        <v>-9057.2772331372271</v>
      </c>
      <c r="R94" s="240">
        <f>-Depreciation!S99-Depreciation!S112*Allocation!$F$14</f>
        <v>0</v>
      </c>
      <c r="S94" s="240">
        <f>-Depreciation!T99-Depreciation!T112*Allocation!$F$14</f>
        <v>0</v>
      </c>
      <c r="T94" s="240">
        <f>-Depreciation!U99-Depreciation!U112*Allocation!$F$14</f>
        <v>0</v>
      </c>
      <c r="U94" s="240">
        <f>-Depreciation!V99-Depreciation!V112*Allocation!$F$14</f>
        <v>0</v>
      </c>
      <c r="W94" s="484">
        <f>SUM(B94:U94)</f>
        <v>-307026.3468860077</v>
      </c>
    </row>
    <row r="95" spans="1:252" outlineLevel="1">
      <c r="A95" s="239" t="s">
        <v>181</v>
      </c>
      <c r="B95" s="24">
        <f t="shared" ref="B95:U95" si="23">SUM(B92:B94)</f>
        <v>-3379.366899360215</v>
      </c>
      <c r="C95" s="24">
        <f t="shared" si="23"/>
        <v>-16726.256884343537</v>
      </c>
      <c r="D95" s="24">
        <f t="shared" si="23"/>
        <v>-13339.128414993102</v>
      </c>
      <c r="E95" s="24">
        <f t="shared" si="23"/>
        <v>4549.0712956655007</v>
      </c>
      <c r="F95" s="24">
        <f t="shared" si="23"/>
        <v>9068.2130407243785</v>
      </c>
      <c r="G95" s="24">
        <f t="shared" si="23"/>
        <v>12272.554997918949</v>
      </c>
      <c r="H95" s="24">
        <f t="shared" si="23"/>
        <v>14407.174353914968</v>
      </c>
      <c r="I95" s="24">
        <f t="shared" si="23"/>
        <v>15523.485084909327</v>
      </c>
      <c r="J95" s="24">
        <f t="shared" si="23"/>
        <v>16830.145929953516</v>
      </c>
      <c r="K95" s="24">
        <f t="shared" si="23"/>
        <v>18112.181873296031</v>
      </c>
      <c r="L95" s="24">
        <f t="shared" si="23"/>
        <v>19531.689180216501</v>
      </c>
      <c r="M95" s="24">
        <f t="shared" si="23"/>
        <v>20967.661865358845</v>
      </c>
      <c r="N95" s="24">
        <f t="shared" si="23"/>
        <v>22623.669914711132</v>
      </c>
      <c r="O95" s="24">
        <f t="shared" si="23"/>
        <v>24300.259666168822</v>
      </c>
      <c r="P95" s="24">
        <f t="shared" si="23"/>
        <v>26158.78275754752</v>
      </c>
      <c r="Q95" s="24">
        <f t="shared" si="23"/>
        <v>36950.286340919003</v>
      </c>
      <c r="R95" s="24">
        <f t="shared" si="23"/>
        <v>47908.417873875151</v>
      </c>
      <c r="S95" s="24">
        <f t="shared" si="23"/>
        <v>49926.439064274091</v>
      </c>
      <c r="T95" s="24">
        <f t="shared" si="23"/>
        <v>52096.345944842746</v>
      </c>
      <c r="U95" s="24">
        <f t="shared" si="23"/>
        <v>54431.268949974954</v>
      </c>
      <c r="W95" s="483">
        <f>SUM(B95:U95)</f>
        <v>412212.89593557455</v>
      </c>
    </row>
    <row r="96" spans="1:252" outlineLevel="1">
      <c r="A96" s="23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</row>
    <row r="97" spans="1:23" outlineLevel="1">
      <c r="A97" s="23" t="s">
        <v>53</v>
      </c>
      <c r="B97" s="481">
        <f>Summary!$I$37</f>
        <v>7.1800000000000003E-2</v>
      </c>
      <c r="C97" s="481">
        <f>Summary!$I$37</f>
        <v>7.1800000000000003E-2</v>
      </c>
      <c r="D97" s="481">
        <f>Summary!$I$37</f>
        <v>7.1800000000000003E-2</v>
      </c>
      <c r="E97" s="481">
        <f>Summary!$I$37</f>
        <v>7.1800000000000003E-2</v>
      </c>
      <c r="F97" s="481">
        <f>Summary!$I$37</f>
        <v>7.1800000000000003E-2</v>
      </c>
      <c r="G97" s="481">
        <f>Summary!$I$37</f>
        <v>7.1800000000000003E-2</v>
      </c>
      <c r="H97" s="481">
        <f>Summary!$I$37</f>
        <v>7.1800000000000003E-2</v>
      </c>
      <c r="I97" s="481">
        <f>Summary!$I$37</f>
        <v>7.1800000000000003E-2</v>
      </c>
      <c r="J97" s="481">
        <f>Summary!$I$37</f>
        <v>7.1800000000000003E-2</v>
      </c>
      <c r="K97" s="481">
        <f>Summary!$I$37</f>
        <v>7.1800000000000003E-2</v>
      </c>
      <c r="L97" s="481">
        <f>Summary!$I$37</f>
        <v>7.1800000000000003E-2</v>
      </c>
      <c r="M97" s="481">
        <f>Summary!$I$37</f>
        <v>7.1800000000000003E-2</v>
      </c>
      <c r="N97" s="481">
        <f>Summary!$I$37</f>
        <v>7.1800000000000003E-2</v>
      </c>
      <c r="O97" s="481">
        <f>Summary!$I$37</f>
        <v>7.1800000000000003E-2</v>
      </c>
      <c r="P97" s="481">
        <f>Summary!$I$37</f>
        <v>7.1800000000000003E-2</v>
      </c>
      <c r="Q97" s="481">
        <f>Summary!$I$37</f>
        <v>7.1800000000000003E-2</v>
      </c>
      <c r="R97" s="481">
        <f>Summary!$I$37</f>
        <v>7.1800000000000003E-2</v>
      </c>
      <c r="S97" s="481">
        <f>Summary!$I$37</f>
        <v>7.1800000000000003E-2</v>
      </c>
      <c r="T97" s="481">
        <f>Summary!$I$37</f>
        <v>7.1800000000000003E-2</v>
      </c>
      <c r="U97" s="481">
        <f>Summary!$I$37</f>
        <v>7.1800000000000003E-2</v>
      </c>
    </row>
    <row r="98" spans="1:23" outlineLevel="1">
      <c r="A98" s="23" t="s">
        <v>184</v>
      </c>
      <c r="B98" s="22">
        <f>B95*B97</f>
        <v>-242.63854337406346</v>
      </c>
      <c r="C98" s="22">
        <f t="shared" ref="C98:U98" si="24">C95*C97</f>
        <v>-1200.9452442958659</v>
      </c>
      <c r="D98" s="22">
        <f t="shared" si="24"/>
        <v>-957.74942019650473</v>
      </c>
      <c r="E98" s="22">
        <f t="shared" si="24"/>
        <v>326.62331902878299</v>
      </c>
      <c r="F98" s="22">
        <f t="shared" si="24"/>
        <v>651.09769632401037</v>
      </c>
      <c r="G98" s="22">
        <f t="shared" si="24"/>
        <v>881.16944885058058</v>
      </c>
      <c r="H98" s="22">
        <f t="shared" si="24"/>
        <v>1034.4351186110948</v>
      </c>
      <c r="I98" s="22">
        <f t="shared" si="24"/>
        <v>1114.5862290964897</v>
      </c>
      <c r="J98" s="22">
        <f t="shared" si="24"/>
        <v>1208.4044777706624</v>
      </c>
      <c r="K98" s="22">
        <f t="shared" si="24"/>
        <v>1300.4546585026551</v>
      </c>
      <c r="L98" s="22">
        <f t="shared" si="24"/>
        <v>1402.3752831395448</v>
      </c>
      <c r="M98" s="22">
        <f t="shared" si="24"/>
        <v>1505.4781219327651</v>
      </c>
      <c r="N98" s="22">
        <f t="shared" si="24"/>
        <v>1624.3794998762594</v>
      </c>
      <c r="O98" s="22">
        <f t="shared" si="24"/>
        <v>1744.7586440309215</v>
      </c>
      <c r="P98" s="22">
        <f t="shared" si="24"/>
        <v>1878.200601991912</v>
      </c>
      <c r="Q98" s="22">
        <f t="shared" si="24"/>
        <v>2653.0305592779846</v>
      </c>
      <c r="R98" s="22">
        <f t="shared" si="24"/>
        <v>3439.8244033442361</v>
      </c>
      <c r="S98" s="22">
        <f t="shared" si="24"/>
        <v>3584.7183248148799</v>
      </c>
      <c r="T98" s="22">
        <f t="shared" si="24"/>
        <v>3740.5176388397094</v>
      </c>
      <c r="U98" s="22">
        <f t="shared" si="24"/>
        <v>3908.1651106082018</v>
      </c>
    </row>
    <row r="99" spans="1:23" outlineLevel="1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</row>
    <row r="100" spans="1:23" outlineLevel="1">
      <c r="A100" s="23" t="s">
        <v>185</v>
      </c>
      <c r="B100" s="22">
        <v>0</v>
      </c>
      <c r="C100" s="22">
        <f t="shared" ref="C100:U100" si="25">B104</f>
        <v>242.63854337406346</v>
      </c>
      <c r="D100" s="22">
        <f t="shared" si="25"/>
        <v>1443.5837876699293</v>
      </c>
      <c r="E100" s="22">
        <f t="shared" si="25"/>
        <v>2401.3332078664339</v>
      </c>
      <c r="F100" s="22">
        <f t="shared" si="25"/>
        <v>2074.7098888376509</v>
      </c>
      <c r="G100" s="22">
        <f t="shared" si="25"/>
        <v>1423.6121925136404</v>
      </c>
      <c r="H100" s="22">
        <f t="shared" si="25"/>
        <v>542.44274366305979</v>
      </c>
      <c r="I100" s="22">
        <f t="shared" si="25"/>
        <v>0</v>
      </c>
      <c r="J100" s="22">
        <f t="shared" si="25"/>
        <v>0</v>
      </c>
      <c r="K100" s="22">
        <f t="shared" si="25"/>
        <v>0</v>
      </c>
      <c r="L100" s="22">
        <f t="shared" si="25"/>
        <v>0</v>
      </c>
      <c r="M100" s="22">
        <f t="shared" si="25"/>
        <v>0</v>
      </c>
      <c r="N100" s="22">
        <f>M104</f>
        <v>0</v>
      </c>
      <c r="O100" s="22">
        <f t="shared" si="25"/>
        <v>0</v>
      </c>
      <c r="P100" s="22">
        <f t="shared" si="25"/>
        <v>0</v>
      </c>
      <c r="Q100" s="22">
        <f t="shared" si="25"/>
        <v>0</v>
      </c>
      <c r="R100" s="22">
        <v>0</v>
      </c>
      <c r="S100" s="22">
        <f t="shared" si="25"/>
        <v>0</v>
      </c>
      <c r="T100" s="22">
        <f t="shared" si="25"/>
        <v>0</v>
      </c>
      <c r="U100" s="22">
        <f t="shared" si="25"/>
        <v>0</v>
      </c>
    </row>
    <row r="101" spans="1:23" outlineLevel="1">
      <c r="A101" s="23" t="s">
        <v>186</v>
      </c>
      <c r="B101" s="255">
        <f t="shared" ref="B101:U101" si="26">IF(B77&gt;2020,0,IF(B98&lt;0,-B98,0))</f>
        <v>242.63854337406346</v>
      </c>
      <c r="C101" s="255">
        <f t="shared" si="26"/>
        <v>1200.9452442958659</v>
      </c>
      <c r="D101" s="255">
        <f t="shared" si="26"/>
        <v>957.74942019650473</v>
      </c>
      <c r="E101" s="255">
        <f t="shared" si="26"/>
        <v>0</v>
      </c>
      <c r="F101" s="255">
        <f t="shared" si="26"/>
        <v>0</v>
      </c>
      <c r="G101" s="255">
        <f t="shared" si="26"/>
        <v>0</v>
      </c>
      <c r="H101" s="255">
        <f t="shared" si="26"/>
        <v>0</v>
      </c>
      <c r="I101" s="255">
        <f t="shared" si="26"/>
        <v>0</v>
      </c>
      <c r="J101" s="255">
        <f t="shared" si="26"/>
        <v>0</v>
      </c>
      <c r="K101" s="255">
        <f t="shared" si="26"/>
        <v>0</v>
      </c>
      <c r="L101" s="255">
        <f t="shared" si="26"/>
        <v>0</v>
      </c>
      <c r="M101" s="255">
        <f t="shared" si="26"/>
        <v>0</v>
      </c>
      <c r="N101" s="255">
        <f t="shared" si="26"/>
        <v>0</v>
      </c>
      <c r="O101" s="255">
        <f t="shared" si="26"/>
        <v>0</v>
      </c>
      <c r="P101" s="255">
        <f t="shared" si="26"/>
        <v>0</v>
      </c>
      <c r="Q101" s="255">
        <f t="shared" si="26"/>
        <v>0</v>
      </c>
      <c r="R101" s="255">
        <f t="shared" si="26"/>
        <v>0</v>
      </c>
      <c r="S101" s="255">
        <f t="shared" si="26"/>
        <v>0</v>
      </c>
      <c r="T101" s="255">
        <f t="shared" si="26"/>
        <v>0</v>
      </c>
      <c r="U101" s="255">
        <f t="shared" si="26"/>
        <v>0</v>
      </c>
    </row>
    <row r="102" spans="1:23" outlineLevel="1">
      <c r="A102" s="23" t="s">
        <v>187</v>
      </c>
      <c r="B102" s="241">
        <v>0</v>
      </c>
      <c r="C102" s="241">
        <v>0</v>
      </c>
      <c r="D102" s="241">
        <v>0</v>
      </c>
      <c r="E102" s="241">
        <v>0</v>
      </c>
      <c r="F102" s="241">
        <v>0</v>
      </c>
      <c r="G102" s="241">
        <v>0</v>
      </c>
      <c r="H102" s="241">
        <v>0</v>
      </c>
      <c r="I102" s="241">
        <v>0</v>
      </c>
      <c r="J102" s="241">
        <v>0</v>
      </c>
      <c r="K102" s="241">
        <v>0</v>
      </c>
      <c r="L102" s="241">
        <v>0</v>
      </c>
      <c r="M102" s="241">
        <v>0</v>
      </c>
      <c r="N102" s="241">
        <v>0</v>
      </c>
      <c r="O102" s="241">
        <v>0</v>
      </c>
      <c r="P102" s="241">
        <v>0</v>
      </c>
      <c r="Q102" s="241">
        <v>0</v>
      </c>
      <c r="R102" s="241">
        <v>0</v>
      </c>
      <c r="S102" s="241">
        <v>0</v>
      </c>
      <c r="T102" s="22">
        <f>IF(L101&gt;(SUM(M103:S103)+SUM(L102:S102))*-1,L101-(SUM(L103:S103)+SUM(L102:S102))*-1,0)</f>
        <v>0</v>
      </c>
      <c r="U102" s="22">
        <f>IF(M101&gt;(SUM(N103:T103)+SUM(M102:T102))*-1,M101-(SUM(M103:T103)+SUM(M102:T102))*-1,0)</f>
        <v>0</v>
      </c>
    </row>
    <row r="103" spans="1:23" outlineLevel="1">
      <c r="A103" s="19" t="s">
        <v>188</v>
      </c>
      <c r="B103" s="242">
        <f t="shared" ref="B103:T103" si="27">IF(B98&lt;0,0,IF(B100&gt;B98,-B98,-B100))</f>
        <v>0</v>
      </c>
      <c r="C103" s="242">
        <f t="shared" si="27"/>
        <v>0</v>
      </c>
      <c r="D103" s="242">
        <f t="shared" si="27"/>
        <v>0</v>
      </c>
      <c r="E103" s="242">
        <f t="shared" si="27"/>
        <v>-326.62331902878299</v>
      </c>
      <c r="F103" s="242">
        <f t="shared" si="27"/>
        <v>-651.09769632401037</v>
      </c>
      <c r="G103" s="242">
        <f t="shared" si="27"/>
        <v>-881.16944885058058</v>
      </c>
      <c r="H103" s="242">
        <f t="shared" si="27"/>
        <v>-542.44274366305979</v>
      </c>
      <c r="I103" s="242">
        <f t="shared" si="27"/>
        <v>0</v>
      </c>
      <c r="J103" s="242">
        <f t="shared" si="27"/>
        <v>0</v>
      </c>
      <c r="K103" s="242">
        <f t="shared" si="27"/>
        <v>0</v>
      </c>
      <c r="L103" s="242">
        <f t="shared" si="27"/>
        <v>0</v>
      </c>
      <c r="M103" s="242">
        <f t="shared" si="27"/>
        <v>0</v>
      </c>
      <c r="N103" s="242">
        <f t="shared" si="27"/>
        <v>0</v>
      </c>
      <c r="O103" s="242">
        <f t="shared" si="27"/>
        <v>0</v>
      </c>
      <c r="P103" s="242">
        <f t="shared" si="27"/>
        <v>0</v>
      </c>
      <c r="Q103" s="242">
        <f t="shared" si="27"/>
        <v>0</v>
      </c>
      <c r="R103" s="242">
        <f t="shared" si="27"/>
        <v>0</v>
      </c>
      <c r="S103" s="242">
        <f t="shared" si="27"/>
        <v>0</v>
      </c>
      <c r="T103" s="242">
        <f t="shared" si="27"/>
        <v>0</v>
      </c>
      <c r="U103" s="242">
        <f>IF(U98&lt;0,0,IF(U100&gt;U98,-U98,-U100))</f>
        <v>0</v>
      </c>
    </row>
    <row r="104" spans="1:23" outlineLevel="1">
      <c r="A104" s="19" t="s">
        <v>189</v>
      </c>
      <c r="B104" s="242">
        <f t="shared" ref="B104:U104" si="28">SUM(B100:B103)</f>
        <v>242.63854337406346</v>
      </c>
      <c r="C104" s="242">
        <f t="shared" si="28"/>
        <v>1443.5837876699293</v>
      </c>
      <c r="D104" s="242">
        <f t="shared" si="28"/>
        <v>2401.3332078664339</v>
      </c>
      <c r="E104" s="242">
        <f t="shared" si="28"/>
        <v>2074.7098888376509</v>
      </c>
      <c r="F104" s="242">
        <f t="shared" si="28"/>
        <v>1423.6121925136404</v>
      </c>
      <c r="G104" s="242">
        <f t="shared" si="28"/>
        <v>542.44274366305979</v>
      </c>
      <c r="H104" s="242">
        <f t="shared" si="28"/>
        <v>0</v>
      </c>
      <c r="I104" s="242">
        <f t="shared" si="28"/>
        <v>0</v>
      </c>
      <c r="J104" s="242">
        <f t="shared" si="28"/>
        <v>0</v>
      </c>
      <c r="K104" s="242">
        <f t="shared" si="28"/>
        <v>0</v>
      </c>
      <c r="L104" s="242">
        <f t="shared" si="28"/>
        <v>0</v>
      </c>
      <c r="M104" s="242">
        <f t="shared" si="28"/>
        <v>0</v>
      </c>
      <c r="N104" s="242">
        <f t="shared" si="28"/>
        <v>0</v>
      </c>
      <c r="O104" s="242">
        <f t="shared" si="28"/>
        <v>0</v>
      </c>
      <c r="P104" s="242">
        <f t="shared" si="28"/>
        <v>0</v>
      </c>
      <c r="Q104" s="242">
        <f t="shared" si="28"/>
        <v>0</v>
      </c>
      <c r="R104" s="242">
        <f t="shared" si="28"/>
        <v>0</v>
      </c>
      <c r="S104" s="242">
        <f t="shared" si="28"/>
        <v>0</v>
      </c>
      <c r="T104" s="242">
        <f t="shared" si="28"/>
        <v>0</v>
      </c>
      <c r="U104" s="242">
        <f t="shared" si="28"/>
        <v>0</v>
      </c>
    </row>
    <row r="105" spans="1:23" outlineLevel="1">
      <c r="A105" s="19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</row>
    <row r="106" spans="1:23" ht="13.5" outlineLevel="1" thickBot="1">
      <c r="A106" s="34" t="s">
        <v>180</v>
      </c>
      <c r="B106" s="367">
        <f t="shared" ref="B106:U106" si="29">IF(B98&lt;0,0,B98+B103)</f>
        <v>0</v>
      </c>
      <c r="C106" s="367">
        <f t="shared" si="29"/>
        <v>0</v>
      </c>
      <c r="D106" s="367">
        <f t="shared" si="29"/>
        <v>0</v>
      </c>
      <c r="E106" s="367">
        <f t="shared" si="29"/>
        <v>0</v>
      </c>
      <c r="F106" s="367">
        <f t="shared" si="29"/>
        <v>0</v>
      </c>
      <c r="G106" s="367">
        <f t="shared" si="29"/>
        <v>0</v>
      </c>
      <c r="H106" s="367">
        <f t="shared" si="29"/>
        <v>491.99237494803504</v>
      </c>
      <c r="I106" s="367">
        <f t="shared" si="29"/>
        <v>1114.5862290964897</v>
      </c>
      <c r="J106" s="367">
        <f t="shared" si="29"/>
        <v>1208.4044777706624</v>
      </c>
      <c r="K106" s="367">
        <f t="shared" si="29"/>
        <v>1300.4546585026551</v>
      </c>
      <c r="L106" s="367">
        <f t="shared" si="29"/>
        <v>1402.3752831395448</v>
      </c>
      <c r="M106" s="367">
        <f t="shared" si="29"/>
        <v>1505.4781219327651</v>
      </c>
      <c r="N106" s="367">
        <f t="shared" si="29"/>
        <v>1624.3794998762594</v>
      </c>
      <c r="O106" s="367">
        <f t="shared" si="29"/>
        <v>1744.7586440309215</v>
      </c>
      <c r="P106" s="367">
        <f t="shared" si="29"/>
        <v>1878.200601991912</v>
      </c>
      <c r="Q106" s="367">
        <f t="shared" si="29"/>
        <v>2653.0305592779846</v>
      </c>
      <c r="R106" s="367">
        <f t="shared" si="29"/>
        <v>3439.8244033442361</v>
      </c>
      <c r="S106" s="367">
        <f t="shared" si="29"/>
        <v>3584.7183248148799</v>
      </c>
      <c r="T106" s="367">
        <f t="shared" si="29"/>
        <v>3740.5176388397094</v>
      </c>
      <c r="U106" s="367">
        <f t="shared" si="29"/>
        <v>3908.1651106082018</v>
      </c>
      <c r="W106" s="483">
        <f>SUM(B106:U106)</f>
        <v>29596.885928174255</v>
      </c>
    </row>
    <row r="107" spans="1:23" ht="15.75" outlineLevel="1">
      <c r="A107" s="74"/>
      <c r="B107" s="7"/>
      <c r="C107" s="75"/>
      <c r="D107" s="7"/>
      <c r="E107" s="7"/>
      <c r="F107" s="7"/>
      <c r="G107" s="7"/>
      <c r="H107" s="7"/>
      <c r="I107" s="7"/>
      <c r="J107" s="7"/>
      <c r="K107" s="7"/>
      <c r="L107" s="61"/>
      <c r="M107" s="61"/>
      <c r="N107" s="61"/>
      <c r="O107" s="61"/>
      <c r="P107" s="61"/>
      <c r="Q107" s="61"/>
      <c r="R107" s="61"/>
      <c r="S107" s="61"/>
      <c r="T107" s="61"/>
      <c r="U107" s="61"/>
    </row>
    <row r="108" spans="1:23" outlineLevel="1">
      <c r="A108" s="59"/>
      <c r="B108" s="75"/>
      <c r="C108" s="78"/>
      <c r="D108" s="79"/>
      <c r="E108" s="79"/>
      <c r="F108" s="79"/>
      <c r="G108" s="79"/>
      <c r="H108" s="79"/>
      <c r="I108" s="79"/>
      <c r="J108" s="79"/>
      <c r="K108" s="79"/>
      <c r="L108" s="61"/>
      <c r="M108" s="61"/>
      <c r="N108" s="61"/>
      <c r="O108" s="61"/>
      <c r="P108" s="61"/>
      <c r="Q108" s="61"/>
      <c r="R108" s="61"/>
      <c r="S108" s="61"/>
      <c r="T108" s="61"/>
      <c r="U108" s="61"/>
    </row>
    <row r="109" spans="1:23" outlineLevel="1">
      <c r="A109" s="82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</row>
    <row r="110" spans="1:23" outlineLevel="1">
      <c r="A110" s="85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</row>
    <row r="111" spans="1:23" outlineLevel="1">
      <c r="A111" s="85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</row>
    <row r="112" spans="1:23" outlineLevel="1">
      <c r="A112" s="85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</row>
    <row r="113" spans="1:21" outlineLevel="1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</row>
    <row r="114" spans="1:21" outlineLevel="1">
      <c r="A114" s="7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</row>
    <row r="115" spans="1:21" outlineLevel="1">
      <c r="A115" s="7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</row>
    <row r="116" spans="1:21" outlineLevel="1">
      <c r="A116" s="7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</row>
    <row r="117" spans="1:21" ht="18.75" outlineLevel="1">
      <c r="A117" s="86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</row>
    <row r="118" spans="1:21" outlineLevel="1">
      <c r="A118" s="59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</row>
    <row r="119" spans="1:21" outlineLevel="1">
      <c r="A119" s="59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</row>
    <row r="120" spans="1:21" outlineLevel="1">
      <c r="A120" s="7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</row>
    <row r="121" spans="1:21" outlineLevel="1">
      <c r="A121" s="7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</row>
    <row r="122" spans="1:21" outlineLevel="1">
      <c r="A122" s="2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</row>
    <row r="123" spans="1:21" outlineLevel="1">
      <c r="A123" s="82"/>
      <c r="B123" s="71"/>
      <c r="C123" s="7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</row>
    <row r="124" spans="1:21" outlineLevel="1">
      <c r="A124" s="81"/>
      <c r="B124" s="71"/>
      <c r="C124" s="7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</row>
    <row r="125" spans="1:21" outlineLevel="1">
      <c r="A125" s="81"/>
      <c r="B125" s="71"/>
      <c r="C125" s="7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</row>
    <row r="126" spans="1:21" outlineLevel="1">
      <c r="A126" s="80"/>
      <c r="B126" s="71"/>
      <c r="C126" s="7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</row>
    <row r="127" spans="1:21" outlineLevel="1">
      <c r="A127" s="71"/>
      <c r="B127" s="71"/>
      <c r="C127" s="7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</row>
    <row r="128" spans="1:21" outlineLevel="1">
      <c r="A128" s="82"/>
      <c r="B128" s="71"/>
      <c r="C128" s="7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</row>
    <row r="129" spans="1:21" outlineLevel="1">
      <c r="A129" s="81"/>
      <c r="B129" s="71"/>
      <c r="C129" s="7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</row>
    <row r="130" spans="1:21" outlineLevel="1">
      <c r="A130" s="81"/>
      <c r="B130" s="71"/>
      <c r="C130" s="7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</row>
    <row r="131" spans="1:21" outlineLevel="1">
      <c r="A131" s="81"/>
      <c r="B131" s="71"/>
      <c r="C131" s="7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</row>
    <row r="132" spans="1:21" outlineLevel="1">
      <c r="A132" s="81"/>
      <c r="B132" s="71"/>
      <c r="C132" s="7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</row>
    <row r="133" spans="1:21" outlineLevel="1">
      <c r="A133" s="71"/>
      <c r="B133" s="71"/>
      <c r="C133" s="7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</row>
    <row r="134" spans="1:21" outlineLevel="1">
      <c r="A134" s="82"/>
      <c r="B134" s="71"/>
      <c r="C134" s="7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</row>
    <row r="135" spans="1:21" outlineLevel="1">
      <c r="A135" s="71"/>
      <c r="B135" s="71"/>
      <c r="C135" s="7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</row>
    <row r="136" spans="1:21" outlineLevel="1">
      <c r="A136" s="82"/>
      <c r="B136" s="71"/>
      <c r="C136" s="7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</row>
    <row r="137" spans="1:21" outlineLevel="1">
      <c r="A137" s="81"/>
      <c r="B137" s="71"/>
      <c r="C137" s="7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</row>
    <row r="138" spans="1:21" outlineLevel="1">
      <c r="A138" s="82"/>
      <c r="B138" s="71"/>
      <c r="C138" s="7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</row>
    <row r="139" spans="1:21" outlineLevel="1">
      <c r="A139" s="84"/>
      <c r="B139" s="71"/>
      <c r="C139" s="7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</row>
    <row r="140" spans="1:21" outlineLevel="1">
      <c r="A140" s="81"/>
      <c r="B140" s="71"/>
      <c r="C140" s="7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</row>
    <row r="141" spans="1:21" outlineLevel="1">
      <c r="A141" s="80"/>
      <c r="B141" s="71"/>
      <c r="C141" s="7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</row>
    <row r="142" spans="1:21" outlineLevel="1">
      <c r="A142" s="81"/>
      <c r="B142" s="71"/>
      <c r="C142" s="7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</row>
    <row r="143" spans="1:21" outlineLevel="1">
      <c r="A143" s="80"/>
      <c r="B143" s="71"/>
      <c r="C143" s="7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</row>
    <row r="144" spans="1:21" outlineLevel="1">
      <c r="A144" s="81"/>
      <c r="B144" s="71"/>
      <c r="C144" s="7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</row>
    <row r="145" spans="1:21" outlineLevel="1">
      <c r="A145" s="81"/>
      <c r="B145" s="71"/>
      <c r="C145" s="7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</row>
    <row r="146" spans="1:21" outlineLevel="1">
      <c r="A146" s="81"/>
      <c r="B146" s="71"/>
      <c r="C146" s="7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</row>
    <row r="147" spans="1:21" outlineLevel="1">
      <c r="A147" s="81"/>
      <c r="B147" s="71"/>
      <c r="C147" s="7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</row>
    <row r="148" spans="1:21" outlineLevel="1">
      <c r="A148" s="81"/>
      <c r="B148" s="71"/>
      <c r="C148" s="7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</row>
    <row r="149" spans="1:21" outlineLevel="1">
      <c r="A149" s="81"/>
      <c r="B149" s="71"/>
      <c r="C149" s="7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</row>
    <row r="150" spans="1:21" outlineLevel="1">
      <c r="A150" s="82"/>
      <c r="B150" s="71"/>
      <c r="C150" s="7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</row>
    <row r="151" spans="1:21" outlineLevel="1">
      <c r="A151" s="83"/>
      <c r="B151" s="71"/>
      <c r="C151" s="7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</row>
    <row r="152" spans="1:21" outlineLevel="1">
      <c r="A152" s="81"/>
      <c r="B152" s="71"/>
      <c r="C152" s="7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</row>
    <row r="153" spans="1:21" outlineLevel="1">
      <c r="A153" s="84"/>
      <c r="B153" s="71"/>
      <c r="C153" s="7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</row>
    <row r="154" spans="1:21" outlineLevel="1">
      <c r="A154" s="84"/>
      <c r="B154" s="71"/>
      <c r="C154" s="7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</row>
    <row r="155" spans="1:21" outlineLevel="1">
      <c r="A155" s="81"/>
      <c r="B155" s="71"/>
      <c r="C155" s="7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</row>
    <row r="156" spans="1:21" outlineLevel="1">
      <c r="A156" s="81"/>
      <c r="B156" s="71"/>
      <c r="C156" s="7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</row>
    <row r="157" spans="1:21" outlineLevel="1">
      <c r="A157" s="80"/>
      <c r="B157" s="71"/>
      <c r="C157" s="7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</row>
    <row r="158" spans="1:21" outlineLevel="1">
      <c r="A158" s="82"/>
      <c r="B158" s="71"/>
      <c r="C158" s="7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</row>
    <row r="159" spans="1:21" outlineLevel="1">
      <c r="A159" s="82"/>
      <c r="B159" s="71"/>
      <c r="C159" s="7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</row>
    <row r="160" spans="1:21" outlineLevel="1">
      <c r="A160" s="82"/>
      <c r="B160" s="71"/>
      <c r="C160" s="7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</row>
    <row r="161" spans="1:21" outlineLevel="1">
      <c r="A161" s="82"/>
      <c r="B161" s="71"/>
      <c r="C161" s="7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</row>
    <row r="162" spans="1:21" outlineLevel="1">
      <c r="A162" s="82"/>
      <c r="B162" s="71"/>
      <c r="C162" s="7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</row>
    <row r="163" spans="1:21" outlineLevel="1">
      <c r="A163" s="82"/>
      <c r="B163" s="71"/>
      <c r="C163" s="7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</row>
    <row r="164" spans="1:21" outlineLevel="1">
      <c r="A164" s="82"/>
      <c r="B164" s="71"/>
      <c r="C164" s="7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</row>
    <row r="165" spans="1:21" outlineLevel="1">
      <c r="A165" s="7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</row>
    <row r="166" spans="1:21" outlineLevel="1">
      <c r="A166" s="7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</row>
    <row r="167" spans="1:21" outlineLevel="1">
      <c r="A167" s="7"/>
      <c r="B167" s="7"/>
      <c r="C167" s="7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</row>
    <row r="168" spans="1:21" ht="18.75" outlineLevel="1">
      <c r="A168" s="8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outlineLevel="1">
      <c r="A169" s="5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outlineLevel="1">
      <c r="A170" s="59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outlineLevel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outlineLevel="1">
      <c r="A172" s="2"/>
      <c r="B172" s="9"/>
      <c r="C172" s="9"/>
      <c r="D172" s="9"/>
      <c r="E172" s="9"/>
      <c r="F172" s="9"/>
      <c r="G172" s="9"/>
      <c r="H172" s="9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outlineLevel="1">
      <c r="A173" s="59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outlineLevel="1">
      <c r="A174" s="88"/>
      <c r="B174" s="89"/>
      <c r="C174" s="89"/>
      <c r="D174" s="89"/>
      <c r="E174" s="89"/>
      <c r="F174" s="89"/>
      <c r="G174" s="89"/>
      <c r="H174" s="89"/>
      <c r="I174" s="7"/>
      <c r="J174" s="89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outlineLevel="1">
      <c r="A175" s="88"/>
      <c r="B175" s="89"/>
      <c r="C175" s="89"/>
      <c r="D175" s="89"/>
      <c r="E175" s="89"/>
      <c r="F175" s="89"/>
      <c r="G175" s="89"/>
      <c r="H175" s="89"/>
      <c r="I175" s="7"/>
      <c r="J175" s="89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outlineLevel="1">
      <c r="A176" s="88"/>
      <c r="B176" s="89"/>
      <c r="C176" s="89"/>
      <c r="D176" s="89"/>
      <c r="E176" s="89"/>
      <c r="F176" s="89"/>
      <c r="G176" s="89"/>
      <c r="H176" s="89"/>
      <c r="I176" s="7"/>
      <c r="J176" s="89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outlineLevel="1">
      <c r="A177" s="88"/>
      <c r="B177" s="89"/>
      <c r="C177" s="89"/>
      <c r="D177" s="89"/>
      <c r="E177" s="89"/>
      <c r="F177" s="89"/>
      <c r="G177" s="89"/>
      <c r="H177" s="89"/>
      <c r="I177" s="7"/>
      <c r="J177" s="89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outlineLevel="1">
      <c r="A178" s="88"/>
      <c r="B178" s="89"/>
      <c r="C178" s="89"/>
      <c r="D178" s="89"/>
      <c r="E178" s="89"/>
      <c r="F178" s="89"/>
      <c r="G178" s="89"/>
      <c r="H178" s="89"/>
      <c r="I178" s="7"/>
      <c r="J178" s="89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outlineLevel="1">
      <c r="A179" s="7"/>
      <c r="B179" s="89"/>
      <c r="C179" s="89"/>
      <c r="D179" s="89"/>
      <c r="E179" s="89"/>
      <c r="F179" s="89"/>
      <c r="G179" s="89"/>
      <c r="H179" s="89"/>
      <c r="I179" s="7"/>
      <c r="J179" s="89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outlineLevel="1">
      <c r="A180" s="59"/>
      <c r="B180" s="89"/>
      <c r="C180" s="89"/>
      <c r="D180" s="89"/>
      <c r="E180" s="89"/>
      <c r="F180" s="89"/>
      <c r="G180" s="89"/>
      <c r="H180" s="89"/>
      <c r="I180" s="7"/>
      <c r="J180" s="89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outlineLevel="1">
      <c r="A181" s="88"/>
      <c r="B181" s="89"/>
      <c r="C181" s="89"/>
      <c r="D181" s="89"/>
      <c r="E181" s="89"/>
      <c r="F181" s="89"/>
      <c r="G181" s="89"/>
      <c r="H181" s="89"/>
      <c r="I181" s="7"/>
      <c r="J181" s="89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outlineLevel="1">
      <c r="A182" s="88"/>
      <c r="B182" s="89"/>
      <c r="C182" s="89"/>
      <c r="D182" s="89"/>
      <c r="E182" s="89"/>
      <c r="F182" s="89"/>
      <c r="G182" s="89"/>
      <c r="H182" s="89"/>
      <c r="I182" s="7"/>
      <c r="J182" s="89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outlineLevel="1">
      <c r="A183" s="88"/>
      <c r="B183" s="89"/>
      <c r="C183" s="89"/>
      <c r="D183" s="89"/>
      <c r="E183" s="89"/>
      <c r="F183" s="89"/>
      <c r="G183" s="89"/>
      <c r="H183" s="89"/>
      <c r="I183" s="7"/>
      <c r="J183" s="89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outlineLevel="1">
      <c r="A184" s="88"/>
      <c r="B184" s="89"/>
      <c r="C184" s="89"/>
      <c r="D184" s="89"/>
      <c r="E184" s="89"/>
      <c r="F184" s="89"/>
      <c r="G184" s="89"/>
      <c r="H184" s="89"/>
      <c r="I184" s="7"/>
      <c r="J184" s="89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outlineLevel="1">
      <c r="A185" s="88"/>
      <c r="B185" s="89"/>
      <c r="C185" s="89"/>
      <c r="D185" s="89"/>
      <c r="E185" s="89"/>
      <c r="F185" s="89"/>
      <c r="G185" s="89"/>
      <c r="H185" s="89"/>
      <c r="I185" s="7"/>
      <c r="J185" s="89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outlineLevel="1">
      <c r="A186" s="88"/>
      <c r="B186" s="89"/>
      <c r="C186" s="89"/>
      <c r="D186" s="89"/>
      <c r="E186" s="89"/>
      <c r="F186" s="89"/>
      <c r="G186" s="89"/>
      <c r="H186" s="89"/>
      <c r="I186" s="7"/>
      <c r="J186" s="89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outlineLevel="1">
      <c r="A187" s="88"/>
      <c r="B187" s="89"/>
      <c r="C187" s="89"/>
      <c r="D187" s="89"/>
      <c r="E187" s="89"/>
      <c r="F187" s="89"/>
      <c r="G187" s="89"/>
      <c r="H187" s="89"/>
      <c r="I187" s="7"/>
      <c r="J187" s="89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outlineLevel="1">
      <c r="A188" s="88"/>
      <c r="B188" s="89"/>
      <c r="C188" s="89"/>
      <c r="D188" s="89"/>
      <c r="E188" s="89"/>
      <c r="F188" s="89"/>
      <c r="G188" s="89"/>
      <c r="H188" s="89"/>
      <c r="I188" s="7"/>
      <c r="J188" s="89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outlineLevel="1">
      <c r="A189" s="88"/>
      <c r="B189" s="89"/>
      <c r="C189" s="89"/>
      <c r="D189" s="89"/>
      <c r="E189" s="89"/>
      <c r="F189" s="89"/>
      <c r="G189" s="89"/>
      <c r="H189" s="89"/>
      <c r="I189" s="7"/>
      <c r="J189" s="89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88"/>
      <c r="B190" s="89"/>
      <c r="C190" s="89"/>
      <c r="D190" s="89"/>
      <c r="E190" s="89"/>
      <c r="F190" s="89"/>
      <c r="G190" s="89"/>
      <c r="H190" s="89"/>
      <c r="I190" s="7"/>
      <c r="J190" s="89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88"/>
      <c r="B191" s="89"/>
      <c r="C191" s="89"/>
      <c r="D191" s="89"/>
      <c r="E191" s="89"/>
      <c r="F191" s="89"/>
      <c r="G191" s="89"/>
      <c r="H191" s="89"/>
      <c r="I191" s="7"/>
      <c r="J191" s="89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59"/>
      <c r="B192" s="89"/>
      <c r="C192" s="89"/>
      <c r="D192" s="89"/>
      <c r="E192" s="89"/>
      <c r="F192" s="89"/>
      <c r="G192" s="89"/>
      <c r="H192" s="89"/>
      <c r="I192" s="7"/>
      <c r="J192" s="89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88"/>
      <c r="B193" s="89"/>
      <c r="C193" s="89"/>
      <c r="D193" s="89"/>
      <c r="E193" s="89"/>
      <c r="F193" s="89"/>
      <c r="G193" s="89"/>
      <c r="H193" s="89"/>
      <c r="I193" s="7"/>
      <c r="J193" s="89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88"/>
      <c r="B194" s="89"/>
      <c r="C194" s="89"/>
      <c r="D194" s="89"/>
      <c r="E194" s="89"/>
      <c r="F194" s="89"/>
      <c r="G194" s="89"/>
      <c r="H194" s="89"/>
      <c r="I194" s="7"/>
      <c r="J194" s="89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59"/>
      <c r="B195" s="89"/>
      <c r="C195" s="89"/>
      <c r="D195" s="89"/>
      <c r="E195" s="89"/>
      <c r="F195" s="89"/>
      <c r="G195" s="89"/>
      <c r="H195" s="89"/>
      <c r="I195" s="7"/>
      <c r="J195" s="89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59"/>
      <c r="B196" s="89"/>
      <c r="C196" s="89"/>
      <c r="D196" s="89"/>
      <c r="E196" s="89"/>
      <c r="F196" s="89"/>
      <c r="G196" s="89"/>
      <c r="H196" s="89"/>
      <c r="I196" s="7"/>
      <c r="J196" s="89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7"/>
      <c r="B197" s="89"/>
      <c r="C197" s="89"/>
      <c r="D197" s="89"/>
      <c r="E197" s="89"/>
      <c r="F197" s="89"/>
      <c r="G197" s="89"/>
      <c r="H197" s="89"/>
      <c r="I197" s="7"/>
      <c r="J197" s="89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7"/>
      <c r="B198" s="89"/>
      <c r="C198" s="89"/>
      <c r="D198" s="89"/>
      <c r="E198" s="89"/>
      <c r="F198" s="89"/>
      <c r="G198" s="89"/>
      <c r="H198" s="89"/>
      <c r="I198" s="7"/>
      <c r="J198" s="89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59"/>
      <c r="B199" s="89"/>
      <c r="C199" s="89"/>
      <c r="D199" s="89"/>
      <c r="E199" s="89"/>
      <c r="F199" s="89"/>
      <c r="G199" s="89"/>
      <c r="H199" s="89"/>
      <c r="I199" s="7"/>
      <c r="J199" s="89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88"/>
      <c r="B200" s="89"/>
      <c r="C200" s="89"/>
      <c r="D200" s="89"/>
      <c r="E200" s="89"/>
      <c r="F200" s="89"/>
      <c r="G200" s="89"/>
      <c r="H200" s="89"/>
      <c r="I200" s="7"/>
      <c r="J200" s="89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9"/>
      <c r="B201" s="89"/>
      <c r="C201" s="89"/>
      <c r="D201" s="89"/>
      <c r="E201" s="89"/>
      <c r="F201" s="89"/>
      <c r="G201" s="89"/>
      <c r="H201" s="89"/>
      <c r="I201" s="7"/>
      <c r="J201" s="89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7"/>
      <c r="B202" s="89"/>
      <c r="C202" s="89"/>
      <c r="D202" s="89"/>
      <c r="E202" s="89"/>
      <c r="F202" s="89"/>
      <c r="G202" s="89"/>
      <c r="H202" s="89"/>
      <c r="I202" s="7"/>
      <c r="J202" s="89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59"/>
      <c r="B203" s="89"/>
      <c r="C203" s="89"/>
      <c r="D203" s="89"/>
      <c r="E203" s="89"/>
      <c r="F203" s="89"/>
      <c r="G203" s="89"/>
      <c r="H203" s="89"/>
      <c r="I203" s="7"/>
      <c r="J203" s="89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88"/>
      <c r="B204" s="89"/>
      <c r="C204" s="89"/>
      <c r="D204" s="89"/>
      <c r="E204" s="89"/>
      <c r="F204" s="89"/>
      <c r="G204" s="89"/>
      <c r="H204" s="89"/>
      <c r="I204" s="7"/>
      <c r="J204" s="89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88"/>
      <c r="B205" s="89"/>
      <c r="C205" s="89"/>
      <c r="D205" s="89"/>
      <c r="E205" s="89"/>
      <c r="F205" s="89"/>
      <c r="G205" s="89"/>
      <c r="H205" s="89"/>
      <c r="I205" s="7"/>
      <c r="J205" s="89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8"/>
      <c r="B206" s="89"/>
      <c r="C206" s="89"/>
      <c r="D206" s="89"/>
      <c r="E206" s="89"/>
      <c r="F206" s="89"/>
      <c r="G206" s="89"/>
      <c r="H206" s="89"/>
      <c r="I206" s="7"/>
      <c r="J206" s="89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8"/>
      <c r="B207" s="89"/>
      <c r="C207" s="89"/>
      <c r="D207" s="89"/>
      <c r="E207" s="89"/>
      <c r="F207" s="89"/>
      <c r="G207" s="89"/>
      <c r="H207" s="89"/>
      <c r="I207" s="7"/>
      <c r="J207" s="89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8"/>
      <c r="B208" s="89"/>
      <c r="C208" s="89"/>
      <c r="D208" s="89"/>
      <c r="E208" s="89"/>
      <c r="F208" s="89"/>
      <c r="G208" s="89"/>
      <c r="H208" s="89"/>
      <c r="I208" s="7"/>
      <c r="J208" s="89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8"/>
      <c r="B209" s="89"/>
      <c r="C209" s="89"/>
      <c r="D209" s="89"/>
      <c r="E209" s="89"/>
      <c r="F209" s="89"/>
      <c r="G209" s="89"/>
      <c r="H209" s="89"/>
      <c r="I209" s="7"/>
      <c r="J209" s="89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59"/>
      <c r="B210" s="89"/>
      <c r="C210" s="89"/>
      <c r="D210" s="89"/>
      <c r="E210" s="89"/>
      <c r="F210" s="89"/>
      <c r="G210" s="89"/>
      <c r="H210" s="89"/>
      <c r="I210" s="7"/>
      <c r="J210" s="89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59"/>
      <c r="B211" s="89"/>
      <c r="C211" s="89"/>
      <c r="D211" s="89"/>
      <c r="E211" s="89"/>
      <c r="F211" s="89"/>
      <c r="G211" s="89"/>
      <c r="H211" s="89"/>
      <c r="I211" s="7"/>
      <c r="J211" s="89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7"/>
      <c r="B212" s="89"/>
      <c r="C212" s="89"/>
      <c r="D212" s="89"/>
      <c r="E212" s="89"/>
      <c r="F212" s="89"/>
      <c r="G212" s="89"/>
      <c r="H212" s="89"/>
      <c r="I212" s="7"/>
      <c r="J212" s="89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59"/>
      <c r="B213" s="89"/>
      <c r="C213" s="89"/>
      <c r="D213" s="89"/>
      <c r="E213" s="89"/>
      <c r="F213" s="89"/>
      <c r="G213" s="89"/>
      <c r="H213" s="89"/>
      <c r="I213" s="7"/>
      <c r="J213" s="89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59"/>
      <c r="B214" s="89"/>
      <c r="C214" s="89"/>
      <c r="D214" s="89"/>
      <c r="E214" s="89"/>
      <c r="F214" s="89"/>
      <c r="G214" s="89"/>
      <c r="H214" s="89"/>
      <c r="I214" s="7"/>
      <c r="J214" s="89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59"/>
      <c r="B216" s="7"/>
      <c r="C216" s="61"/>
      <c r="D216" s="61"/>
      <c r="E216" s="61"/>
      <c r="F216" s="61"/>
      <c r="G216" s="61"/>
      <c r="H216" s="61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59"/>
      <c r="B217" s="7"/>
      <c r="C217" s="61"/>
      <c r="D217" s="61"/>
      <c r="E217" s="61"/>
      <c r="F217" s="61"/>
      <c r="G217" s="61"/>
      <c r="H217" s="61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59"/>
      <c r="B218" s="7"/>
      <c r="C218" s="61"/>
      <c r="D218" s="61"/>
      <c r="E218" s="61"/>
      <c r="F218" s="61"/>
      <c r="G218" s="61"/>
      <c r="H218" s="61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59"/>
      <c r="B219" s="7"/>
      <c r="C219" s="61"/>
      <c r="D219" s="61"/>
      <c r="E219" s="61"/>
      <c r="F219" s="61"/>
      <c r="G219" s="61"/>
      <c r="H219" s="61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ht="18.75" outlineLevel="1">
      <c r="A221" s="86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5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s="92" customFormat="1" outlineLevel="1">
      <c r="A225" s="91"/>
    </row>
    <row r="226" spans="1:21" outlineLevel="1">
      <c r="A226" s="59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59"/>
      <c r="B227" s="7"/>
      <c r="C227" s="93"/>
      <c r="D227" s="93"/>
      <c r="E227" s="93"/>
      <c r="F227" s="93"/>
      <c r="G227" s="93"/>
      <c r="H227" s="93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9"/>
      <c r="B228" s="7"/>
      <c r="C228" s="93"/>
      <c r="D228" s="93"/>
      <c r="E228" s="93"/>
      <c r="F228" s="93"/>
      <c r="G228" s="93"/>
      <c r="H228" s="93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7"/>
      <c r="B229" s="7"/>
      <c r="C229" s="95"/>
      <c r="D229" s="95"/>
      <c r="E229" s="95"/>
      <c r="F229" s="95"/>
      <c r="G229" s="95"/>
      <c r="H229" s="95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59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91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96"/>
      <c r="B232" s="7"/>
      <c r="C232" s="61"/>
      <c r="D232" s="61"/>
      <c r="E232" s="61"/>
      <c r="F232" s="61"/>
      <c r="G232" s="61"/>
      <c r="H232" s="61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96"/>
      <c r="B233" s="7"/>
      <c r="C233" s="61"/>
      <c r="D233" s="61"/>
      <c r="E233" s="61"/>
      <c r="F233" s="61"/>
      <c r="G233" s="61"/>
      <c r="H233" s="61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96"/>
      <c r="B234" s="7"/>
      <c r="C234" s="61"/>
      <c r="D234" s="61"/>
      <c r="E234" s="61"/>
      <c r="F234" s="61"/>
      <c r="G234" s="61"/>
      <c r="H234" s="61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96"/>
      <c r="B235" s="7"/>
      <c r="C235" s="61"/>
      <c r="D235" s="61"/>
      <c r="E235" s="61"/>
      <c r="F235" s="61"/>
      <c r="G235" s="61"/>
      <c r="H235" s="61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96"/>
      <c r="B236" s="7"/>
      <c r="C236" s="93"/>
      <c r="D236" s="93"/>
      <c r="E236" s="93"/>
      <c r="F236" s="93"/>
      <c r="G236" s="93"/>
      <c r="H236" s="93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59"/>
      <c r="B237" s="7"/>
      <c r="C237" s="97"/>
      <c r="D237" s="97"/>
      <c r="E237" s="97"/>
      <c r="F237" s="97"/>
      <c r="G237" s="97"/>
      <c r="H237" s="9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96"/>
      <c r="B238" s="7"/>
      <c r="C238" s="98"/>
      <c r="D238" s="98"/>
      <c r="E238" s="98"/>
      <c r="F238" s="98"/>
      <c r="G238" s="98"/>
      <c r="H238" s="98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96"/>
      <c r="B239" s="7"/>
      <c r="C239" s="98"/>
      <c r="D239" s="98"/>
      <c r="E239" s="98"/>
      <c r="F239" s="98"/>
      <c r="G239" s="98"/>
      <c r="H239" s="98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96"/>
      <c r="B240" s="7"/>
      <c r="C240" s="98"/>
      <c r="D240" s="98"/>
      <c r="E240" s="98"/>
      <c r="F240" s="98"/>
      <c r="G240" s="98"/>
      <c r="H240" s="98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96"/>
      <c r="B241" s="7"/>
      <c r="C241" s="98"/>
      <c r="D241" s="98"/>
      <c r="E241" s="98"/>
      <c r="F241" s="98"/>
      <c r="G241" s="98"/>
      <c r="H241" s="98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96"/>
      <c r="B242" s="7"/>
      <c r="C242" s="97"/>
      <c r="D242" s="97"/>
      <c r="E242" s="97"/>
      <c r="F242" s="97"/>
      <c r="G242" s="97"/>
      <c r="H242" s="9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59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7"/>
      <c r="C244" s="61"/>
      <c r="D244" s="61"/>
      <c r="E244" s="61"/>
      <c r="F244" s="61"/>
      <c r="G244" s="61"/>
      <c r="H244" s="61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7"/>
      <c r="B245" s="7"/>
      <c r="C245" s="61"/>
      <c r="D245" s="61"/>
      <c r="E245" s="61"/>
      <c r="F245" s="61"/>
      <c r="G245" s="61"/>
      <c r="H245" s="61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7"/>
      <c r="B246" s="7"/>
      <c r="C246" s="61"/>
      <c r="D246" s="61"/>
      <c r="E246" s="61"/>
      <c r="F246" s="61"/>
      <c r="G246" s="61"/>
      <c r="H246" s="61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99"/>
      <c r="C247" s="61"/>
      <c r="D247" s="61"/>
      <c r="E247" s="61"/>
      <c r="F247" s="61"/>
      <c r="G247" s="61"/>
      <c r="H247" s="61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9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7"/>
      <c r="B250" s="7"/>
      <c r="C250" s="93"/>
      <c r="D250" s="93"/>
      <c r="E250" s="93"/>
      <c r="F250" s="93"/>
      <c r="G250" s="93"/>
      <c r="H250" s="93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96"/>
      <c r="B251" s="7"/>
      <c r="C251" s="93"/>
      <c r="D251" s="93"/>
      <c r="E251" s="93"/>
      <c r="F251" s="93"/>
      <c r="G251" s="93"/>
      <c r="H251" s="93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96"/>
      <c r="B252" s="7"/>
      <c r="C252" s="93"/>
      <c r="D252" s="93"/>
      <c r="E252" s="93"/>
      <c r="F252" s="93"/>
      <c r="G252" s="93"/>
      <c r="H252" s="93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96"/>
      <c r="B253" s="99"/>
      <c r="C253" s="93"/>
      <c r="D253" s="93"/>
      <c r="E253" s="93"/>
      <c r="F253" s="93"/>
      <c r="G253" s="93"/>
      <c r="H253" s="93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7"/>
      <c r="B254" s="7"/>
      <c r="C254" s="93"/>
      <c r="D254" s="93"/>
      <c r="E254" s="93"/>
      <c r="F254" s="93"/>
      <c r="G254" s="93"/>
      <c r="H254" s="93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7"/>
      <c r="B255" s="7"/>
      <c r="C255" s="93"/>
      <c r="D255" s="93"/>
      <c r="E255" s="93"/>
      <c r="F255" s="93"/>
      <c r="G255" s="93"/>
      <c r="H255" s="93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93"/>
      <c r="D256" s="93"/>
      <c r="E256" s="93"/>
      <c r="F256" s="93"/>
      <c r="G256" s="93"/>
      <c r="H256" s="93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7"/>
      <c r="B257" s="7"/>
      <c r="C257" s="93"/>
      <c r="D257" s="93"/>
      <c r="E257" s="93"/>
      <c r="F257" s="93"/>
      <c r="G257" s="93"/>
      <c r="H257" s="93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7"/>
      <c r="B258" s="7"/>
      <c r="C258" s="93"/>
      <c r="D258" s="93"/>
      <c r="E258" s="93"/>
      <c r="F258" s="93"/>
      <c r="G258" s="93"/>
      <c r="H258" s="93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7"/>
      <c r="B259" s="7"/>
      <c r="C259" s="93"/>
      <c r="D259" s="93"/>
      <c r="E259" s="93"/>
      <c r="F259" s="93"/>
      <c r="G259" s="93"/>
      <c r="H259" s="93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59"/>
      <c r="B261" s="100"/>
      <c r="C261" s="100"/>
      <c r="D261" s="100"/>
      <c r="E261" s="100"/>
      <c r="F261" s="100"/>
      <c r="G261" s="100"/>
      <c r="H261" s="100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9"/>
      <c r="B262" s="99"/>
      <c r="C262" s="100"/>
      <c r="D262" s="100"/>
      <c r="E262" s="100"/>
      <c r="F262" s="100"/>
      <c r="G262" s="100"/>
      <c r="H262" s="100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59"/>
      <c r="B263" s="100"/>
      <c r="C263" s="100"/>
      <c r="D263" s="100"/>
      <c r="E263" s="100"/>
      <c r="F263" s="100"/>
      <c r="G263" s="100"/>
      <c r="H263" s="100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59"/>
      <c r="B264" s="7"/>
      <c r="C264" s="100"/>
      <c r="D264" s="100"/>
      <c r="E264" s="100"/>
      <c r="F264" s="100"/>
      <c r="G264" s="100"/>
      <c r="H264" s="100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59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59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7"/>
      <c r="B269" s="7"/>
      <c r="C269" s="89"/>
      <c r="D269" s="89"/>
      <c r="E269" s="89"/>
      <c r="F269" s="89"/>
      <c r="G269" s="89"/>
      <c r="H269" s="8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7"/>
      <c r="B270" s="7"/>
      <c r="C270" s="100"/>
      <c r="D270" s="100"/>
      <c r="E270" s="100"/>
      <c r="F270" s="100"/>
      <c r="G270" s="100"/>
      <c r="H270" s="100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7"/>
      <c r="B271" s="7"/>
      <c r="C271" s="101"/>
      <c r="D271" s="101"/>
      <c r="E271" s="101"/>
      <c r="F271" s="101"/>
      <c r="G271" s="101"/>
      <c r="H271" s="101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7"/>
      <c r="B272" s="7"/>
      <c r="C272" s="89"/>
      <c r="D272" s="89"/>
      <c r="E272" s="89"/>
      <c r="F272" s="89"/>
      <c r="G272" s="89"/>
      <c r="H272" s="89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5" outlineLevel="1">
      <c r="A273" s="7"/>
      <c r="B273" s="7"/>
      <c r="C273" s="101"/>
      <c r="D273" s="101"/>
      <c r="E273" s="101"/>
      <c r="F273" s="101"/>
      <c r="G273" s="101"/>
      <c r="H273" s="101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5" outlineLevel="1">
      <c r="A274" s="7"/>
      <c r="B274" s="7"/>
      <c r="C274" s="102"/>
      <c r="D274" s="102"/>
      <c r="E274" s="102"/>
      <c r="F274" s="102"/>
      <c r="G274" s="102"/>
      <c r="H274" s="102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5" outlineLevel="1">
      <c r="A275" s="7"/>
      <c r="B275" s="7"/>
      <c r="C275" s="102"/>
      <c r="D275" s="102"/>
      <c r="E275" s="102"/>
      <c r="F275" s="102"/>
      <c r="G275" s="102"/>
      <c r="H275" s="102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5" ht="18.75" hidden="1" outlineLevel="2">
      <c r="A276" s="86"/>
      <c r="B276" s="7"/>
      <c r="C276" s="102"/>
      <c r="D276" s="102"/>
      <c r="E276" s="102"/>
      <c r="F276" s="102"/>
      <c r="G276" s="102"/>
      <c r="H276" s="102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5" hidden="1" outlineLevel="2">
      <c r="A277" s="59"/>
      <c r="B277" s="7"/>
      <c r="C277" s="102"/>
      <c r="D277" s="102"/>
      <c r="E277" s="102"/>
      <c r="F277" s="102"/>
      <c r="G277" s="102"/>
      <c r="H277" s="102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5" hidden="1" outlineLevel="2">
      <c r="A278" s="7"/>
      <c r="B278" s="7"/>
      <c r="C278" s="102"/>
      <c r="D278" s="102"/>
      <c r="E278" s="102"/>
      <c r="F278" s="102"/>
      <c r="G278" s="102"/>
      <c r="H278" s="102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5" hidden="1" outlineLevel="2">
      <c r="A279" s="59"/>
      <c r="B279" s="11"/>
      <c r="C279" s="11"/>
      <c r="D279" s="10"/>
      <c r="E279" s="10"/>
      <c r="F279" s="11"/>
      <c r="G279" s="11"/>
      <c r="H279" s="10"/>
      <c r="I279" s="11"/>
      <c r="J279" s="11"/>
      <c r="K279" s="11"/>
      <c r="L279" s="10"/>
      <c r="M279" s="11"/>
      <c r="N279" s="11"/>
      <c r="O279" s="7"/>
      <c r="P279" s="7"/>
      <c r="Q279" s="7"/>
      <c r="R279" s="7"/>
      <c r="S279" s="7"/>
      <c r="T279" s="11"/>
      <c r="U279" s="7"/>
    </row>
    <row r="280" spans="1:25" hidden="1" outlineLevel="2">
      <c r="A280" s="59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5" hidden="1" outlineLevel="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5" hidden="1" outlineLevel="2">
      <c r="A282" s="7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7"/>
      <c r="P282" s="7"/>
      <c r="Q282" s="7"/>
      <c r="R282" s="7"/>
      <c r="S282" s="7"/>
      <c r="T282" s="89"/>
      <c r="U282" s="7"/>
    </row>
    <row r="283" spans="1:25" hidden="1" outlineLevel="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5" hidden="1" outlineLevel="2">
      <c r="A284" s="7"/>
      <c r="B284" s="100"/>
      <c r="C284" s="100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7"/>
      <c r="P284" s="7"/>
      <c r="Q284" s="7"/>
      <c r="R284" s="7"/>
      <c r="S284" s="7"/>
      <c r="T284" s="89"/>
      <c r="U284" s="7"/>
    </row>
    <row r="285" spans="1:25" hidden="1" outlineLevel="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5" hidden="1" outlineLevel="2">
      <c r="A286" s="7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7"/>
      <c r="P286" s="7"/>
      <c r="Q286" s="7"/>
      <c r="R286" s="7"/>
      <c r="S286" s="7"/>
      <c r="T286" s="89"/>
      <c r="U286" s="89"/>
      <c r="V286" s="89"/>
      <c r="W286" s="89"/>
      <c r="X286" s="89"/>
      <c r="Y286" s="89"/>
    </row>
    <row r="287" spans="1:25" hidden="1" outlineLevel="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5" hidden="1" outlineLevel="2">
      <c r="A288" s="7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7"/>
      <c r="P288" s="7"/>
      <c r="Q288" s="7"/>
      <c r="R288" s="7"/>
      <c r="S288" s="7"/>
      <c r="T288" s="89"/>
      <c r="U288" s="7"/>
    </row>
    <row r="289" spans="1:21" hidden="1" outlineLevel="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idden="1" outlineLevel="2">
      <c r="A290" s="7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7"/>
      <c r="P290" s="7"/>
      <c r="Q290" s="7"/>
      <c r="R290" s="7"/>
      <c r="S290" s="7"/>
      <c r="T290" s="89"/>
      <c r="U290" s="89"/>
    </row>
    <row r="291" spans="1:21" hidden="1" outlineLevel="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hidden="1" outlineLevel="2">
      <c r="A292" s="7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7"/>
      <c r="P292" s="7"/>
      <c r="Q292" s="7"/>
      <c r="R292" s="7"/>
      <c r="S292" s="7"/>
      <c r="T292" s="89"/>
      <c r="U292" s="89"/>
    </row>
    <row r="293" spans="1:21" hidden="1" outlineLevel="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 collapsed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8.75" outlineLevel="1">
      <c r="A297" s="8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59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59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2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</row>
    <row r="302" spans="1:21" outlineLevel="1">
      <c r="A302" s="59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88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</row>
    <row r="304" spans="1:21" outlineLevel="1">
      <c r="A304" s="88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</row>
    <row r="305" spans="1:21" outlineLevel="1">
      <c r="A305" s="88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</row>
    <row r="306" spans="1:21" outlineLevel="1">
      <c r="A306" s="88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</row>
    <row r="307" spans="1:21" outlineLevel="1">
      <c r="A307" s="88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</row>
    <row r="308" spans="1:21" outlineLevel="1">
      <c r="A308" s="7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</row>
    <row r="309" spans="1:21" outlineLevel="1">
      <c r="A309" s="5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</row>
    <row r="310" spans="1:21" outlineLevel="1">
      <c r="A310" s="88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</row>
    <row r="311" spans="1:21" outlineLevel="1">
      <c r="A311" s="88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</row>
    <row r="312" spans="1:21" outlineLevel="1">
      <c r="A312" s="88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</row>
    <row r="313" spans="1:21" outlineLevel="1">
      <c r="A313" s="88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</row>
    <row r="314" spans="1:21" outlineLevel="1">
      <c r="A314" s="88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</row>
    <row r="315" spans="1:21" outlineLevel="1">
      <c r="A315" s="88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</row>
    <row r="316" spans="1:21" outlineLevel="1">
      <c r="A316" s="88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</row>
    <row r="317" spans="1:21" outlineLevel="1">
      <c r="A317" s="88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</row>
    <row r="318" spans="1:21" outlineLevel="1">
      <c r="A318" s="88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</row>
    <row r="319" spans="1:21" outlineLevel="1">
      <c r="A319" s="88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</row>
    <row r="320" spans="1:21" outlineLevel="1">
      <c r="A320" s="88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</row>
    <row r="321" spans="1:21" outlineLevel="1">
      <c r="A321" s="5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</row>
    <row r="322" spans="1:21" outlineLevel="1">
      <c r="A322" s="88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</row>
    <row r="323" spans="1:21" outlineLevel="1">
      <c r="A323" s="5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</row>
    <row r="324" spans="1:21" outlineLevel="1">
      <c r="A324" s="88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</row>
    <row r="325" spans="1:21" outlineLevel="1">
      <c r="A325" s="5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</row>
    <row r="326" spans="1:21" outlineLevel="1">
      <c r="A326" s="7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</row>
    <row r="327" spans="1:21" outlineLevel="1">
      <c r="A327" s="5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</row>
    <row r="328" spans="1:21" outlineLevel="1">
      <c r="A328" s="88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</row>
    <row r="329" spans="1:21" outlineLevel="1">
      <c r="A329" s="88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</row>
    <row r="330" spans="1:21" outlineLevel="1">
      <c r="A330" s="88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</row>
    <row r="331" spans="1:21" outlineLevel="1">
      <c r="A331" s="88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</row>
    <row r="332" spans="1:21" outlineLevel="1">
      <c r="A332" s="5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</row>
    <row r="333" spans="1:21" outlineLevel="1">
      <c r="A333" s="5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</row>
    <row r="334" spans="1:21" outlineLevel="1">
      <c r="A334" s="88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</row>
    <row r="335" spans="1:21" outlineLevel="1">
      <c r="A335" s="88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</row>
    <row r="336" spans="1:21" outlineLevel="1">
      <c r="A336" s="88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</row>
    <row r="337" spans="1:21" outlineLevel="1">
      <c r="A337" s="88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</row>
    <row r="338" spans="1:21" outlineLevel="1">
      <c r="A338" s="88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</row>
    <row r="339" spans="1:21" outlineLevel="1">
      <c r="A339" s="2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</row>
    <row r="340" spans="1:21" outlineLevel="1">
      <c r="A340" s="5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</row>
    <row r="341" spans="1:21" outlineLevel="1">
      <c r="A341" s="7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</row>
    <row r="342" spans="1:21" outlineLevel="1">
      <c r="A342" s="5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</row>
    <row r="343" spans="1:21" outlineLevel="1">
      <c r="A343" s="5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</row>
    <row r="344" spans="1:21" outlineLevel="1">
      <c r="A344" s="5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</row>
    <row r="345" spans="1:21" outlineLevel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outlineLevel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ht="18.75" outlineLevel="1">
      <c r="A347" s="8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outlineLevel="1">
      <c r="A348" s="59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outlineLevel="1">
      <c r="A349" s="59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 outlineLevel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outlineLevel="1">
      <c r="A351" s="2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7"/>
      <c r="P351" s="7"/>
      <c r="Q351" s="7"/>
      <c r="R351" s="7"/>
      <c r="S351" s="7"/>
      <c r="T351" s="7"/>
      <c r="U351" s="7"/>
    </row>
    <row r="352" spans="1:21" outlineLevel="1">
      <c r="A352" s="59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outlineLevel="1">
      <c r="A353" s="88"/>
      <c r="B353" s="103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7"/>
      <c r="P353" s="7"/>
      <c r="Q353" s="7"/>
      <c r="R353" s="7"/>
      <c r="S353" s="7"/>
      <c r="T353" s="7"/>
      <c r="U353" s="7"/>
    </row>
    <row r="354" spans="1:21" outlineLevel="1">
      <c r="A354" s="88"/>
      <c r="B354" s="103"/>
      <c r="C354" s="103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7"/>
      <c r="P354" s="7"/>
      <c r="Q354" s="7"/>
      <c r="R354" s="7"/>
      <c r="S354" s="7"/>
      <c r="T354" s="7"/>
      <c r="U354" s="7"/>
    </row>
    <row r="355" spans="1:21" outlineLevel="1">
      <c r="A355" s="88"/>
      <c r="B355" s="103"/>
      <c r="C355" s="103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7"/>
      <c r="P355" s="7"/>
      <c r="Q355" s="7"/>
      <c r="R355" s="7"/>
      <c r="S355" s="7"/>
      <c r="T355" s="7"/>
      <c r="U355" s="7"/>
    </row>
    <row r="356" spans="1:21" outlineLevel="1">
      <c r="A356" s="88"/>
      <c r="B356" s="103"/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7"/>
      <c r="P356" s="7"/>
      <c r="Q356" s="7"/>
      <c r="R356" s="7"/>
      <c r="S356" s="7"/>
      <c r="T356" s="7"/>
      <c r="U356" s="7"/>
    </row>
    <row r="357" spans="1:21" outlineLevel="1">
      <c r="A357" s="88"/>
      <c r="B357" s="103"/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7"/>
      <c r="P357" s="7"/>
      <c r="Q357" s="7"/>
      <c r="R357" s="7"/>
      <c r="S357" s="7"/>
      <c r="T357" s="7"/>
      <c r="U357" s="7"/>
    </row>
    <row r="358" spans="1:21" outlineLevel="1">
      <c r="A358" s="88"/>
      <c r="B358" s="103"/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7"/>
      <c r="P358" s="7"/>
      <c r="Q358" s="7"/>
      <c r="R358" s="7"/>
      <c r="S358" s="7"/>
      <c r="T358" s="7"/>
      <c r="U358" s="7"/>
    </row>
    <row r="359" spans="1:21" outlineLevel="1">
      <c r="A359" s="59"/>
      <c r="B359" s="103"/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7"/>
      <c r="P359" s="7"/>
      <c r="Q359" s="7"/>
      <c r="R359" s="7"/>
      <c r="S359" s="7"/>
      <c r="T359" s="7"/>
      <c r="U359" s="7"/>
    </row>
    <row r="360" spans="1:21" outlineLevel="1">
      <c r="A360" s="88"/>
      <c r="B360" s="103"/>
      <c r="C360" s="103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7"/>
      <c r="P360" s="7"/>
      <c r="Q360" s="7"/>
      <c r="R360" s="7"/>
      <c r="S360" s="7"/>
      <c r="T360" s="7"/>
      <c r="U360" s="7"/>
    </row>
    <row r="361" spans="1:21" outlineLevel="1">
      <c r="A361" s="88"/>
      <c r="B361" s="103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7"/>
      <c r="P361" s="7"/>
      <c r="Q361" s="7"/>
      <c r="R361" s="7"/>
      <c r="S361" s="7"/>
      <c r="T361" s="7"/>
      <c r="U361" s="7"/>
    </row>
    <row r="362" spans="1:21" outlineLevel="1">
      <c r="A362" s="88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7"/>
      <c r="P362" s="7"/>
      <c r="Q362" s="7"/>
      <c r="R362" s="7"/>
      <c r="S362" s="7"/>
      <c r="T362" s="7"/>
      <c r="U362" s="7"/>
    </row>
    <row r="363" spans="1:21" outlineLevel="1">
      <c r="A363" s="88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7"/>
      <c r="P363" s="7"/>
      <c r="Q363" s="7"/>
      <c r="R363" s="7"/>
      <c r="S363" s="7"/>
      <c r="T363" s="7"/>
      <c r="U363" s="7"/>
    </row>
    <row r="364" spans="1:21" outlineLevel="1">
      <c r="A364" s="88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7"/>
      <c r="P364" s="7"/>
      <c r="Q364" s="7"/>
      <c r="R364" s="7"/>
      <c r="S364" s="7"/>
      <c r="T364" s="7"/>
      <c r="U364" s="7"/>
    </row>
    <row r="365" spans="1:21" outlineLevel="1">
      <c r="A365" s="88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7"/>
      <c r="P365" s="7"/>
      <c r="Q365" s="7"/>
      <c r="R365" s="7"/>
      <c r="S365" s="7"/>
      <c r="T365" s="7"/>
      <c r="U365" s="7"/>
    </row>
    <row r="366" spans="1:21" outlineLevel="1">
      <c r="A366" s="88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7"/>
      <c r="P366" s="7"/>
      <c r="Q366" s="7"/>
      <c r="R366" s="7"/>
      <c r="S366" s="7"/>
      <c r="T366" s="7"/>
      <c r="U366" s="7"/>
    </row>
    <row r="367" spans="1:21" outlineLevel="1">
      <c r="A367" s="88"/>
      <c r="B367" s="103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7"/>
      <c r="P367" s="7"/>
      <c r="Q367" s="7"/>
      <c r="R367" s="7"/>
      <c r="S367" s="7"/>
      <c r="T367" s="7"/>
      <c r="U367" s="7"/>
    </row>
    <row r="368" spans="1:21" outlineLevel="1">
      <c r="A368" s="88"/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7"/>
      <c r="P368" s="7"/>
      <c r="Q368" s="7"/>
      <c r="R368" s="7"/>
      <c r="S368" s="7"/>
      <c r="T368" s="7"/>
      <c r="U368" s="7"/>
    </row>
    <row r="369" spans="1:21" outlineLevel="1">
      <c r="A369" s="88"/>
      <c r="B369" s="103"/>
      <c r="C369" s="103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7"/>
      <c r="P369" s="7"/>
      <c r="Q369" s="7"/>
      <c r="R369" s="7"/>
      <c r="S369" s="7"/>
      <c r="T369" s="7"/>
      <c r="U369" s="7"/>
    </row>
    <row r="370" spans="1:21" outlineLevel="1">
      <c r="A370" s="88"/>
      <c r="B370" s="103"/>
      <c r="C370" s="103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7"/>
      <c r="P370" s="7"/>
      <c r="Q370" s="7"/>
      <c r="R370" s="7"/>
      <c r="S370" s="7"/>
      <c r="T370" s="7"/>
      <c r="U370" s="7"/>
    </row>
    <row r="371" spans="1:21" outlineLevel="1">
      <c r="A371" s="88"/>
      <c r="B371" s="103"/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7"/>
      <c r="P371" s="7"/>
      <c r="Q371" s="7"/>
      <c r="R371" s="7"/>
      <c r="S371" s="7"/>
      <c r="T371" s="7"/>
      <c r="U371" s="7"/>
    </row>
    <row r="372" spans="1:21" outlineLevel="1">
      <c r="A372" s="59"/>
      <c r="B372" s="103"/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7"/>
      <c r="P372" s="7"/>
      <c r="Q372" s="7"/>
      <c r="R372" s="7"/>
      <c r="S372" s="7"/>
      <c r="T372" s="7"/>
      <c r="U372" s="7"/>
    </row>
    <row r="373" spans="1:21" outlineLevel="1">
      <c r="A373" s="7"/>
      <c r="B373" s="103"/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7"/>
      <c r="P373" s="7"/>
      <c r="Q373" s="7"/>
      <c r="R373" s="7"/>
      <c r="S373" s="7"/>
      <c r="T373" s="7"/>
      <c r="U373" s="7"/>
    </row>
    <row r="374" spans="1:21" outlineLevel="1">
      <c r="A374" s="88"/>
      <c r="B374" s="103"/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7"/>
      <c r="P374" s="7"/>
      <c r="Q374" s="7"/>
      <c r="R374" s="7"/>
      <c r="S374" s="7"/>
      <c r="T374" s="7"/>
      <c r="U374" s="7"/>
    </row>
    <row r="375" spans="1:21" outlineLevel="1">
      <c r="A375" s="59"/>
      <c r="B375" s="103"/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7"/>
      <c r="P375" s="7"/>
      <c r="Q375" s="7"/>
      <c r="R375" s="7"/>
      <c r="S375" s="7"/>
      <c r="T375" s="7"/>
      <c r="U375" s="7"/>
    </row>
    <row r="376" spans="1:21" outlineLevel="1">
      <c r="A376" s="88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7"/>
      <c r="P376" s="7"/>
      <c r="Q376" s="7"/>
      <c r="R376" s="7"/>
      <c r="S376" s="7"/>
      <c r="T376" s="7"/>
      <c r="U376" s="7"/>
    </row>
    <row r="377" spans="1:21" outlineLevel="1">
      <c r="A377" s="59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7"/>
      <c r="P377" s="7"/>
      <c r="Q377" s="7"/>
      <c r="R377" s="7"/>
      <c r="S377" s="7"/>
      <c r="T377" s="7"/>
      <c r="U377" s="7"/>
    </row>
    <row r="378" spans="1:21" outlineLevel="1">
      <c r="A378" s="59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7"/>
      <c r="P378" s="7"/>
      <c r="Q378" s="7"/>
      <c r="R378" s="7"/>
      <c r="S378" s="7"/>
      <c r="T378" s="7"/>
      <c r="U378" s="7"/>
    </row>
    <row r="379" spans="1:21" outlineLevel="1">
      <c r="A379" s="59"/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7"/>
      <c r="P379" s="7"/>
      <c r="Q379" s="7"/>
      <c r="R379" s="7"/>
      <c r="S379" s="7"/>
      <c r="T379" s="7"/>
      <c r="U379" s="7"/>
    </row>
    <row r="380" spans="1:21" outlineLevel="1">
      <c r="A380" s="59"/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7"/>
      <c r="P380" s="7"/>
      <c r="Q380" s="7"/>
      <c r="R380" s="7"/>
      <c r="S380" s="7"/>
      <c r="T380" s="7"/>
      <c r="U380" s="7"/>
    </row>
    <row r="381" spans="1:21" outlineLevel="1">
      <c r="A381" s="59"/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7"/>
      <c r="P381" s="7"/>
      <c r="Q381" s="7"/>
      <c r="R381" s="7"/>
      <c r="S381" s="7"/>
      <c r="T381" s="7"/>
      <c r="U381" s="7"/>
    </row>
    <row r="382" spans="1:21" outlineLevel="1">
      <c r="A382" s="59"/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7"/>
      <c r="P382" s="7"/>
      <c r="Q382" s="7"/>
      <c r="R382" s="7"/>
      <c r="S382" s="7"/>
      <c r="T382" s="7"/>
      <c r="U382" s="7"/>
    </row>
    <row r="383" spans="1:21" outlineLevel="1">
      <c r="A383" s="59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7"/>
      <c r="P383" s="7"/>
      <c r="Q383" s="7"/>
      <c r="R383" s="7"/>
      <c r="S383" s="7"/>
      <c r="T383" s="7"/>
      <c r="U383" s="7"/>
    </row>
    <row r="384" spans="1:21" outlineLevel="1">
      <c r="A384" s="59"/>
      <c r="B384" s="103"/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7"/>
      <c r="P384" s="7"/>
      <c r="Q384" s="7"/>
      <c r="R384" s="7"/>
      <c r="S384" s="7"/>
      <c r="T384" s="7"/>
      <c r="U384" s="7"/>
    </row>
    <row r="385" spans="1:21" outlineLevel="1">
      <c r="A385" s="7"/>
      <c r="B385" s="103"/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</row>
    <row r="386" spans="1:21" outlineLevel="1">
      <c r="A386" s="7"/>
      <c r="B386" s="103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</row>
    <row r="387" spans="1:21" outlineLevel="1">
      <c r="A387" s="7"/>
      <c r="B387" s="103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</row>
    <row r="388" spans="1:21" outlineLevel="1">
      <c r="A388" s="7"/>
      <c r="B388" s="103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</row>
    <row r="389" spans="1:21" outlineLevel="1">
      <c r="A389" s="7"/>
      <c r="B389" s="103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</row>
    <row r="390" spans="1:21" outlineLevel="1">
      <c r="A390" s="7"/>
      <c r="B390" s="103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</row>
    <row r="391" spans="1:21" outlineLevel="1">
      <c r="A391" s="59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</row>
    <row r="392" spans="1:21" outlineLevel="1">
      <c r="A392" s="7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</row>
    <row r="393" spans="1:21" outlineLevel="1">
      <c r="A393" s="7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</row>
    <row r="394" spans="1:21" outlineLevel="1">
      <c r="A394" s="59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</row>
    <row r="395" spans="1:21" outlineLevel="1">
      <c r="A395" s="59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</row>
    <row r="396" spans="1:21" outlineLevel="1">
      <c r="A396" s="7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</row>
    <row r="397" spans="1:21" outlineLevel="1">
      <c r="A397" s="7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</row>
    <row r="398" spans="1:21" outlineLevel="1">
      <c r="A398" s="7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</row>
    <row r="399" spans="1:21" outlineLevel="1">
      <c r="A399" s="7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</row>
    <row r="400" spans="1:21" outlineLevel="1">
      <c r="A400" s="7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</row>
    <row r="401" spans="1:21" outlineLevel="1">
      <c r="A401" s="7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</row>
    <row r="402" spans="1:21" outlineLevel="1">
      <c r="A402" s="7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</row>
    <row r="403" spans="1:21" outlineLevel="1">
      <c r="A403" s="7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7"/>
      <c r="P403" s="7"/>
      <c r="Q403" s="7"/>
      <c r="R403" s="7"/>
      <c r="S403" s="7"/>
      <c r="T403" s="7"/>
      <c r="U403" s="7"/>
    </row>
    <row r="404" spans="1:21" outlineLevel="1">
      <c r="A404" s="59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7"/>
      <c r="P404" s="7"/>
      <c r="Q404" s="7"/>
      <c r="R404" s="7"/>
      <c r="S404" s="7"/>
      <c r="T404" s="7"/>
      <c r="U404" s="7"/>
    </row>
    <row r="405" spans="1:21" outlineLevel="1">
      <c r="A405" s="59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7"/>
      <c r="P405" s="7"/>
      <c r="Q405" s="7"/>
      <c r="R405" s="7"/>
      <c r="S405" s="7"/>
      <c r="T405" s="7"/>
      <c r="U405" s="7"/>
    </row>
    <row r="406" spans="1:21" outlineLevel="1">
      <c r="A406" s="59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7"/>
      <c r="P406" s="7"/>
      <c r="Q406" s="7"/>
      <c r="R406" s="7"/>
      <c r="S406" s="7"/>
      <c r="T406" s="7"/>
      <c r="U406" s="7"/>
    </row>
    <row r="407" spans="1:21" outlineLevel="1">
      <c r="A407" s="59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7"/>
      <c r="P407" s="7"/>
      <c r="Q407" s="7"/>
      <c r="R407" s="7"/>
      <c r="S407" s="7"/>
      <c r="T407" s="7"/>
      <c r="U407" s="7"/>
    </row>
    <row r="408" spans="1:21" outlineLevel="1">
      <c r="A408" s="59"/>
      <c r="B408" s="104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7"/>
      <c r="P408" s="7"/>
      <c r="Q408" s="7"/>
      <c r="R408" s="7"/>
      <c r="S408" s="7"/>
      <c r="T408" s="7"/>
      <c r="U408" s="7"/>
    </row>
    <row r="409" spans="1:21" outlineLevel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ht="18.75" outlineLevel="1">
      <c r="A410" s="86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outlineLevel="1">
      <c r="A411" s="59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outlineLevel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 outlineLevel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outlineLevel="1">
      <c r="A414" s="2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</row>
    <row r="415" spans="1:21" outlineLevel="1">
      <c r="A415" s="7"/>
      <c r="B415" s="7"/>
      <c r="C415" s="7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outlineLevel="1">
      <c r="A416" s="59"/>
      <c r="B416" s="7"/>
      <c r="C416" s="75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7"/>
      <c r="P416" s="7"/>
      <c r="Q416" s="7"/>
      <c r="R416" s="7"/>
      <c r="S416" s="7"/>
      <c r="T416" s="7"/>
      <c r="U416" s="7"/>
    </row>
    <row r="417" spans="1:21" outlineLevel="1">
      <c r="A417" s="7"/>
      <c r="B417" s="7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"/>
      <c r="P417" s="7"/>
      <c r="Q417" s="7"/>
      <c r="R417" s="7"/>
      <c r="S417" s="7"/>
      <c r="T417" s="7"/>
      <c r="U417" s="7"/>
    </row>
    <row r="418" spans="1:21" outlineLevel="1">
      <c r="A418" s="7"/>
      <c r="B418" s="7"/>
      <c r="C418" s="75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7"/>
      <c r="P418" s="7"/>
      <c r="Q418" s="7"/>
      <c r="R418" s="7"/>
      <c r="S418" s="7"/>
      <c r="T418" s="7"/>
      <c r="U418" s="7"/>
    </row>
    <row r="419" spans="1:21" outlineLevel="1">
      <c r="A419" s="7"/>
      <c r="B419" s="7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"/>
      <c r="P419" s="7"/>
      <c r="Q419" s="7"/>
      <c r="R419" s="7"/>
      <c r="S419" s="7"/>
      <c r="T419" s="7"/>
      <c r="U419" s="7"/>
    </row>
    <row r="420" spans="1:21" outlineLevel="1">
      <c r="A420" s="7"/>
      <c r="B420" s="7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"/>
      <c r="P420" s="7"/>
      <c r="Q420" s="7"/>
      <c r="R420" s="7"/>
      <c r="S420" s="7"/>
      <c r="T420" s="7"/>
      <c r="U420" s="7"/>
    </row>
    <row r="421" spans="1:21" outlineLevel="1">
      <c r="A421" s="96"/>
      <c r="B421" s="7"/>
      <c r="C421" s="75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7"/>
      <c r="P421" s="7"/>
      <c r="Q421" s="7"/>
      <c r="R421" s="7"/>
      <c r="S421" s="7"/>
      <c r="T421" s="7"/>
      <c r="U421" s="7"/>
    </row>
    <row r="422" spans="1:21" outlineLevel="1">
      <c r="A422" s="96"/>
      <c r="B422" s="7"/>
      <c r="C422" s="75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7"/>
      <c r="P422" s="7"/>
      <c r="Q422" s="7"/>
      <c r="R422" s="7"/>
      <c r="S422" s="7"/>
      <c r="T422" s="7"/>
      <c r="U422" s="7"/>
    </row>
    <row r="423" spans="1:21" outlineLevel="1">
      <c r="A423" s="59"/>
      <c r="B423" s="7"/>
      <c r="C423" s="7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outlineLevel="1">
      <c r="A424" s="7"/>
      <c r="B424" s="104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7"/>
      <c r="P424" s="7"/>
      <c r="Q424" s="7"/>
      <c r="R424" s="7"/>
      <c r="S424" s="7"/>
      <c r="T424" s="7"/>
      <c r="U424" s="7"/>
    </row>
    <row r="425" spans="1:21" outlineLevel="1">
      <c r="A425" s="7"/>
      <c r="B425" s="7"/>
      <c r="C425" s="7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 outlineLevel="1">
      <c r="A426" s="59"/>
      <c r="B426" s="7"/>
      <c r="C426" s="75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7"/>
      <c r="P426" s="7"/>
      <c r="Q426" s="7"/>
      <c r="R426" s="7"/>
      <c r="S426" s="7"/>
      <c r="T426" s="7"/>
      <c r="U426" s="7"/>
    </row>
    <row r="427" spans="1:21" outlineLevel="1">
      <c r="A427" s="7"/>
      <c r="B427" s="7"/>
      <c r="C427" s="75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7"/>
      <c r="P427" s="7"/>
      <c r="Q427" s="7"/>
      <c r="R427" s="7"/>
      <c r="S427" s="7"/>
      <c r="T427" s="7"/>
      <c r="U427" s="7"/>
    </row>
    <row r="428" spans="1:21" outlineLevel="1">
      <c r="A428" s="59"/>
      <c r="B428" s="7"/>
      <c r="C428" s="75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7"/>
      <c r="P428" s="7"/>
      <c r="Q428" s="7"/>
      <c r="R428" s="7"/>
      <c r="S428" s="7"/>
      <c r="T428" s="7"/>
      <c r="U428" s="7"/>
    </row>
    <row r="429" spans="1:21" outlineLevel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 outlineLevel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s="108" customFormat="1" ht="18.75" outlineLevel="1">
      <c r="A431" s="106"/>
      <c r="B431" s="107"/>
      <c r="C431" s="107"/>
    </row>
    <row r="432" spans="1:21" s="108" customFormat="1" outlineLevel="1">
      <c r="A432" s="107"/>
      <c r="B432" s="109"/>
      <c r="C432" s="110"/>
      <c r="D432" s="107"/>
      <c r="E432" s="111"/>
    </row>
    <row r="433" spans="1:21" s="108" customFormat="1" outlineLevel="1">
      <c r="A433" s="107"/>
      <c r="B433" s="112"/>
      <c r="C433" s="90"/>
      <c r="D433" s="90"/>
      <c r="E433" s="111"/>
    </row>
    <row r="434" spans="1:21" s="108" customFormat="1" outlineLevel="1">
      <c r="A434" s="107"/>
      <c r="B434" s="90"/>
      <c r="C434" s="111"/>
      <c r="D434" s="90"/>
      <c r="E434" s="112"/>
    </row>
    <row r="435" spans="1:21" s="108" customFormat="1" outlineLevel="1">
      <c r="A435" s="113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</row>
    <row r="436" spans="1:21" s="108" customFormat="1" outlineLevel="1">
      <c r="A436" s="82"/>
      <c r="B436" s="107"/>
      <c r="C436" s="114"/>
      <c r="D436" s="114"/>
      <c r="E436" s="114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  <c r="P436" s="114"/>
      <c r="Q436" s="114"/>
      <c r="R436" s="114"/>
      <c r="S436" s="114"/>
      <c r="T436" s="114"/>
      <c r="U436" s="114"/>
    </row>
    <row r="437" spans="1:21" s="108" customFormat="1" outlineLevel="1">
      <c r="A437" s="81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</row>
    <row r="438" spans="1:21" s="108" customFormat="1" outlineLevel="1">
      <c r="A438" s="81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</row>
    <row r="439" spans="1:21" s="108" customFormat="1" outlineLevel="1">
      <c r="A439" s="81"/>
      <c r="B439" s="114"/>
      <c r="C439" s="114"/>
      <c r="D439" s="114"/>
      <c r="E439" s="114"/>
      <c r="F439" s="114"/>
      <c r="G439" s="114"/>
      <c r="H439" s="114"/>
      <c r="I439" s="114"/>
      <c r="J439" s="114"/>
      <c r="K439" s="114"/>
      <c r="L439" s="114"/>
      <c r="M439" s="114"/>
      <c r="N439" s="114"/>
      <c r="O439" s="114"/>
      <c r="P439" s="114"/>
      <c r="Q439" s="114"/>
      <c r="R439" s="114"/>
      <c r="S439" s="114"/>
      <c r="T439" s="114"/>
      <c r="U439" s="114"/>
    </row>
    <row r="440" spans="1:21" s="108" customFormat="1" outlineLevel="1">
      <c r="A440" s="80"/>
      <c r="B440" s="114"/>
      <c r="C440" s="114"/>
      <c r="D440" s="114"/>
      <c r="E440" s="114"/>
      <c r="F440" s="114"/>
      <c r="G440" s="114"/>
      <c r="H440" s="114"/>
      <c r="I440" s="114"/>
      <c r="J440" s="114"/>
      <c r="K440" s="114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</row>
    <row r="441" spans="1:21" s="108" customFormat="1" outlineLevel="1">
      <c r="A441" s="71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4"/>
      <c r="Q441" s="114"/>
      <c r="R441" s="114"/>
      <c r="S441" s="114"/>
      <c r="T441" s="114"/>
      <c r="U441" s="114"/>
    </row>
    <row r="442" spans="1:21" s="108" customFormat="1" outlineLevel="1">
      <c r="A442" s="82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</row>
    <row r="443" spans="1:21" s="108" customFormat="1" outlineLevel="1">
      <c r="A443" s="115"/>
      <c r="B443" s="114"/>
      <c r="C443" s="114"/>
      <c r="D443" s="114"/>
      <c r="E443" s="114"/>
      <c r="F443" s="114"/>
      <c r="G443" s="114"/>
      <c r="H443" s="114"/>
      <c r="I443" s="114"/>
      <c r="J443" s="114"/>
      <c r="K443" s="114"/>
      <c r="L443" s="114"/>
      <c r="M443" s="114"/>
      <c r="N443" s="114"/>
      <c r="O443" s="114"/>
      <c r="P443" s="114"/>
      <c r="Q443" s="114"/>
      <c r="R443" s="114"/>
      <c r="S443" s="114"/>
      <c r="T443" s="114"/>
      <c r="U443" s="114"/>
    </row>
    <row r="444" spans="1:21" s="108" customFormat="1" outlineLevel="1">
      <c r="A444" s="115"/>
      <c r="B444" s="114"/>
      <c r="C444" s="114"/>
      <c r="D444" s="114"/>
      <c r="E444" s="114"/>
      <c r="F444" s="114"/>
      <c r="G444" s="114"/>
      <c r="H444" s="114"/>
      <c r="I444" s="114"/>
      <c r="J444" s="114"/>
      <c r="K444" s="114"/>
      <c r="L444" s="114"/>
      <c r="M444" s="114"/>
      <c r="N444" s="114"/>
      <c r="O444" s="114"/>
      <c r="P444" s="114"/>
      <c r="Q444" s="114"/>
      <c r="R444" s="114"/>
      <c r="S444" s="114"/>
      <c r="T444" s="114"/>
      <c r="U444" s="114"/>
    </row>
    <row r="445" spans="1:21" s="108" customFormat="1" outlineLevel="1">
      <c r="A445" s="115"/>
      <c r="B445" s="114"/>
      <c r="C445" s="114"/>
      <c r="D445" s="114"/>
      <c r="E445" s="114"/>
      <c r="F445" s="114"/>
      <c r="G445" s="114"/>
      <c r="H445" s="114"/>
      <c r="I445" s="114"/>
      <c r="J445" s="114"/>
      <c r="K445" s="114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</row>
    <row r="446" spans="1:21" s="108" customFormat="1" outlineLevel="1">
      <c r="A446" s="115"/>
      <c r="B446" s="114"/>
      <c r="C446" s="114"/>
      <c r="D446" s="114"/>
      <c r="E446" s="114"/>
      <c r="F446" s="114"/>
      <c r="G446" s="114"/>
      <c r="H446" s="114"/>
      <c r="I446" s="114"/>
      <c r="J446" s="114"/>
      <c r="K446" s="114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</row>
    <row r="447" spans="1:21" s="108" customFormat="1" outlineLevel="1">
      <c r="A447" s="115"/>
      <c r="B447" s="114"/>
      <c r="C447" s="114"/>
      <c r="D447" s="114"/>
      <c r="E447" s="114"/>
      <c r="F447" s="114"/>
      <c r="G447" s="114"/>
      <c r="H447" s="114"/>
      <c r="I447" s="114"/>
      <c r="J447" s="114"/>
      <c r="K447" s="114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</row>
    <row r="448" spans="1:21" s="108" customFormat="1" outlineLevel="1">
      <c r="A448" s="85"/>
      <c r="B448" s="114"/>
      <c r="C448" s="114"/>
      <c r="D448" s="114"/>
      <c r="E448" s="114"/>
      <c r="F448" s="114"/>
      <c r="G448" s="114"/>
      <c r="H448" s="114"/>
      <c r="I448" s="114"/>
      <c r="J448" s="114"/>
      <c r="K448" s="114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</row>
    <row r="449" spans="1:21" s="108" customFormat="1" outlineLevel="1">
      <c r="A449" s="115"/>
      <c r="B449" s="114"/>
      <c r="C449" s="114"/>
      <c r="D449" s="114"/>
      <c r="E449" s="114"/>
      <c r="F449" s="114"/>
      <c r="G449" s="114"/>
      <c r="H449" s="114"/>
      <c r="I449" s="114"/>
      <c r="J449" s="114"/>
      <c r="K449" s="114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</row>
    <row r="450" spans="1:21" s="108" customFormat="1" outlineLevel="1">
      <c r="A450" s="115"/>
      <c r="B450" s="114"/>
      <c r="C450" s="114"/>
      <c r="D450" s="114"/>
      <c r="E450" s="114"/>
      <c r="F450" s="114"/>
      <c r="G450" s="114"/>
      <c r="H450" s="114"/>
      <c r="I450" s="114"/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</row>
    <row r="451" spans="1:21" s="108" customFormat="1" outlineLevel="1">
      <c r="A451" s="115"/>
      <c r="B451" s="114"/>
      <c r="C451" s="114"/>
      <c r="D451" s="114"/>
      <c r="E451" s="114"/>
      <c r="F451" s="114"/>
      <c r="G451" s="114"/>
      <c r="H451" s="114"/>
      <c r="I451" s="114"/>
      <c r="J451" s="114"/>
      <c r="K451" s="114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</row>
    <row r="452" spans="1:21" s="108" customFormat="1" outlineLevel="1">
      <c r="A452" s="115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</row>
    <row r="453" spans="1:21" s="108" customFormat="1" outlineLevel="1">
      <c r="A453" s="115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</row>
    <row r="454" spans="1:21" s="108" customFormat="1" outlineLevel="1">
      <c r="A454" s="82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</row>
    <row r="455" spans="1:21" s="108" customFormat="1" outlineLevel="1">
      <c r="A455" s="82"/>
      <c r="B455" s="114"/>
      <c r="C455" s="114"/>
      <c r="D455" s="114"/>
      <c r="E455" s="114"/>
      <c r="F455" s="114"/>
      <c r="G455" s="114"/>
      <c r="H455" s="114"/>
      <c r="I455" s="114"/>
      <c r="J455" s="114"/>
      <c r="K455" s="114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</row>
    <row r="456" spans="1:21" s="108" customFormat="1" outlineLevel="1">
      <c r="A456" s="82"/>
      <c r="B456" s="114"/>
      <c r="C456" s="114"/>
      <c r="D456" s="114"/>
      <c r="E456" s="114"/>
      <c r="F456" s="114"/>
      <c r="G456" s="114"/>
      <c r="H456" s="114"/>
      <c r="I456" s="114"/>
      <c r="J456" s="114"/>
      <c r="K456" s="114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</row>
    <row r="457" spans="1:21" s="108" customFormat="1" outlineLevel="1">
      <c r="A457" s="82"/>
      <c r="B457" s="114"/>
      <c r="C457" s="114"/>
      <c r="D457" s="114"/>
      <c r="E457" s="114"/>
      <c r="F457" s="114"/>
      <c r="G457" s="114"/>
      <c r="H457" s="114"/>
      <c r="I457" s="114"/>
      <c r="J457" s="114"/>
      <c r="K457" s="114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</row>
    <row r="458" spans="1:21" s="108" customFormat="1" outlineLevel="1">
      <c r="A458" s="81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</row>
    <row r="459" spans="1:21" s="108" customFormat="1" outlineLevel="1">
      <c r="A459" s="81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</row>
    <row r="460" spans="1:21" s="108" customFormat="1" outlineLevel="1">
      <c r="A460" s="82"/>
      <c r="B460" s="114"/>
      <c r="C460" s="114"/>
      <c r="D460" s="114"/>
      <c r="E460" s="114"/>
      <c r="F460" s="114"/>
      <c r="G460" s="114"/>
      <c r="H460" s="114"/>
      <c r="I460" s="114"/>
      <c r="J460" s="114"/>
      <c r="K460" s="114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</row>
    <row r="461" spans="1:21" s="108" customFormat="1" outlineLevel="1">
      <c r="A461" s="84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</row>
    <row r="462" spans="1:21" s="108" customFormat="1" outlineLevel="1">
      <c r="A462" s="81"/>
      <c r="B462" s="114"/>
      <c r="C462" s="114"/>
      <c r="D462" s="114"/>
      <c r="E462" s="114"/>
      <c r="F462" s="114"/>
      <c r="G462" s="114"/>
      <c r="H462" s="114"/>
      <c r="I462" s="114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</row>
    <row r="463" spans="1:21" s="108" customFormat="1" ht="13.9" customHeight="1" outlineLevel="1">
      <c r="A463" s="80"/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</row>
    <row r="464" spans="1:21" s="118" customFormat="1" outlineLevel="1">
      <c r="A464" s="117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</row>
    <row r="465" spans="1:21" s="108" customFormat="1" outlineLevel="1">
      <c r="A465" s="80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</row>
    <row r="466" spans="1:21" s="108" customFormat="1" outlineLevel="1">
      <c r="A466" s="81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</row>
    <row r="467" spans="1:21" s="108" customFormat="1" outlineLevel="1">
      <c r="A467" s="81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</row>
    <row r="468" spans="1:21" s="108" customFormat="1" outlineLevel="1">
      <c r="A468" s="81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</row>
    <row r="469" spans="1:21" s="108" customFormat="1" outlineLevel="1">
      <c r="A469" s="81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</row>
    <row r="470" spans="1:21" s="108" customFormat="1" outlineLevel="1">
      <c r="A470" s="82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</row>
    <row r="471" spans="1:21" s="118" customFormat="1" outlineLevel="1">
      <c r="A471" s="119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</row>
    <row r="472" spans="1:21" s="108" customFormat="1" outlineLevel="1">
      <c r="A472"/>
      <c r="B472"/>
      <c r="C472"/>
      <c r="D472"/>
      <c r="E472"/>
      <c r="F472"/>
      <c r="G472"/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</row>
    <row r="473" spans="1:21" s="108" customFormat="1" outlineLevel="1">
      <c r="A473"/>
      <c r="B473"/>
      <c r="C473"/>
      <c r="D473"/>
      <c r="E473"/>
      <c r="F473"/>
      <c r="G473"/>
      <c r="H473" s="114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</row>
    <row r="474" spans="1:21" s="108" customFormat="1" outlineLevel="1">
      <c r="A474"/>
      <c r="B474"/>
      <c r="C474"/>
      <c r="D474"/>
      <c r="E474"/>
      <c r="F474"/>
      <c r="G474"/>
      <c r="H474" s="114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</row>
    <row r="475" spans="1:21" s="108" customFormat="1" outlineLevel="1">
      <c r="A475"/>
      <c r="B475"/>
      <c r="C475"/>
      <c r="D475"/>
      <c r="E475"/>
      <c r="F475"/>
      <c r="G475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</row>
    <row r="476" spans="1:21" s="108" customFormat="1" outlineLevel="1">
      <c r="A476"/>
      <c r="B476"/>
      <c r="C476"/>
      <c r="D476"/>
      <c r="E476"/>
      <c r="F476"/>
      <c r="G476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</row>
    <row r="477" spans="1:21" s="118" customFormat="1" outlineLevel="1">
      <c r="A477"/>
      <c r="B477"/>
      <c r="C477"/>
      <c r="D477"/>
      <c r="E477"/>
      <c r="F477"/>
      <c r="G477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</row>
    <row r="478" spans="1:21" s="108" customFormat="1" outlineLevel="1">
      <c r="A478"/>
      <c r="B478"/>
      <c r="C478"/>
      <c r="D478"/>
      <c r="E478"/>
      <c r="F478"/>
      <c r="G478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</row>
    <row r="479" spans="1:21" s="108" customFormat="1" outlineLevel="1">
      <c r="A479"/>
      <c r="B479"/>
      <c r="C479"/>
      <c r="D479"/>
      <c r="E479"/>
      <c r="F479"/>
      <c r="G479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</row>
    <row r="480" spans="1:21" s="108" customFormat="1" outlineLevel="1">
      <c r="A480"/>
      <c r="B480"/>
      <c r="C480"/>
      <c r="D480"/>
      <c r="E480"/>
      <c r="F480"/>
      <c r="G480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</row>
    <row r="481" spans="1:21" s="118" customFormat="1" outlineLevel="1">
      <c r="A481"/>
      <c r="B481"/>
      <c r="C481"/>
      <c r="D481"/>
      <c r="E481"/>
      <c r="F481"/>
      <c r="G481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</row>
    <row r="482" spans="1:21" s="108" customFormat="1" outlineLevel="1">
      <c r="A482"/>
      <c r="B482"/>
      <c r="C482"/>
      <c r="D482"/>
      <c r="E482"/>
      <c r="F482"/>
      <c r="G482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</row>
    <row r="483" spans="1:21" s="118" customFormat="1" outlineLevel="1">
      <c r="A483"/>
      <c r="B483"/>
      <c r="C483"/>
      <c r="D483"/>
      <c r="E483"/>
      <c r="F483"/>
      <c r="G483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</row>
    <row r="484" spans="1:21" s="108" customFormat="1" outlineLevel="1">
      <c r="A484"/>
      <c r="B484"/>
      <c r="C484"/>
      <c r="D484"/>
      <c r="E484"/>
      <c r="F484"/>
      <c r="G48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</row>
    <row r="485" spans="1:21" s="108" customFormat="1" outlineLevel="1">
      <c r="A485"/>
      <c r="B485"/>
      <c r="C485"/>
      <c r="D485"/>
      <c r="E485"/>
      <c r="F485"/>
      <c r="G485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</row>
    <row r="486" spans="1:21" s="108" customFormat="1" outlineLevel="1">
      <c r="A486"/>
      <c r="B486"/>
      <c r="C486"/>
      <c r="D486"/>
      <c r="E486"/>
      <c r="F486"/>
      <c r="G486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</row>
    <row r="487" spans="1:21" outlineLevel="1">
      <c r="A487"/>
      <c r="B487"/>
      <c r="C487"/>
      <c r="D487"/>
      <c r="E487"/>
      <c r="F487"/>
      <c r="G48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outlineLevel="1">
      <c r="A488"/>
      <c r="B488"/>
      <c r="C488"/>
      <c r="D488"/>
      <c r="E488"/>
      <c r="F488"/>
      <c r="G488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outlineLevel="1">
      <c r="A489"/>
      <c r="B489"/>
      <c r="C489"/>
      <c r="D489"/>
      <c r="E489"/>
      <c r="F489"/>
      <c r="G489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t="18.75" outlineLevel="1">
      <c r="A490" s="8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outlineLevel="1">
      <c r="A491" s="59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outlineLevel="1">
      <c r="A492" s="120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7"/>
      <c r="N492" s="7"/>
      <c r="O492" s="7"/>
      <c r="P492" s="7"/>
      <c r="Q492" s="7"/>
      <c r="R492" s="7"/>
      <c r="S492" s="7"/>
      <c r="T492" s="7"/>
      <c r="U492" s="7"/>
    </row>
    <row r="493" spans="1:21" outlineLevel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outlineLevel="1">
      <c r="A494" s="2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idden="1" outlineLevel="2">
      <c r="A495" s="59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idden="1" outlineLevel="2">
      <c r="A496" s="88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idden="1" outlineLevel="2">
      <c r="A497" s="88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idden="1" outlineLevel="2">
      <c r="A498" s="121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idden="1" outlineLevel="2">
      <c r="A499" s="88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idden="1" outlineLevel="2">
      <c r="A500" s="7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idden="1" outlineLevel="2">
      <c r="A501" s="5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idden="1" outlineLevel="2">
      <c r="A502" s="88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idden="1" outlineLevel="2">
      <c r="A503" s="88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2">
      <c r="A504" s="88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2">
      <c r="A505" s="88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2">
      <c r="A506" s="88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2">
      <c r="A507" s="88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2">
      <c r="A508" s="88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2">
      <c r="A509" s="88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2">
      <c r="A510" s="88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idden="1" outlineLevel="2">
      <c r="A511" s="88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idden="1" outlineLevel="2">
      <c r="A512" s="7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idden="1" outlineLevel="2">
      <c r="A513" s="7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idden="1" outlineLevel="2">
      <c r="A514" s="7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idden="1" outlineLevel="2">
      <c r="A515" s="88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idden="1" outlineLevel="2">
      <c r="A516" s="7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idden="1" outlineLevel="2">
      <c r="A517" s="7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idden="1" outlineLevel="2">
      <c r="A518" s="5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idden="1" outlineLevel="2">
      <c r="A519" s="88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7"/>
      <c r="N519" s="7"/>
      <c r="O519" s="7"/>
      <c r="P519" s="7"/>
      <c r="Q519" s="7"/>
      <c r="R519" s="7"/>
      <c r="S519" s="7"/>
      <c r="T519" s="7"/>
      <c r="U519" s="7"/>
    </row>
    <row r="520" spans="1:21" outlineLevel="1" collapsed="1">
      <c r="A520" s="5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5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7"/>
      <c r="N521" s="7"/>
      <c r="O521" s="7"/>
      <c r="P521" s="7"/>
      <c r="Q521" s="7"/>
      <c r="R521" s="7"/>
      <c r="S521" s="7"/>
      <c r="T521" s="7"/>
      <c r="U521" s="7"/>
    </row>
    <row r="522" spans="1:21" outlineLevel="1">
      <c r="A522" s="5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7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7"/>
      <c r="N523" s="7"/>
      <c r="O523" s="7"/>
      <c r="P523" s="7"/>
      <c r="Q523" s="7"/>
      <c r="R523" s="7"/>
      <c r="S523" s="7"/>
      <c r="T523" s="7"/>
      <c r="U523" s="7"/>
    </row>
    <row r="524" spans="1:21" outlineLevel="1">
      <c r="A524" s="7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5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5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7"/>
      <c r="N526" s="7"/>
      <c r="O526" s="7"/>
      <c r="P526" s="7"/>
      <c r="Q526" s="7"/>
      <c r="R526" s="7"/>
      <c r="S526" s="7"/>
      <c r="T526" s="7"/>
      <c r="U526" s="7"/>
    </row>
    <row r="527" spans="1:21" outlineLevel="1">
      <c r="A527" s="5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7"/>
      <c r="N527" s="7"/>
      <c r="O527" s="7"/>
      <c r="P527" s="7"/>
      <c r="Q527" s="7"/>
      <c r="R527" s="7"/>
      <c r="S527" s="7"/>
      <c r="T527" s="7"/>
      <c r="U527" s="7"/>
    </row>
    <row r="528" spans="1:21" outlineLevel="1">
      <c r="A528" s="5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7"/>
      <c r="N528" s="7"/>
      <c r="O528" s="7"/>
      <c r="P528" s="7"/>
      <c r="Q528" s="7"/>
      <c r="R528" s="7"/>
      <c r="S528" s="7"/>
      <c r="T528" s="7"/>
      <c r="U528" s="7"/>
    </row>
    <row r="529" spans="4:12" s="7" customFormat="1">
      <c r="D529" s="89"/>
      <c r="E529" s="89"/>
      <c r="F529" s="89"/>
      <c r="G529" s="89"/>
      <c r="H529" s="89"/>
      <c r="I529" s="89"/>
      <c r="J529" s="89"/>
      <c r="K529" s="89"/>
      <c r="L529" s="89"/>
    </row>
    <row r="530" spans="4:12" s="7" customFormat="1">
      <c r="D530" s="89"/>
      <c r="E530" s="89"/>
      <c r="F530" s="89"/>
      <c r="G530" s="89"/>
      <c r="H530" s="89"/>
      <c r="I530" s="89"/>
      <c r="J530" s="89"/>
      <c r="K530" s="89"/>
      <c r="L530" s="89"/>
    </row>
    <row r="531" spans="4:12" s="7" customFormat="1">
      <c r="D531" s="89"/>
      <c r="E531" s="89"/>
      <c r="F531" s="89"/>
      <c r="G531" s="89"/>
      <c r="H531" s="89"/>
      <c r="I531" s="89"/>
      <c r="J531" s="89"/>
      <c r="K531" s="89"/>
      <c r="L531" s="89"/>
    </row>
    <row r="532" spans="4:12" s="7" customFormat="1">
      <c r="D532" s="89"/>
      <c r="E532" s="89"/>
      <c r="F532" s="89"/>
      <c r="G532" s="89"/>
      <c r="H532" s="89"/>
      <c r="I532" s="89"/>
      <c r="J532" s="89"/>
      <c r="K532" s="89"/>
      <c r="L532" s="89"/>
    </row>
    <row r="533" spans="4:12" s="7" customFormat="1">
      <c r="D533" s="89"/>
      <c r="E533" s="89"/>
      <c r="F533" s="89"/>
      <c r="G533" s="89"/>
      <c r="H533" s="89"/>
      <c r="I533" s="89"/>
      <c r="J533" s="89"/>
      <c r="K533" s="89"/>
      <c r="L533" s="89"/>
    </row>
    <row r="534" spans="4:12" s="7" customFormat="1"/>
    <row r="535" spans="4:12" s="7" customFormat="1"/>
    <row r="536" spans="4:12" s="7" customFormat="1"/>
    <row r="537" spans="4:12" s="7" customFormat="1"/>
    <row r="538" spans="4:12" s="7" customFormat="1"/>
    <row r="539" spans="4:12" s="7" customFormat="1"/>
    <row r="540" spans="4:12" s="7" customFormat="1"/>
    <row r="541" spans="4:12" s="7" customFormat="1"/>
    <row r="542" spans="4:12" s="7" customFormat="1"/>
    <row r="543" spans="4:12" s="7" customFormat="1"/>
    <row r="544" spans="4:12" s="7" customFormat="1"/>
    <row r="545" s="7" customFormat="1"/>
    <row r="546" s="7" customFormat="1"/>
    <row r="547" s="7" customFormat="1"/>
    <row r="548" s="7" customFormat="1"/>
    <row r="549" s="7" customFormat="1"/>
    <row r="550" s="7" customFormat="1"/>
    <row r="551" s="7" customFormat="1"/>
    <row r="552" s="7" customFormat="1"/>
    <row r="553" s="7" customFormat="1"/>
    <row r="554" s="7" customFormat="1"/>
    <row r="555" s="7" customFormat="1"/>
    <row r="556" s="7" customFormat="1"/>
    <row r="557" s="7" customFormat="1"/>
    <row r="558" s="7" customFormat="1"/>
    <row r="559" s="7" customFormat="1"/>
    <row r="560" s="7" customFormat="1"/>
    <row r="561" s="7" customFormat="1"/>
    <row r="562" s="7" customFormat="1"/>
    <row r="563" s="7" customFormat="1"/>
    <row r="564" s="7" customFormat="1"/>
    <row r="565" s="7" customFormat="1"/>
    <row r="566" s="7" customFormat="1"/>
    <row r="567" s="7" customFormat="1"/>
    <row r="568" s="7" customFormat="1"/>
    <row r="569" s="7" customFormat="1"/>
    <row r="570" s="7" customFormat="1"/>
    <row r="571" s="7" customFormat="1"/>
    <row r="572" s="7" customFormat="1"/>
    <row r="573" s="7" customFormat="1"/>
    <row r="574" s="7" customFormat="1"/>
    <row r="575" s="7" customFormat="1"/>
    <row r="576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  <row r="741" s="7" customFormat="1"/>
    <row r="742" s="7" customFormat="1"/>
  </sheetData>
  <pageMargins left="0.18" right="0.17" top="0.37" bottom="0.4" header="0.17" footer="0.21"/>
  <pageSetup scale="54" orientation="landscape" r:id="rId1"/>
  <headerFooter alignWithMargins="0">
    <oddHeader>&amp;L&amp;12Enron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2:H29"/>
  <sheetViews>
    <sheetView zoomScale="75" zoomScaleNormal="75" workbookViewId="0">
      <selection activeCell="A9" sqref="A9"/>
    </sheetView>
  </sheetViews>
  <sheetFormatPr defaultRowHeight="12.75"/>
  <cols>
    <col min="1" max="1" width="21.28515625" style="18" bestFit="1" customWidth="1"/>
    <col min="2" max="2" width="4" style="18" customWidth="1"/>
    <col min="3" max="3" width="17.28515625" style="18" bestFit="1" customWidth="1"/>
    <col min="4" max="4" width="3.5703125" style="18" customWidth="1"/>
    <col min="5" max="5" width="12" style="18" bestFit="1" customWidth="1"/>
    <col min="6" max="6" width="10.7109375" style="18" customWidth="1"/>
    <col min="7" max="7" width="9.140625" style="18"/>
    <col min="8" max="8" width="11.140625" style="18" bestFit="1" customWidth="1"/>
    <col min="9" max="16384" width="9.140625" style="18"/>
  </cols>
  <sheetData>
    <row r="2" spans="1:8" ht="18.75">
      <c r="A2" s="473" t="s">
        <v>126</v>
      </c>
    </row>
    <row r="3" spans="1:8" ht="15.75">
      <c r="A3" s="283"/>
    </row>
    <row r="4" spans="1:8">
      <c r="A4" s="418" t="s">
        <v>127</v>
      </c>
      <c r="B4" s="52"/>
      <c r="C4" s="418" t="s">
        <v>225</v>
      </c>
      <c r="D4" s="52"/>
      <c r="E4" s="564" t="s">
        <v>240</v>
      </c>
      <c r="F4" s="564"/>
    </row>
    <row r="5" spans="1:8">
      <c r="E5" s="6"/>
    </row>
    <row r="6" spans="1:8">
      <c r="E6" s="6"/>
    </row>
    <row r="7" spans="1:8">
      <c r="A7" s="17" t="s">
        <v>11</v>
      </c>
      <c r="C7" s="471">
        <f>[9]Depreciation!$B$70</f>
        <v>0.125039438479223</v>
      </c>
      <c r="E7" s="21">
        <v>216589.49208676559</v>
      </c>
      <c r="F7" s="471">
        <f>E7/$E$17</f>
        <v>0.15498460786219534</v>
      </c>
      <c r="H7" s="21">
        <f>Brownsville!C73</f>
        <v>216589.49208721155</v>
      </c>
    </row>
    <row r="8" spans="1:8">
      <c r="A8" s="17" t="s">
        <v>12</v>
      </c>
      <c r="C8" s="471">
        <f>[9]Depreciation!$B$71</f>
        <v>0.1511835224699338</v>
      </c>
      <c r="E8" s="21">
        <v>218165.69023348621</v>
      </c>
      <c r="F8" s="471">
        <f>E8/$E$17</f>
        <v>0.15611248553220139</v>
      </c>
      <c r="H8" s="21">
        <f>Caledonia!C73</f>
        <v>218165.69023406587</v>
      </c>
    </row>
    <row r="9" spans="1:8">
      <c r="A9" s="41" t="s">
        <v>13</v>
      </c>
      <c r="C9" s="472">
        <f>[9]Depreciation!$B$72</f>
        <v>0.14539217477626698</v>
      </c>
      <c r="E9" s="53">
        <v>166986.33163370928</v>
      </c>
      <c r="F9" s="472">
        <f>E9/$E$17</f>
        <v>0.11949015105603232</v>
      </c>
      <c r="H9" s="53">
        <f>'New Albany'!C73</f>
        <v>166986.33163410609</v>
      </c>
    </row>
    <row r="10" spans="1:8">
      <c r="A10" s="17" t="s">
        <v>128</v>
      </c>
      <c r="C10" s="471">
        <f>SUM(C7:C9)</f>
        <v>0.42161513572542375</v>
      </c>
      <c r="E10" s="58">
        <f>SUM(E7:E9)</f>
        <v>601741.51395396108</v>
      </c>
      <c r="F10" s="471">
        <f>SUM(F7:F9)</f>
        <v>0.43058724445042906</v>
      </c>
      <c r="H10" s="21">
        <f>SUM(H7:H9)</f>
        <v>601741.51395538356</v>
      </c>
    </row>
    <row r="11" spans="1:8">
      <c r="A11" s="41"/>
      <c r="C11" s="471"/>
      <c r="E11" s="58"/>
      <c r="F11" s="471"/>
      <c r="H11" s="21"/>
    </row>
    <row r="12" spans="1:8">
      <c r="A12" s="17" t="s">
        <v>142</v>
      </c>
      <c r="C12" s="471">
        <f>[9]Depreciation!$B$73</f>
        <v>0.17074206551655802</v>
      </c>
      <c r="E12" s="21">
        <v>246075.52605131376</v>
      </c>
      <c r="F12" s="471">
        <f>E12/$E$17</f>
        <v>0.17608388358133401</v>
      </c>
      <c r="H12" s="21">
        <f>Gleason!C73</f>
        <v>246075.52605216138</v>
      </c>
    </row>
    <row r="13" spans="1:8">
      <c r="A13" s="17" t="s">
        <v>14</v>
      </c>
      <c r="C13" s="471">
        <f>[9]Depreciation!$B$74</f>
        <v>0.1561848046993598</v>
      </c>
      <c r="E13" s="21">
        <v>238571.83265229475</v>
      </c>
      <c r="F13" s="471">
        <f>E13/$E$17</f>
        <v>0.17071447730146136</v>
      </c>
      <c r="H13" s="21">
        <f>Wheatland!C73</f>
        <v>238571.83265029709</v>
      </c>
    </row>
    <row r="14" spans="1:8">
      <c r="A14" s="41" t="s">
        <v>15</v>
      </c>
      <c r="C14" s="472">
        <f>[9]Depreciation!$B$75</f>
        <v>0.25145799405865837</v>
      </c>
      <c r="E14" s="53">
        <v>311101.46573362255</v>
      </c>
      <c r="F14" s="472">
        <f>E14/$E$17</f>
        <v>0.22261439466677552</v>
      </c>
      <c r="H14" s="53">
        <f>Wilton!C73</f>
        <v>311101.46573335014</v>
      </c>
    </row>
    <row r="15" spans="1:8">
      <c r="A15" s="17" t="s">
        <v>128</v>
      </c>
      <c r="C15" s="471">
        <f>SUM(C12:C14)</f>
        <v>0.57838486427457614</v>
      </c>
      <c r="E15" s="58">
        <f>SUM(E12:E14)</f>
        <v>795748.82443723106</v>
      </c>
      <c r="F15" s="471">
        <f>SUM(F12:F14)</f>
        <v>0.56941275554957094</v>
      </c>
      <c r="H15" s="21">
        <f>SUM(H12:H14)</f>
        <v>795748.82443580858</v>
      </c>
    </row>
    <row r="16" spans="1:8">
      <c r="A16" s="41"/>
      <c r="C16" s="468"/>
      <c r="E16" s="122"/>
      <c r="F16" s="468"/>
      <c r="H16" s="21"/>
    </row>
    <row r="17" spans="1:8" ht="13.5" thickBot="1">
      <c r="A17" s="17" t="s">
        <v>27</v>
      </c>
      <c r="B17" s="467"/>
      <c r="C17" s="470">
        <f>SUM(C10,C15)</f>
        <v>0.99999999999999989</v>
      </c>
      <c r="D17" s="467"/>
      <c r="E17" s="469">
        <f>E15+E10</f>
        <v>1397490.3383911923</v>
      </c>
      <c r="F17" s="470">
        <f>F15+F10</f>
        <v>1</v>
      </c>
      <c r="H17" s="21">
        <f>H15+H10</f>
        <v>1397490.3383911923</v>
      </c>
    </row>
    <row r="18" spans="1:8" ht="13.5" thickTop="1">
      <c r="B18" s="6"/>
      <c r="E18" s="6"/>
    </row>
    <row r="19" spans="1:8">
      <c r="B19" s="6"/>
      <c r="C19" s="6"/>
      <c r="D19" s="6"/>
    </row>
    <row r="20" spans="1:8">
      <c r="B20" s="419"/>
      <c r="C20" s="420"/>
    </row>
    <row r="25" spans="1:8">
      <c r="A25" s="41" t="s">
        <v>304</v>
      </c>
    </row>
    <row r="26" spans="1:8">
      <c r="A26" s="18" t="s">
        <v>313</v>
      </c>
    </row>
    <row r="27" spans="1:8">
      <c r="A27" s="18" t="s">
        <v>316</v>
      </c>
    </row>
    <row r="28" spans="1:8">
      <c r="A28" s="18" t="s">
        <v>305</v>
      </c>
    </row>
    <row r="29" spans="1:8">
      <c r="A29" s="18" t="s">
        <v>306</v>
      </c>
    </row>
  </sheetData>
  <mergeCells count="1">
    <mergeCell ref="E4:F4"/>
  </mergeCells>
  <pageMargins left="0.18" right="0.17" top="0.37" bottom="0.4" header="0.17" footer="0.21"/>
  <pageSetup scale="90" orientation="landscape" r:id="rId1"/>
  <headerFooter alignWithMargins="0">
    <oddHeader>&amp;L&amp;12Enron Generation Company</oddHeader>
    <oddFooter>&amp;L&amp;T, &amp;D&amp;C&amp;F&amp;RPage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629" r:id="rId4" name="Button 197">
              <controlPr defaultSize="0" print="0" autoFill="0" autoPict="0" macro="[0]!CFBreakdown">
                <anchor moveWithCells="1" sizeWithCells="1">
                  <from>
                    <xdr:col>8</xdr:col>
                    <xdr:colOff>95250</xdr:colOff>
                    <xdr:row>2</xdr:row>
                    <xdr:rowOff>47625</xdr:rowOff>
                  </from>
                  <to>
                    <xdr:col>10</xdr:col>
                    <xdr:colOff>466725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2:AN71"/>
  <sheetViews>
    <sheetView zoomScale="75" zoomScaleNormal="75" workbookViewId="0"/>
  </sheetViews>
  <sheetFormatPr defaultRowHeight="12.75"/>
  <cols>
    <col min="1" max="1" width="48.5703125" bestFit="1" customWidth="1"/>
    <col min="3" max="5" width="13.7109375" customWidth="1"/>
    <col min="6" max="6" width="5.140625" customWidth="1"/>
    <col min="7" max="9" width="13.7109375" customWidth="1"/>
    <col min="10" max="10" width="4.5703125" customWidth="1"/>
    <col min="11" max="11" width="13.7109375" customWidth="1"/>
    <col min="12" max="12" width="4.7109375" hidden="1" customWidth="1"/>
    <col min="13" max="17" width="13.7109375" hidden="1" customWidth="1"/>
    <col min="18" max="18" width="4.42578125" hidden="1" customWidth="1"/>
    <col min="19" max="19" width="23" hidden="1" customWidth="1"/>
    <col min="20" max="21" width="0" hidden="1" customWidth="1"/>
    <col min="23" max="23" width="23" bestFit="1" customWidth="1"/>
  </cols>
  <sheetData>
    <row r="2" spans="1:40" ht="18.75">
      <c r="A2" s="473" t="s">
        <v>241</v>
      </c>
    </row>
    <row r="4" spans="1:40" ht="13.5" thickBot="1"/>
    <row r="5" spans="1:40" ht="15.75">
      <c r="A5" s="167" t="s">
        <v>2</v>
      </c>
      <c r="B5" s="193"/>
      <c r="C5" s="556" t="s">
        <v>3</v>
      </c>
      <c r="D5" s="556"/>
      <c r="E5" s="556"/>
      <c r="F5" s="29"/>
      <c r="G5" s="556" t="s">
        <v>4</v>
      </c>
      <c r="H5" s="556"/>
      <c r="I5" s="556"/>
      <c r="J5" s="194"/>
      <c r="K5" s="476"/>
      <c r="L5" s="148"/>
      <c r="M5" s="555" t="s">
        <v>243</v>
      </c>
      <c r="N5" s="555"/>
      <c r="O5" s="555"/>
      <c r="P5" s="555"/>
      <c r="Q5" s="555"/>
      <c r="R5" s="433"/>
      <c r="S5" s="516" t="s">
        <v>249</v>
      </c>
      <c r="T5" s="433"/>
      <c r="U5" s="433"/>
      <c r="V5" s="433"/>
      <c r="W5" s="433"/>
      <c r="X5" s="433"/>
      <c r="Y5" s="433"/>
      <c r="Z5" s="433"/>
      <c r="AA5" s="433"/>
      <c r="AB5" s="433"/>
      <c r="AC5" s="433"/>
      <c r="AD5" s="433"/>
      <c r="AE5" s="433"/>
      <c r="AF5" s="433"/>
      <c r="AG5" s="433"/>
      <c r="AH5" s="433"/>
      <c r="AI5" s="433"/>
      <c r="AJ5" s="433"/>
      <c r="AK5" s="433"/>
      <c r="AL5" s="433"/>
      <c r="AM5" s="433"/>
      <c r="AN5" s="433"/>
    </row>
    <row r="6" spans="1:40" ht="15.75">
      <c r="A6" s="180"/>
      <c r="B6" s="172"/>
      <c r="C6" s="172"/>
      <c r="D6" s="172"/>
      <c r="E6" s="172"/>
      <c r="F6" s="19"/>
      <c r="G6" s="172"/>
      <c r="H6" s="172"/>
      <c r="I6" s="172"/>
      <c r="J6" s="127"/>
      <c r="K6" s="181"/>
      <c r="L6" s="148"/>
      <c r="M6" s="172"/>
      <c r="N6" s="172"/>
      <c r="O6" s="172"/>
      <c r="P6" s="172"/>
      <c r="Q6" s="172"/>
      <c r="R6" s="433"/>
      <c r="S6" s="433"/>
      <c r="T6" s="433"/>
      <c r="U6" s="433"/>
      <c r="V6" s="433"/>
      <c r="W6" s="433"/>
      <c r="X6" s="433"/>
      <c r="Y6" s="433"/>
      <c r="Z6" s="433"/>
      <c r="AA6" s="433"/>
      <c r="AB6" s="433"/>
      <c r="AC6" s="433"/>
      <c r="AD6" s="433"/>
      <c r="AE6" s="433"/>
      <c r="AF6" s="433"/>
      <c r="AG6" s="433"/>
      <c r="AH6" s="433"/>
      <c r="AI6" s="433"/>
      <c r="AJ6" s="433"/>
      <c r="AK6" s="433"/>
      <c r="AL6" s="433"/>
      <c r="AM6" s="433"/>
      <c r="AN6" s="433"/>
    </row>
    <row r="7" spans="1:40" ht="15.75">
      <c r="A7" s="180"/>
      <c r="B7" s="172"/>
      <c r="C7" s="200" t="s">
        <v>11</v>
      </c>
      <c r="D7" s="200" t="s">
        <v>12</v>
      </c>
      <c r="E7" s="200" t="s">
        <v>13</v>
      </c>
      <c r="F7" s="19"/>
      <c r="G7" s="200" t="s">
        <v>142</v>
      </c>
      <c r="H7" s="200" t="s">
        <v>14</v>
      </c>
      <c r="I7" s="200" t="s">
        <v>15</v>
      </c>
      <c r="J7" s="74"/>
      <c r="K7" s="201" t="s">
        <v>248</v>
      </c>
      <c r="L7" s="148"/>
      <c r="M7" s="200" t="s">
        <v>250</v>
      </c>
      <c r="N7" s="200" t="s">
        <v>244</v>
      </c>
      <c r="O7" s="200" t="s">
        <v>245</v>
      </c>
      <c r="P7" s="200" t="s">
        <v>251</v>
      </c>
      <c r="Q7" s="200" t="s">
        <v>246</v>
      </c>
      <c r="R7" s="433"/>
      <c r="S7" s="200" t="s">
        <v>27</v>
      </c>
      <c r="T7" s="433"/>
      <c r="U7" s="433"/>
      <c r="V7" s="433"/>
      <c r="W7" s="433"/>
      <c r="X7" s="433"/>
      <c r="Y7" s="433"/>
      <c r="Z7" s="433"/>
      <c r="AA7" s="433"/>
      <c r="AB7" s="433"/>
      <c r="AC7" s="433"/>
      <c r="AD7" s="433"/>
      <c r="AE7" s="433"/>
      <c r="AF7" s="433"/>
      <c r="AG7" s="433"/>
      <c r="AH7" s="433"/>
      <c r="AI7" s="433"/>
      <c r="AJ7" s="433"/>
      <c r="AK7" s="433"/>
      <c r="AL7" s="433"/>
      <c r="AM7" s="433"/>
      <c r="AN7" s="433"/>
    </row>
    <row r="8" spans="1:40" ht="15.75">
      <c r="A8" s="180" t="s">
        <v>145</v>
      </c>
      <c r="B8" s="19"/>
      <c r="C8" s="372">
        <v>36326</v>
      </c>
      <c r="D8" s="372">
        <v>36326</v>
      </c>
      <c r="E8" s="372">
        <v>36342</v>
      </c>
      <c r="F8" s="454"/>
      <c r="G8" s="372">
        <v>36678</v>
      </c>
      <c r="H8" s="372">
        <v>36678</v>
      </c>
      <c r="I8" s="372">
        <v>36678</v>
      </c>
      <c r="J8" s="262"/>
      <c r="K8" s="393"/>
      <c r="L8" s="148"/>
      <c r="M8" s="372">
        <v>37012</v>
      </c>
      <c r="N8" s="372">
        <v>37316</v>
      </c>
      <c r="O8" s="372">
        <v>37773</v>
      </c>
      <c r="P8" s="372">
        <v>37043</v>
      </c>
      <c r="Q8" s="372">
        <v>36647</v>
      </c>
      <c r="R8" s="433"/>
      <c r="S8" s="372"/>
      <c r="T8" s="433"/>
      <c r="U8" s="433"/>
      <c r="V8" s="433"/>
      <c r="W8" s="433"/>
      <c r="X8" s="433"/>
      <c r="Y8" s="433"/>
      <c r="Z8" s="433"/>
      <c r="AA8" s="433"/>
      <c r="AB8" s="433"/>
      <c r="AC8" s="433"/>
      <c r="AD8" s="433"/>
      <c r="AE8" s="433"/>
      <c r="AF8" s="433"/>
      <c r="AG8" s="433"/>
      <c r="AH8" s="433"/>
      <c r="AI8" s="433"/>
      <c r="AJ8" s="433"/>
      <c r="AK8" s="433"/>
      <c r="AL8" s="433"/>
      <c r="AM8" s="433"/>
      <c r="AN8" s="433"/>
    </row>
    <row r="9" spans="1:40" ht="15.75">
      <c r="A9" s="180" t="s">
        <v>20</v>
      </c>
      <c r="B9" s="172"/>
      <c r="C9" s="319">
        <v>4</v>
      </c>
      <c r="D9" s="319">
        <v>6</v>
      </c>
      <c r="E9" s="319">
        <v>6</v>
      </c>
      <c r="F9" s="402"/>
      <c r="G9" s="319">
        <v>3</v>
      </c>
      <c r="H9" s="319">
        <v>4</v>
      </c>
      <c r="I9" s="319">
        <v>8</v>
      </c>
      <c r="J9" s="275"/>
      <c r="K9" s="518">
        <f>SUM(C9:I9)</f>
        <v>31</v>
      </c>
      <c r="L9" s="148"/>
      <c r="M9" s="319">
        <v>4</v>
      </c>
      <c r="N9" s="319">
        <v>4</v>
      </c>
      <c r="O9" s="319">
        <v>3</v>
      </c>
      <c r="P9" s="319">
        <v>2</v>
      </c>
      <c r="Q9" s="319">
        <v>5</v>
      </c>
      <c r="R9" s="433"/>
      <c r="S9" s="319">
        <f>SUM(K9:Q9)</f>
        <v>49</v>
      </c>
      <c r="T9" s="433"/>
      <c r="U9" s="433"/>
      <c r="V9" s="433"/>
      <c r="W9" s="433"/>
      <c r="X9" s="433"/>
      <c r="Y9" s="433"/>
      <c r="Z9" s="433"/>
      <c r="AA9" s="433"/>
      <c r="AB9" s="433"/>
      <c r="AC9" s="433"/>
      <c r="AD9" s="433"/>
      <c r="AE9" s="433"/>
      <c r="AF9" s="433"/>
      <c r="AG9" s="433"/>
      <c r="AH9" s="433"/>
      <c r="AI9" s="433"/>
      <c r="AJ9" s="433"/>
      <c r="AK9" s="433"/>
      <c r="AL9" s="433"/>
      <c r="AM9" s="433"/>
      <c r="AN9" s="433"/>
    </row>
    <row r="10" spans="1:40" ht="15.75">
      <c r="A10" s="180" t="s">
        <v>141</v>
      </c>
      <c r="B10" s="172"/>
      <c r="C10" s="319">
        <v>494</v>
      </c>
      <c r="D10" s="319">
        <v>504</v>
      </c>
      <c r="E10" s="319">
        <v>396</v>
      </c>
      <c r="F10" s="395"/>
      <c r="G10" s="319">
        <v>536</v>
      </c>
      <c r="H10" s="319">
        <v>508</v>
      </c>
      <c r="I10" s="319">
        <v>656</v>
      </c>
      <c r="J10" s="275"/>
      <c r="K10" s="518">
        <f>SUM(C10:I10)</f>
        <v>3094</v>
      </c>
      <c r="L10" s="148"/>
      <c r="M10" s="319">
        <v>320</v>
      </c>
      <c r="N10" s="319">
        <v>270</v>
      </c>
      <c r="O10" s="319">
        <v>750</v>
      </c>
      <c r="P10" s="319">
        <v>120</v>
      </c>
      <c r="Q10" s="319">
        <f>375/2</f>
        <v>187.5</v>
      </c>
      <c r="R10" s="433"/>
      <c r="S10" s="319">
        <f>SUM(K10:Q10)</f>
        <v>4741.5</v>
      </c>
      <c r="T10" s="433"/>
      <c r="U10" s="433"/>
      <c r="V10" s="433"/>
      <c r="W10" s="433"/>
      <c r="X10" s="433"/>
      <c r="Y10" s="433"/>
      <c r="Z10" s="433"/>
      <c r="AA10" s="433"/>
      <c r="AB10" s="433"/>
      <c r="AC10" s="433"/>
      <c r="AD10" s="433"/>
      <c r="AE10" s="433"/>
      <c r="AF10" s="433"/>
      <c r="AG10" s="433"/>
      <c r="AH10" s="433"/>
      <c r="AI10" s="433"/>
      <c r="AJ10" s="433"/>
      <c r="AK10" s="433"/>
      <c r="AL10" s="433"/>
      <c r="AM10" s="433"/>
      <c r="AN10" s="433"/>
    </row>
    <row r="11" spans="1:40" ht="15.75">
      <c r="A11" s="180" t="s">
        <v>215</v>
      </c>
      <c r="B11" s="172"/>
      <c r="C11" s="319">
        <v>458</v>
      </c>
      <c r="D11" s="319">
        <v>446</v>
      </c>
      <c r="E11" s="319">
        <v>356</v>
      </c>
      <c r="F11" s="395"/>
      <c r="G11" s="319">
        <v>510</v>
      </c>
      <c r="H11" s="319">
        <v>470</v>
      </c>
      <c r="I11" s="319">
        <v>608</v>
      </c>
      <c r="J11" s="327"/>
      <c r="K11" s="518">
        <f>SUM(C11:I11)</f>
        <v>2848</v>
      </c>
      <c r="L11" s="19"/>
      <c r="M11" s="422">
        <v>0</v>
      </c>
      <c r="N11" s="422">
        <v>0</v>
      </c>
      <c r="O11" s="422">
        <v>0</v>
      </c>
      <c r="P11" s="422">
        <v>0</v>
      </c>
      <c r="Q11" s="422">
        <v>0</v>
      </c>
      <c r="R11" s="433"/>
      <c r="S11" s="319">
        <f>SUM(K11:Q11)</f>
        <v>2848</v>
      </c>
      <c r="T11" s="433"/>
      <c r="U11" s="433"/>
      <c r="V11" s="433"/>
      <c r="W11" s="433"/>
      <c r="X11" s="433"/>
      <c r="Y11" s="433"/>
      <c r="Z11" s="433"/>
      <c r="AA11" s="433"/>
      <c r="AB11" s="433"/>
      <c r="AC11" s="433"/>
      <c r="AD11" s="433"/>
      <c r="AE11" s="433"/>
      <c r="AF11" s="433"/>
      <c r="AG11" s="433"/>
      <c r="AH11" s="433"/>
      <c r="AI11" s="433"/>
      <c r="AJ11" s="433"/>
      <c r="AK11" s="433"/>
      <c r="AL11" s="433"/>
      <c r="AM11" s="433"/>
      <c r="AN11" s="433"/>
    </row>
    <row r="12" spans="1:40" ht="15.75">
      <c r="A12" s="180" t="s">
        <v>141</v>
      </c>
      <c r="B12" s="433"/>
      <c r="C12" s="319">
        <v>0</v>
      </c>
      <c r="D12" s="319">
        <v>20</v>
      </c>
      <c r="E12" s="319">
        <v>15</v>
      </c>
      <c r="F12" s="395"/>
      <c r="G12" s="319">
        <v>0</v>
      </c>
      <c r="H12" s="319">
        <v>0</v>
      </c>
      <c r="I12" s="319">
        <v>0</v>
      </c>
      <c r="J12" s="433"/>
      <c r="K12" s="542"/>
      <c r="L12" s="148"/>
      <c r="M12" s="319">
        <v>11960</v>
      </c>
      <c r="N12" s="319">
        <v>7728</v>
      </c>
      <c r="O12" s="319">
        <v>6874</v>
      </c>
      <c r="P12" s="319">
        <v>12500</v>
      </c>
      <c r="Q12" s="319">
        <v>12100</v>
      </c>
      <c r="R12" s="433"/>
      <c r="S12" s="319"/>
      <c r="T12" s="433"/>
      <c r="U12" s="433"/>
      <c r="V12" s="433"/>
      <c r="W12" s="433"/>
      <c r="X12" s="433"/>
      <c r="Y12" s="433"/>
      <c r="Z12" s="433"/>
      <c r="AA12" s="433"/>
      <c r="AB12" s="433"/>
      <c r="AC12" s="433"/>
      <c r="AD12" s="433"/>
      <c r="AE12" s="433"/>
      <c r="AF12" s="433"/>
      <c r="AG12" s="433"/>
      <c r="AH12" s="433"/>
      <c r="AI12" s="433"/>
      <c r="AJ12" s="433"/>
      <c r="AK12" s="433"/>
      <c r="AL12" s="433"/>
      <c r="AM12" s="433"/>
      <c r="AN12" s="433"/>
    </row>
    <row r="13" spans="1:40" ht="15.75">
      <c r="A13" s="180" t="s">
        <v>252</v>
      </c>
      <c r="B13" s="172"/>
      <c r="C13" s="319">
        <v>11406</v>
      </c>
      <c r="D13" s="319">
        <v>12064</v>
      </c>
      <c r="E13" s="319">
        <v>12500</v>
      </c>
      <c r="F13" s="394"/>
      <c r="G13" s="319">
        <v>10592</v>
      </c>
      <c r="H13" s="319">
        <v>11734</v>
      </c>
      <c r="I13" s="319">
        <v>11973</v>
      </c>
      <c r="J13" s="275"/>
      <c r="K13" s="518">
        <f>SUMPRODUCT(C13:I13,C11:I11)/K11</f>
        <v>11675.202247191011</v>
      </c>
      <c r="L13" s="148"/>
      <c r="M13" s="319">
        <v>0</v>
      </c>
      <c r="N13" s="319">
        <v>0</v>
      </c>
      <c r="O13" s="319">
        <v>0</v>
      </c>
      <c r="P13" s="319">
        <v>0</v>
      </c>
      <c r="Q13" s="319">
        <v>0</v>
      </c>
      <c r="R13" s="433"/>
      <c r="S13" s="319">
        <f>SUM(K13:Q13)</f>
        <v>11675.202247191011</v>
      </c>
      <c r="T13" s="433"/>
      <c r="U13" s="433"/>
      <c r="V13" s="433"/>
      <c r="W13" s="433"/>
      <c r="X13" s="433"/>
      <c r="Y13" s="433"/>
      <c r="Z13" s="433"/>
      <c r="AA13" s="433"/>
      <c r="AB13" s="433"/>
      <c r="AC13" s="433"/>
      <c r="AD13" s="433"/>
      <c r="AE13" s="433"/>
      <c r="AF13" s="433"/>
      <c r="AG13" s="433"/>
      <c r="AH13" s="433"/>
      <c r="AI13" s="433"/>
      <c r="AJ13" s="433"/>
      <c r="AK13" s="433"/>
      <c r="AL13" s="433"/>
      <c r="AM13" s="433"/>
      <c r="AN13" s="433"/>
    </row>
    <row r="14" spans="1:40" ht="15.75">
      <c r="A14" s="180" t="s">
        <v>216</v>
      </c>
      <c r="B14" s="433"/>
      <c r="C14" s="319">
        <v>75</v>
      </c>
      <c r="D14" s="319">
        <v>75</v>
      </c>
      <c r="E14" s="319">
        <v>75</v>
      </c>
      <c r="F14" s="394"/>
      <c r="G14" s="319">
        <v>75</v>
      </c>
      <c r="H14" s="319">
        <v>75</v>
      </c>
      <c r="I14" s="319">
        <v>75</v>
      </c>
      <c r="J14" s="433"/>
      <c r="K14" s="518">
        <f>SUM(C14:I14)</f>
        <v>450</v>
      </c>
      <c r="L14" s="148"/>
      <c r="M14" s="319">
        <v>700</v>
      </c>
      <c r="N14" s="319">
        <v>0</v>
      </c>
      <c r="O14" s="319">
        <v>0</v>
      </c>
      <c r="P14" s="319">
        <v>0</v>
      </c>
      <c r="Q14" s="319">
        <v>0</v>
      </c>
      <c r="R14" s="433"/>
      <c r="S14" s="319">
        <f>SUM(K14:Q14)</f>
        <v>1150</v>
      </c>
      <c r="T14" s="433"/>
      <c r="U14" s="433"/>
      <c r="V14" s="433"/>
      <c r="W14" s="433"/>
      <c r="X14" s="433"/>
      <c r="Y14" s="433"/>
      <c r="Z14" s="433"/>
      <c r="AA14" s="433"/>
      <c r="AB14" s="433"/>
      <c r="AC14" s="433"/>
      <c r="AD14" s="433"/>
      <c r="AE14" s="433"/>
      <c r="AF14" s="433"/>
      <c r="AG14" s="433"/>
      <c r="AH14" s="433"/>
      <c r="AI14" s="433"/>
      <c r="AJ14" s="433"/>
      <c r="AK14" s="433"/>
      <c r="AL14" s="433"/>
      <c r="AM14" s="433"/>
      <c r="AN14" s="433"/>
    </row>
    <row r="15" spans="1:40" ht="16.5" thickBot="1">
      <c r="A15" s="182" t="s">
        <v>23</v>
      </c>
      <c r="B15" s="183"/>
      <c r="C15" s="550">
        <v>1365</v>
      </c>
      <c r="D15" s="550">
        <v>1685</v>
      </c>
      <c r="E15" s="550">
        <v>1086</v>
      </c>
      <c r="F15" s="551"/>
      <c r="G15" s="550">
        <v>915</v>
      </c>
      <c r="H15" s="550">
        <v>902</v>
      </c>
      <c r="I15" s="550">
        <v>3250</v>
      </c>
      <c r="J15" s="277"/>
      <c r="K15" s="552">
        <f>SUM(C15:I15)</f>
        <v>9203</v>
      </c>
      <c r="L15" s="19"/>
      <c r="M15" s="19"/>
      <c r="N15" s="19"/>
      <c r="O15" s="19"/>
      <c r="P15" s="19"/>
      <c r="Q15" s="19"/>
      <c r="R15" s="433"/>
      <c r="S15" s="19"/>
      <c r="T15" s="433"/>
      <c r="U15" s="433"/>
      <c r="V15" s="433"/>
      <c r="W15" s="433"/>
      <c r="X15" s="433"/>
      <c r="Y15" s="433"/>
      <c r="Z15" s="433"/>
      <c r="AA15" s="433"/>
      <c r="AB15" s="433"/>
      <c r="AC15" s="433"/>
      <c r="AD15" s="433"/>
      <c r="AE15" s="433"/>
      <c r="AF15" s="433"/>
      <c r="AG15" s="433"/>
      <c r="AH15" s="433"/>
      <c r="AI15" s="433"/>
      <c r="AJ15" s="433"/>
      <c r="AK15" s="433"/>
      <c r="AL15" s="433"/>
      <c r="AM15" s="433"/>
      <c r="AN15" s="433"/>
    </row>
    <row r="16" spans="1:40" ht="15.7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72"/>
      <c r="N16" s="172"/>
      <c r="O16" s="172"/>
      <c r="P16" s="172"/>
      <c r="Q16" s="172"/>
      <c r="R16" s="433"/>
      <c r="S16" s="172"/>
      <c r="T16" s="433"/>
      <c r="U16" s="433"/>
      <c r="V16" s="433"/>
      <c r="W16" s="433"/>
      <c r="X16" s="433"/>
      <c r="Y16" s="433"/>
      <c r="Z16" s="433"/>
      <c r="AA16" s="433"/>
      <c r="AB16" s="433"/>
      <c r="AC16" s="433"/>
      <c r="AD16" s="433"/>
      <c r="AE16" s="433"/>
      <c r="AF16" s="433"/>
      <c r="AG16" s="433"/>
      <c r="AH16" s="433"/>
      <c r="AI16" s="433"/>
      <c r="AJ16" s="433"/>
      <c r="AK16" s="433"/>
      <c r="AL16" s="433"/>
      <c r="AM16" s="433"/>
      <c r="AN16" s="433"/>
    </row>
    <row r="17" spans="1:40" ht="13.5" thickBo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433"/>
      <c r="S17" s="19"/>
      <c r="T17" s="433"/>
      <c r="U17" s="433"/>
      <c r="V17" s="433"/>
      <c r="W17" s="433"/>
      <c r="X17" s="433"/>
      <c r="Y17" s="433"/>
      <c r="Z17" s="433"/>
      <c r="AA17" s="433"/>
      <c r="AB17" s="433"/>
      <c r="AC17" s="433"/>
      <c r="AD17" s="433"/>
      <c r="AE17" s="433"/>
      <c r="AF17" s="433"/>
      <c r="AG17" s="433"/>
      <c r="AH17" s="433"/>
      <c r="AI17" s="433"/>
      <c r="AJ17" s="433"/>
      <c r="AK17" s="433"/>
      <c r="AL17" s="433"/>
      <c r="AM17" s="433"/>
      <c r="AN17" s="433"/>
    </row>
    <row r="18" spans="1:40" ht="15.75">
      <c r="A18" s="167" t="s">
        <v>30</v>
      </c>
      <c r="B18" s="193"/>
      <c r="C18" s="198"/>
      <c r="D18" s="198"/>
      <c r="E18" s="198"/>
      <c r="F18" s="29"/>
      <c r="G18" s="198"/>
      <c r="H18" s="198"/>
      <c r="I18" s="198"/>
      <c r="J18" s="193"/>
      <c r="K18" s="519"/>
      <c r="L18" s="474"/>
      <c r="M18" s="19"/>
      <c r="N18" s="19"/>
      <c r="O18" s="19"/>
      <c r="P18" s="19"/>
      <c r="Q18" s="19"/>
      <c r="R18" s="433"/>
      <c r="S18" s="19"/>
      <c r="T18" s="433"/>
      <c r="U18" s="433"/>
      <c r="V18" s="433"/>
      <c r="W18" s="247" t="s">
        <v>235</v>
      </c>
      <c r="X18" s="433"/>
      <c r="Y18" s="433"/>
      <c r="Z18" s="433"/>
      <c r="AA18" s="433"/>
      <c r="AB18" s="433"/>
      <c r="AC18" s="433"/>
      <c r="AD18" s="433"/>
      <c r="AE18" s="433"/>
      <c r="AF18" s="433"/>
      <c r="AG18" s="433"/>
      <c r="AH18" s="433"/>
      <c r="AI18" s="433"/>
      <c r="AJ18" s="433"/>
      <c r="AK18" s="433"/>
      <c r="AL18" s="433"/>
      <c r="AM18" s="433"/>
      <c r="AN18" s="433"/>
    </row>
    <row r="19" spans="1:40" ht="15.75">
      <c r="A19" s="32"/>
      <c r="B19" s="19"/>
      <c r="C19" s="19"/>
      <c r="D19" s="19"/>
      <c r="E19" s="19"/>
      <c r="F19" s="19"/>
      <c r="G19" s="19"/>
      <c r="H19" s="19"/>
      <c r="I19" s="19"/>
      <c r="J19" s="7"/>
      <c r="K19" s="520"/>
      <c r="L19" s="148"/>
      <c r="M19" s="410">
        <v>0</v>
      </c>
      <c r="N19" s="410">
        <v>0</v>
      </c>
      <c r="O19" s="410">
        <v>0</v>
      </c>
      <c r="P19" s="410">
        <v>0</v>
      </c>
      <c r="Q19" s="410">
        <v>0</v>
      </c>
      <c r="R19" s="433"/>
      <c r="S19" s="410"/>
      <c r="T19" s="433"/>
      <c r="U19" s="433"/>
      <c r="V19" s="433"/>
      <c r="W19" s="394" t="s">
        <v>236</v>
      </c>
      <c r="X19" s="433"/>
      <c r="Y19" s="433"/>
      <c r="Z19" s="433"/>
      <c r="AA19" s="433"/>
      <c r="AB19" s="433"/>
      <c r="AC19" s="433"/>
      <c r="AD19" s="433"/>
      <c r="AE19" s="433"/>
      <c r="AF19" s="433"/>
      <c r="AG19" s="433"/>
      <c r="AH19" s="433"/>
      <c r="AI19" s="433"/>
      <c r="AJ19" s="433"/>
      <c r="AK19" s="433"/>
      <c r="AL19" s="433"/>
      <c r="AM19" s="433"/>
      <c r="AN19" s="433"/>
    </row>
    <row r="20" spans="1:40" ht="15.75">
      <c r="A20" s="184" t="s">
        <v>33</v>
      </c>
      <c r="B20" s="19"/>
      <c r="C20" s="19"/>
      <c r="D20" s="19"/>
      <c r="E20" s="19"/>
      <c r="F20" s="19"/>
      <c r="G20" s="19"/>
      <c r="H20" s="19"/>
      <c r="I20" s="19"/>
      <c r="J20" s="7"/>
      <c r="K20" s="520"/>
      <c r="L20" s="7"/>
      <c r="M20" s="262"/>
      <c r="N20" s="262"/>
      <c r="O20" s="262"/>
      <c r="P20" s="262"/>
      <c r="Q20" s="262"/>
      <c r="R20" s="433"/>
      <c r="S20" s="262"/>
      <c r="T20" s="433"/>
      <c r="U20" s="433"/>
      <c r="V20" s="433"/>
      <c r="W20" s="394" t="s">
        <v>237</v>
      </c>
      <c r="X20" s="433"/>
      <c r="Y20" s="433"/>
      <c r="Z20" s="433"/>
      <c r="AA20" s="433"/>
      <c r="AB20" s="433"/>
      <c r="AC20" s="433"/>
      <c r="AD20" s="433"/>
      <c r="AE20" s="433"/>
      <c r="AF20" s="433"/>
      <c r="AG20" s="433"/>
      <c r="AH20" s="433"/>
      <c r="AI20" s="433"/>
      <c r="AJ20" s="433"/>
      <c r="AK20" s="433"/>
      <c r="AL20" s="433"/>
      <c r="AM20" s="433"/>
      <c r="AN20" s="433"/>
    </row>
    <row r="21" spans="1:40" ht="15.75">
      <c r="A21" s="180" t="s">
        <v>34</v>
      </c>
      <c r="B21" s="172"/>
      <c r="C21" s="397">
        <v>4</v>
      </c>
      <c r="D21" s="410">
        <f>$C$21</f>
        <v>4</v>
      </c>
      <c r="E21" s="410">
        <f>$C$21</f>
        <v>4</v>
      </c>
      <c r="F21" s="411"/>
      <c r="G21" s="410">
        <f>$C$21</f>
        <v>4</v>
      </c>
      <c r="H21" s="410">
        <f>$C$21</f>
        <v>4</v>
      </c>
      <c r="I21" s="410">
        <f>$C$21</f>
        <v>4</v>
      </c>
      <c r="J21" s="401"/>
      <c r="K21" s="521"/>
      <c r="L21" s="7"/>
      <c r="M21" s="410">
        <v>0</v>
      </c>
      <c r="N21" s="410">
        <v>0</v>
      </c>
      <c r="O21" s="410">
        <v>0</v>
      </c>
      <c r="P21" s="410">
        <v>0</v>
      </c>
      <c r="Q21" s="410">
        <v>0</v>
      </c>
      <c r="R21" s="433"/>
      <c r="S21" s="410"/>
      <c r="T21" s="433"/>
      <c r="U21" s="433"/>
      <c r="V21" s="433"/>
      <c r="W21" s="394" t="s">
        <v>238</v>
      </c>
      <c r="X21" s="433"/>
      <c r="Y21" s="433"/>
      <c r="Z21" s="433"/>
      <c r="AA21" s="433"/>
      <c r="AB21" s="433"/>
      <c r="AC21" s="433"/>
      <c r="AD21" s="433"/>
      <c r="AE21" s="433"/>
      <c r="AF21" s="433"/>
      <c r="AG21" s="433"/>
      <c r="AH21" s="433"/>
      <c r="AI21" s="433"/>
      <c r="AJ21" s="433"/>
      <c r="AK21" s="433"/>
      <c r="AL21" s="433"/>
      <c r="AM21" s="433"/>
      <c r="AN21" s="433"/>
    </row>
    <row r="22" spans="1:40" ht="15.75">
      <c r="A22" s="180" t="s">
        <v>253</v>
      </c>
      <c r="B22" s="172"/>
      <c r="C22" s="454" t="str">
        <f>IF(Summary!W23=1,"31-Dec-2003",IF(Summary!W23=2,"31-Dec-2008",IF(W23=3,"31-Dec-2013","31-Dec-2018")))</f>
        <v>31-Dec-2003</v>
      </c>
      <c r="D22" s="262"/>
      <c r="E22" s="262"/>
      <c r="F22" s="262"/>
      <c r="G22" s="262"/>
      <c r="H22" s="262"/>
      <c r="I22" s="262"/>
      <c r="J22" s="275"/>
      <c r="K22" s="518"/>
      <c r="L22" s="7"/>
      <c r="M22" s="19"/>
      <c r="N22" s="19"/>
      <c r="O22" s="19"/>
      <c r="P22" s="19"/>
      <c r="Q22" s="19"/>
      <c r="R22" s="433"/>
      <c r="S22" s="19"/>
      <c r="T22" s="433"/>
      <c r="U22" s="433"/>
      <c r="V22" s="433"/>
      <c r="W22" s="394" t="s">
        <v>261</v>
      </c>
      <c r="X22" s="433"/>
      <c r="Y22" s="433"/>
      <c r="Z22" s="433"/>
      <c r="AA22" s="433"/>
      <c r="AB22" s="433"/>
      <c r="AC22" s="433"/>
      <c r="AD22" s="433"/>
      <c r="AE22" s="433"/>
      <c r="AF22" s="433"/>
      <c r="AG22" s="433"/>
      <c r="AH22" s="433"/>
      <c r="AI22" s="433"/>
      <c r="AJ22" s="433"/>
      <c r="AK22" s="433"/>
      <c r="AL22" s="433"/>
      <c r="AM22" s="433"/>
      <c r="AN22" s="433"/>
    </row>
    <row r="23" spans="1:40" ht="15.75">
      <c r="A23" s="180" t="s">
        <v>235</v>
      </c>
      <c r="B23" s="19"/>
      <c r="C23" s="397">
        <v>4.75</v>
      </c>
      <c r="D23" s="410">
        <f>$C$23</f>
        <v>4.75</v>
      </c>
      <c r="E23" s="410">
        <f>$C$23</f>
        <v>4.75</v>
      </c>
      <c r="F23" s="411"/>
      <c r="G23" s="410">
        <f>$C$23</f>
        <v>4.75</v>
      </c>
      <c r="H23" s="410">
        <f>$C$23</f>
        <v>4.75</v>
      </c>
      <c r="I23" s="410">
        <f>$C$23</f>
        <v>4.75</v>
      </c>
      <c r="J23" s="398"/>
      <c r="K23" s="522"/>
      <c r="L23" s="7"/>
      <c r="M23" s="262"/>
      <c r="N23" s="262"/>
      <c r="O23" s="262"/>
      <c r="P23" s="262"/>
      <c r="Q23" s="262"/>
      <c r="R23" s="433"/>
      <c r="S23" s="262"/>
      <c r="T23" s="433"/>
      <c r="U23" s="433"/>
      <c r="V23" s="433"/>
      <c r="W23" s="475">
        <v>1</v>
      </c>
      <c r="X23" s="433"/>
      <c r="Y23" s="433"/>
      <c r="Z23" s="433"/>
      <c r="AA23" s="433"/>
      <c r="AB23" s="433"/>
      <c r="AC23" s="433"/>
      <c r="AD23" s="433"/>
      <c r="AE23" s="433"/>
      <c r="AF23" s="433"/>
      <c r="AG23" s="433"/>
      <c r="AH23" s="433"/>
      <c r="AI23" s="433"/>
      <c r="AJ23" s="433"/>
      <c r="AK23" s="433"/>
      <c r="AL23" s="433"/>
      <c r="AM23" s="433"/>
      <c r="AN23" s="433"/>
    </row>
    <row r="24" spans="1:40" ht="15.75">
      <c r="A24" s="180" t="s">
        <v>318</v>
      </c>
      <c r="B24" s="19"/>
      <c r="C24" s="544">
        <f>C45</f>
        <v>1.5</v>
      </c>
      <c r="D24" s="544">
        <f>D45</f>
        <v>1</v>
      </c>
      <c r="E24" s="544">
        <f>E45</f>
        <v>1</v>
      </c>
      <c r="F24" s="531"/>
      <c r="G24" s="544">
        <f>G45</f>
        <v>1.5</v>
      </c>
      <c r="H24" s="544">
        <f>H45</f>
        <v>3</v>
      </c>
      <c r="I24" s="544">
        <f>I45</f>
        <v>2</v>
      </c>
      <c r="J24" s="19"/>
      <c r="K24" s="31"/>
      <c r="L24" s="7"/>
      <c r="M24" s="399">
        <v>0</v>
      </c>
      <c r="N24" s="399">
        <v>0</v>
      </c>
      <c r="O24" s="399">
        <v>0</v>
      </c>
      <c r="P24" s="399">
        <v>0</v>
      </c>
      <c r="Q24" s="399">
        <v>0</v>
      </c>
      <c r="R24" s="433"/>
      <c r="S24" s="399"/>
      <c r="T24" s="433"/>
      <c r="U24" s="433"/>
      <c r="V24" s="433"/>
      <c r="W24" s="433"/>
      <c r="X24" s="433"/>
      <c r="Y24" s="433"/>
      <c r="Z24" s="433"/>
      <c r="AA24" s="433"/>
      <c r="AB24" s="433"/>
      <c r="AC24" s="433"/>
      <c r="AD24" s="433"/>
      <c r="AE24" s="433"/>
      <c r="AF24" s="433"/>
      <c r="AG24" s="433"/>
      <c r="AH24" s="433"/>
      <c r="AI24" s="433"/>
      <c r="AJ24" s="433"/>
      <c r="AK24" s="433"/>
      <c r="AL24" s="433"/>
      <c r="AM24" s="433"/>
      <c r="AN24" s="433"/>
    </row>
    <row r="25" spans="1:40" ht="15.75">
      <c r="A25" s="180" t="s">
        <v>319</v>
      </c>
      <c r="B25" s="433"/>
      <c r="C25" s="275">
        <f>C53</f>
        <v>1500</v>
      </c>
      <c r="D25" s="275">
        <f>D53</f>
        <v>1000</v>
      </c>
      <c r="E25" s="275">
        <f>E53</f>
        <v>1000</v>
      </c>
      <c r="F25" s="546"/>
      <c r="G25" s="275">
        <f>G53</f>
        <v>1500</v>
      </c>
      <c r="H25" s="275">
        <f>H53</f>
        <v>1500</v>
      </c>
      <c r="I25" s="275">
        <f>I53</f>
        <v>1000</v>
      </c>
      <c r="J25" s="433"/>
      <c r="K25" s="518"/>
      <c r="L25" s="148"/>
      <c r="M25" s="431">
        <f>M14*M11</f>
        <v>0</v>
      </c>
      <c r="N25" s="431">
        <f>N14*N11</f>
        <v>0</v>
      </c>
      <c r="O25" s="431">
        <f>O14*O11</f>
        <v>0</v>
      </c>
      <c r="P25" s="431">
        <f>P14*P11</f>
        <v>0</v>
      </c>
      <c r="Q25" s="431">
        <f>Q14*Q11</f>
        <v>0</v>
      </c>
      <c r="R25" s="433"/>
      <c r="S25" s="431"/>
      <c r="T25" s="433"/>
      <c r="U25" s="433"/>
      <c r="V25" s="433"/>
      <c r="W25" s="433"/>
      <c r="X25" s="433"/>
      <c r="Y25" s="433"/>
      <c r="Z25" s="433"/>
      <c r="AA25" s="433"/>
      <c r="AB25" s="433"/>
      <c r="AC25" s="433"/>
      <c r="AD25" s="433"/>
      <c r="AE25" s="433"/>
      <c r="AF25" s="433"/>
      <c r="AG25" s="433"/>
      <c r="AH25" s="433"/>
      <c r="AI25" s="433"/>
      <c r="AJ25" s="433"/>
      <c r="AK25" s="433"/>
      <c r="AL25" s="433"/>
      <c r="AM25" s="433"/>
      <c r="AN25" s="433"/>
    </row>
    <row r="26" spans="1:40" ht="15.75">
      <c r="A26" s="180" t="s">
        <v>212</v>
      </c>
      <c r="B26" s="433"/>
      <c r="C26" s="431">
        <f>C15*C11</f>
        <v>625170</v>
      </c>
      <c r="D26" s="431">
        <f>D15*D11</f>
        <v>751510</v>
      </c>
      <c r="E26" s="431">
        <f>E15*E11</f>
        <v>386616</v>
      </c>
      <c r="F26" s="431"/>
      <c r="G26" s="431">
        <f>G15*G11</f>
        <v>466650</v>
      </c>
      <c r="H26" s="431">
        <f>H15*H11</f>
        <v>423940</v>
      </c>
      <c r="I26" s="431">
        <f>I15*I11</f>
        <v>1976000</v>
      </c>
      <c r="J26" s="19"/>
      <c r="K26" s="553">
        <f>SUM(C26:I26)</f>
        <v>4629886</v>
      </c>
      <c r="L26" s="7"/>
      <c r="M26" s="401">
        <v>0</v>
      </c>
      <c r="N26" s="401">
        <v>0</v>
      </c>
      <c r="O26" s="401">
        <v>0</v>
      </c>
      <c r="P26" s="401">
        <v>0</v>
      </c>
      <c r="Q26" s="401">
        <v>0</v>
      </c>
      <c r="R26" s="433"/>
      <c r="S26" s="401"/>
      <c r="T26" s="433"/>
      <c r="U26" s="433"/>
      <c r="V26" s="433"/>
      <c r="W26" s="433"/>
      <c r="X26" s="433"/>
      <c r="Y26" s="433"/>
      <c r="Z26" s="433"/>
      <c r="AA26" s="433"/>
      <c r="AB26" s="433"/>
      <c r="AC26" s="433"/>
      <c r="AD26" s="433"/>
      <c r="AE26" s="433"/>
      <c r="AF26" s="433"/>
      <c r="AG26" s="433"/>
      <c r="AH26" s="433"/>
      <c r="AI26" s="433"/>
      <c r="AJ26" s="433"/>
      <c r="AK26" s="433"/>
      <c r="AL26" s="433"/>
      <c r="AM26" s="433"/>
      <c r="AN26" s="433"/>
    </row>
    <row r="27" spans="1:40" ht="15.75">
      <c r="A27" s="545"/>
      <c r="B27" s="433"/>
      <c r="C27" s="433"/>
      <c r="D27" s="433"/>
      <c r="E27" s="433"/>
      <c r="F27" s="433"/>
      <c r="G27" s="433"/>
      <c r="H27" s="433"/>
      <c r="I27" s="433"/>
      <c r="J27" s="433"/>
      <c r="K27" s="542"/>
      <c r="L27" s="7"/>
      <c r="M27" s="394"/>
      <c r="N27" s="394"/>
      <c r="O27" s="394"/>
      <c r="P27" s="394"/>
      <c r="Q27" s="394"/>
      <c r="R27" s="433"/>
      <c r="S27" s="394"/>
      <c r="T27" s="433"/>
      <c r="U27" s="433"/>
      <c r="V27" s="433"/>
      <c r="W27" s="433"/>
      <c r="X27" s="433"/>
      <c r="Y27" s="433"/>
      <c r="Z27" s="433"/>
      <c r="AA27" s="433"/>
      <c r="AB27" s="433"/>
      <c r="AC27" s="433"/>
      <c r="AD27" s="433"/>
      <c r="AE27" s="433"/>
      <c r="AF27" s="433"/>
      <c r="AG27" s="433"/>
      <c r="AH27" s="433"/>
      <c r="AI27" s="433"/>
      <c r="AJ27" s="433"/>
      <c r="AK27" s="433"/>
      <c r="AL27" s="433"/>
      <c r="AM27" s="433"/>
      <c r="AN27" s="433"/>
    </row>
    <row r="28" spans="1:40" ht="15.75">
      <c r="A28" s="184" t="s">
        <v>38</v>
      </c>
      <c r="B28" s="19"/>
      <c r="C28" s="262"/>
      <c r="D28" s="262"/>
      <c r="E28" s="262"/>
      <c r="F28" s="262"/>
      <c r="G28" s="262"/>
      <c r="H28" s="262"/>
      <c r="I28" s="262"/>
      <c r="J28" s="399"/>
      <c r="K28" s="400"/>
      <c r="L28" s="7"/>
      <c r="M28" s="19"/>
      <c r="N28" s="19"/>
      <c r="O28" s="19"/>
      <c r="P28" s="19"/>
      <c r="Q28" s="19"/>
      <c r="R28" s="433"/>
      <c r="S28" s="19"/>
      <c r="T28" s="433"/>
      <c r="U28" s="433"/>
      <c r="V28" s="433"/>
      <c r="W28" s="433"/>
      <c r="X28" s="433"/>
      <c r="Y28" s="433"/>
      <c r="Z28" s="433"/>
      <c r="AA28" s="433"/>
      <c r="AB28" s="433"/>
      <c r="AC28" s="433"/>
      <c r="AD28" s="433"/>
      <c r="AE28" s="433"/>
      <c r="AF28" s="433"/>
      <c r="AG28" s="433"/>
      <c r="AH28" s="433"/>
      <c r="AI28" s="433"/>
      <c r="AJ28" s="433"/>
      <c r="AK28" s="433"/>
      <c r="AL28" s="433"/>
      <c r="AM28" s="433"/>
      <c r="AN28" s="433"/>
    </row>
    <row r="29" spans="1:40" ht="15.75">
      <c r="A29" s="180" t="s">
        <v>40</v>
      </c>
      <c r="B29" s="172"/>
      <c r="C29" s="316">
        <v>0.02</v>
      </c>
      <c r="D29" s="399">
        <f>$C$29</f>
        <v>0.02</v>
      </c>
      <c r="E29" s="399">
        <f>$C$29</f>
        <v>0.02</v>
      </c>
      <c r="F29" s="414"/>
      <c r="G29" s="399">
        <f>$C$29</f>
        <v>0.02</v>
      </c>
      <c r="H29" s="399">
        <f>$C$29</f>
        <v>0.02</v>
      </c>
      <c r="I29" s="399">
        <f>$C$29</f>
        <v>0.02</v>
      </c>
      <c r="J29" s="401"/>
      <c r="K29" s="521"/>
      <c r="L29" s="7"/>
      <c r="M29" s="272"/>
      <c r="N29" s="272"/>
      <c r="O29" s="272"/>
      <c r="P29" s="272"/>
      <c r="Q29" s="272"/>
      <c r="R29" s="433"/>
      <c r="S29" s="272"/>
      <c r="T29" s="433"/>
      <c r="U29" s="433"/>
      <c r="V29" s="433"/>
      <c r="W29" s="433"/>
      <c r="X29" s="433"/>
      <c r="Y29" s="433"/>
      <c r="Z29" s="433"/>
      <c r="AA29" s="433"/>
      <c r="AB29" s="433"/>
      <c r="AC29" s="433"/>
      <c r="AD29" s="433"/>
      <c r="AE29" s="433"/>
      <c r="AF29" s="433"/>
      <c r="AG29" s="433"/>
      <c r="AH29" s="433"/>
      <c r="AI29" s="433"/>
      <c r="AJ29" s="433"/>
      <c r="AK29" s="433"/>
      <c r="AL29" s="433"/>
      <c r="AM29" s="433"/>
      <c r="AN29" s="433"/>
    </row>
    <row r="30" spans="1:40" ht="15.75">
      <c r="A30" s="180" t="s">
        <v>42</v>
      </c>
      <c r="B30" s="172"/>
      <c r="C30" s="397">
        <v>1</v>
      </c>
      <c r="D30" s="401">
        <f>$C$30</f>
        <v>1</v>
      </c>
      <c r="E30" s="401">
        <f>$C$30</f>
        <v>1</v>
      </c>
      <c r="F30" s="398"/>
      <c r="G30" s="401">
        <f>$C$30</f>
        <v>1</v>
      </c>
      <c r="H30" s="401">
        <f>$C$30</f>
        <v>1</v>
      </c>
      <c r="I30" s="401">
        <f>$C$30</f>
        <v>1</v>
      </c>
      <c r="J30" s="402"/>
      <c r="K30" s="406"/>
      <c r="L30" s="7"/>
      <c r="M30" s="402"/>
      <c r="N30" s="402"/>
      <c r="O30" s="402"/>
      <c r="P30" s="402"/>
      <c r="Q30" s="402"/>
      <c r="R30" s="433"/>
      <c r="S30" s="402"/>
      <c r="T30" s="433"/>
      <c r="U30" s="433"/>
      <c r="V30" s="433"/>
      <c r="W30" s="433"/>
      <c r="X30" s="433"/>
      <c r="Y30" s="433"/>
      <c r="Z30" s="433"/>
      <c r="AA30" s="433"/>
      <c r="AB30" s="433"/>
      <c r="AC30" s="433"/>
      <c r="AD30" s="433"/>
      <c r="AE30" s="433"/>
      <c r="AF30" s="433"/>
      <c r="AG30" s="433"/>
      <c r="AH30" s="433"/>
      <c r="AI30" s="433"/>
      <c r="AJ30" s="433"/>
      <c r="AK30" s="433"/>
      <c r="AL30" s="433"/>
      <c r="AM30" s="433"/>
      <c r="AN30" s="433"/>
    </row>
    <row r="31" spans="1:40" ht="16.5" thickBot="1">
      <c r="A31" s="182" t="s">
        <v>212</v>
      </c>
      <c r="B31" s="554"/>
      <c r="C31" s="421">
        <f>C11*C15*(1-C29)</f>
        <v>612666.6</v>
      </c>
      <c r="D31" s="421">
        <f>D11*D15*(1-D29)</f>
        <v>736479.79999999993</v>
      </c>
      <c r="E31" s="421">
        <f>E11*E15*(1-E29)</f>
        <v>378883.68</v>
      </c>
      <c r="F31" s="421"/>
      <c r="G31" s="421">
        <f>G11*G15*(1-G29)</f>
        <v>457317</v>
      </c>
      <c r="H31" s="421">
        <f>H11*H15*(1-H29)</f>
        <v>415461.2</v>
      </c>
      <c r="I31" s="421">
        <f>I11*I15*(1-I29)</f>
        <v>1936480</v>
      </c>
      <c r="J31" s="33"/>
      <c r="K31" s="530">
        <f>SUM(C31:I31)</f>
        <v>4537288.28</v>
      </c>
      <c r="L31" s="7"/>
      <c r="M31" s="316"/>
      <c r="N31" s="316"/>
      <c r="O31" s="316"/>
      <c r="P31" s="316"/>
      <c r="Q31" s="316"/>
      <c r="R31" s="433"/>
      <c r="S31" s="316"/>
      <c r="T31" s="433"/>
      <c r="U31" s="433"/>
      <c r="V31" s="433"/>
      <c r="W31" s="433"/>
      <c r="X31" s="433"/>
      <c r="Y31" s="433"/>
      <c r="Z31" s="433"/>
      <c r="AA31" s="433"/>
      <c r="AB31" s="433"/>
      <c r="AC31" s="433"/>
      <c r="AD31" s="433"/>
      <c r="AE31" s="433"/>
      <c r="AF31" s="433"/>
      <c r="AG31" s="433"/>
      <c r="AH31" s="433"/>
      <c r="AI31" s="433"/>
      <c r="AJ31" s="433"/>
      <c r="AK31" s="433"/>
      <c r="AL31" s="433"/>
      <c r="AM31" s="433"/>
      <c r="AN31" s="433"/>
    </row>
    <row r="32" spans="1:40" ht="15.75">
      <c r="A32" s="19"/>
      <c r="B32" s="19"/>
      <c r="C32" s="262"/>
      <c r="D32" s="394"/>
      <c r="E32" s="394"/>
      <c r="F32" s="262"/>
      <c r="G32" s="394"/>
      <c r="H32" s="394"/>
      <c r="I32" s="394"/>
      <c r="J32" s="402"/>
      <c r="K32" s="402"/>
      <c r="L32" s="7"/>
      <c r="M32" s="396"/>
      <c r="N32" s="396"/>
      <c r="O32" s="396"/>
      <c r="P32" s="396"/>
      <c r="Q32" s="396"/>
      <c r="R32" s="433"/>
      <c r="S32" s="396"/>
      <c r="T32" s="433"/>
      <c r="U32" s="433"/>
      <c r="V32" s="433"/>
      <c r="W32" s="433"/>
      <c r="X32" s="433"/>
      <c r="Y32" s="433"/>
      <c r="Z32" s="433"/>
      <c r="AA32" s="433"/>
      <c r="AB32" s="433"/>
      <c r="AC32" s="433"/>
      <c r="AD32" s="433"/>
      <c r="AE32" s="433"/>
      <c r="AF32" s="433"/>
      <c r="AG32" s="433"/>
      <c r="AH32" s="433"/>
      <c r="AI32" s="433"/>
      <c r="AJ32" s="433"/>
      <c r="AK32" s="433"/>
      <c r="AL32" s="433"/>
      <c r="AM32" s="433"/>
      <c r="AN32" s="433"/>
    </row>
    <row r="33" spans="1:40" ht="16.5" thickBo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7"/>
      <c r="M33" s="396"/>
      <c r="N33" s="396"/>
      <c r="O33" s="396"/>
      <c r="P33" s="396"/>
      <c r="Q33" s="396"/>
      <c r="R33" s="433"/>
      <c r="S33" s="396"/>
      <c r="T33" s="433"/>
      <c r="U33" s="433"/>
      <c r="V33" s="433"/>
      <c r="W33" s="433"/>
      <c r="X33" s="433"/>
      <c r="Y33" s="433"/>
      <c r="Z33" s="433"/>
      <c r="AA33" s="433"/>
      <c r="AB33" s="433"/>
      <c r="AC33" s="433"/>
      <c r="AD33" s="433"/>
      <c r="AE33" s="433"/>
      <c r="AF33" s="433"/>
      <c r="AG33" s="433"/>
      <c r="AH33" s="433"/>
      <c r="AI33" s="433"/>
      <c r="AJ33" s="433"/>
      <c r="AK33" s="433"/>
      <c r="AL33" s="433"/>
      <c r="AM33" s="433"/>
      <c r="AN33" s="433"/>
    </row>
    <row r="34" spans="1:40" ht="15.75">
      <c r="A34" s="167" t="s">
        <v>50</v>
      </c>
      <c r="B34" s="193"/>
      <c r="C34" s="403"/>
      <c r="D34" s="403"/>
      <c r="E34" s="403"/>
      <c r="F34" s="404"/>
      <c r="G34" s="403"/>
      <c r="H34" s="403"/>
      <c r="I34" s="403"/>
      <c r="J34" s="403"/>
      <c r="K34" s="405"/>
      <c r="L34" s="7"/>
      <c r="M34" s="262"/>
      <c r="N34" s="262"/>
      <c r="O34" s="262"/>
      <c r="P34" s="262"/>
      <c r="Q34" s="262"/>
      <c r="R34" s="433"/>
      <c r="S34" s="262"/>
      <c r="T34" s="433"/>
      <c r="U34" s="433"/>
      <c r="V34" s="433"/>
      <c r="W34" s="433"/>
      <c r="X34" s="433"/>
      <c r="Y34" s="433"/>
      <c r="Z34" s="433"/>
      <c r="AA34" s="433"/>
      <c r="AB34" s="433"/>
      <c r="AC34" s="433"/>
      <c r="AD34" s="433"/>
      <c r="AE34" s="433"/>
      <c r="AF34" s="433"/>
      <c r="AG34" s="433"/>
      <c r="AH34" s="433"/>
      <c r="AI34" s="433"/>
      <c r="AJ34" s="433"/>
      <c r="AK34" s="433"/>
      <c r="AL34" s="433"/>
      <c r="AM34" s="433"/>
      <c r="AN34" s="433"/>
    </row>
    <row r="35" spans="1:40" ht="15.75">
      <c r="A35" s="180"/>
      <c r="B35" s="172"/>
      <c r="C35" s="402"/>
      <c r="D35" s="402"/>
      <c r="E35" s="402"/>
      <c r="F35" s="262"/>
      <c r="G35" s="402"/>
      <c r="H35" s="402"/>
      <c r="I35" s="402"/>
      <c r="J35" s="402"/>
      <c r="K35" s="406"/>
      <c r="L35" s="7"/>
      <c r="M35" s="262"/>
      <c r="N35" s="262"/>
      <c r="O35" s="262"/>
      <c r="P35" s="262"/>
      <c r="Q35" s="262"/>
      <c r="R35" s="433"/>
      <c r="S35" s="262"/>
      <c r="T35" s="433"/>
      <c r="U35" s="433"/>
      <c r="V35" s="433"/>
      <c r="W35" s="433"/>
      <c r="X35" s="433"/>
      <c r="Y35" s="433"/>
      <c r="Z35" s="433"/>
      <c r="AA35" s="433"/>
      <c r="AB35" s="433"/>
      <c r="AC35" s="433"/>
      <c r="AD35" s="433"/>
      <c r="AE35" s="433"/>
      <c r="AF35" s="433"/>
      <c r="AG35" s="433"/>
      <c r="AH35" s="433"/>
      <c r="AI35" s="433"/>
      <c r="AJ35" s="433"/>
      <c r="AK35" s="433"/>
      <c r="AL35" s="433"/>
      <c r="AM35" s="433"/>
      <c r="AN35" s="433"/>
    </row>
    <row r="36" spans="1:40" ht="15.75">
      <c r="A36" s="180" t="s">
        <v>52</v>
      </c>
      <c r="B36" s="172"/>
      <c r="C36" s="316">
        <v>0.35</v>
      </c>
      <c r="D36" s="316">
        <v>0.35</v>
      </c>
      <c r="E36" s="316">
        <v>0.35</v>
      </c>
      <c r="F36" s="262"/>
      <c r="G36" s="316">
        <v>0.35</v>
      </c>
      <c r="H36" s="316">
        <v>0.35</v>
      </c>
      <c r="I36" s="316">
        <v>0.35</v>
      </c>
      <c r="J36" s="399"/>
      <c r="K36" s="400"/>
      <c r="L36" s="7"/>
      <c r="M36" s="19"/>
      <c r="N36" s="19"/>
      <c r="O36" s="19"/>
      <c r="P36" s="19"/>
      <c r="Q36" s="19"/>
      <c r="R36" s="433"/>
      <c r="S36" s="19"/>
      <c r="T36" s="433"/>
      <c r="U36" s="433"/>
      <c r="V36" s="433"/>
      <c r="W36" s="433"/>
      <c r="X36" s="433"/>
      <c r="Y36" s="433"/>
      <c r="Z36" s="433"/>
      <c r="AA36" s="433"/>
      <c r="AB36" s="433"/>
      <c r="AC36" s="433"/>
      <c r="AD36" s="433"/>
      <c r="AE36" s="433"/>
      <c r="AF36" s="433"/>
      <c r="AG36" s="433"/>
      <c r="AH36" s="433"/>
      <c r="AI36" s="433"/>
      <c r="AJ36" s="433"/>
      <c r="AK36" s="433"/>
      <c r="AL36" s="433"/>
      <c r="AM36" s="433"/>
      <c r="AN36" s="433"/>
    </row>
    <row r="37" spans="1:40" ht="15.75">
      <c r="A37" s="180" t="s">
        <v>53</v>
      </c>
      <c r="B37" s="172"/>
      <c r="C37" s="396">
        <v>0.06</v>
      </c>
      <c r="D37" s="396">
        <v>0.05</v>
      </c>
      <c r="E37" s="396">
        <v>0.05</v>
      </c>
      <c r="F37" s="262"/>
      <c r="G37" s="396">
        <v>0.06</v>
      </c>
      <c r="H37" s="396">
        <v>4.4999999999999998E-2</v>
      </c>
      <c r="I37" s="396">
        <v>7.1800000000000003E-2</v>
      </c>
      <c r="J37" s="276"/>
      <c r="K37" s="323"/>
      <c r="L37" s="7"/>
      <c r="M37" s="394"/>
      <c r="N37" s="394"/>
      <c r="O37" s="272"/>
      <c r="P37" s="394"/>
      <c r="Q37" s="394"/>
      <c r="R37" s="433"/>
      <c r="S37" s="272"/>
      <c r="T37" s="433"/>
      <c r="U37" s="433"/>
      <c r="V37" s="433"/>
      <c r="W37" s="433"/>
      <c r="X37" s="433"/>
      <c r="Y37" s="433"/>
      <c r="Z37" s="433"/>
      <c r="AA37" s="433"/>
      <c r="AB37" s="433"/>
      <c r="AC37" s="433"/>
      <c r="AD37" s="433"/>
      <c r="AE37" s="433"/>
      <c r="AF37" s="433"/>
      <c r="AG37" s="433"/>
      <c r="AH37" s="433"/>
      <c r="AI37" s="433"/>
      <c r="AJ37" s="433"/>
      <c r="AK37" s="433"/>
      <c r="AL37" s="433"/>
      <c r="AM37" s="433"/>
      <c r="AN37" s="433"/>
    </row>
    <row r="38" spans="1:40" ht="15.75">
      <c r="A38" s="180" t="s">
        <v>122</v>
      </c>
      <c r="B38" s="433"/>
      <c r="C38" s="396" t="s">
        <v>54</v>
      </c>
      <c r="D38" s="396" t="s">
        <v>54</v>
      </c>
      <c r="E38" s="396" t="s">
        <v>54</v>
      </c>
      <c r="F38" s="262"/>
      <c r="G38" s="396" t="s">
        <v>54</v>
      </c>
      <c r="H38" s="396">
        <v>3.4000000000000002E-2</v>
      </c>
      <c r="I38" s="396" t="s">
        <v>54</v>
      </c>
      <c r="J38" s="276"/>
      <c r="K38" s="323"/>
      <c r="L38" s="7"/>
      <c r="M38" s="424"/>
      <c r="N38" s="424"/>
      <c r="O38" s="424"/>
      <c r="P38" s="424"/>
      <c r="Q38" s="424"/>
      <c r="R38" s="433"/>
      <c r="S38" s="424"/>
      <c r="T38" s="433"/>
      <c r="U38" s="433"/>
      <c r="V38" s="433"/>
      <c r="W38" s="433"/>
      <c r="X38" s="433"/>
      <c r="Y38" s="433"/>
      <c r="Z38" s="433"/>
      <c r="AA38" s="433"/>
      <c r="AB38" s="433"/>
      <c r="AC38" s="433"/>
      <c r="AD38" s="433"/>
      <c r="AE38" s="433"/>
      <c r="AF38" s="433"/>
      <c r="AG38" s="433"/>
      <c r="AH38" s="433"/>
      <c r="AI38" s="433"/>
      <c r="AJ38" s="433"/>
      <c r="AK38" s="433"/>
      <c r="AL38" s="433"/>
      <c r="AM38" s="433"/>
      <c r="AN38" s="433"/>
    </row>
    <row r="39" spans="1:40" ht="15.75">
      <c r="A39" s="180" t="s">
        <v>270</v>
      </c>
      <c r="B39" s="433"/>
      <c r="C39" s="396" t="s">
        <v>54</v>
      </c>
      <c r="D39" s="396" t="s">
        <v>54</v>
      </c>
      <c r="E39" s="396" t="s">
        <v>54</v>
      </c>
      <c r="F39" s="262"/>
      <c r="G39" s="396" t="s">
        <v>54</v>
      </c>
      <c r="H39" s="396">
        <v>1.2E-2</v>
      </c>
      <c r="I39" s="396" t="s">
        <v>54</v>
      </c>
      <c r="J39" s="398"/>
      <c r="K39" s="522"/>
      <c r="L39" s="7"/>
      <c r="M39" s="430"/>
      <c r="N39" s="430"/>
      <c r="O39" s="430"/>
      <c r="P39" s="430"/>
      <c r="Q39" s="430"/>
      <c r="R39" s="433"/>
      <c r="S39" s="430"/>
      <c r="T39" s="433"/>
      <c r="U39" s="433"/>
      <c r="V39" s="433"/>
      <c r="W39" s="433"/>
      <c r="X39" s="433"/>
      <c r="Y39" s="433"/>
      <c r="Z39" s="433"/>
      <c r="AA39" s="433"/>
      <c r="AB39" s="433"/>
      <c r="AC39" s="433"/>
      <c r="AD39" s="433"/>
      <c r="AE39" s="433"/>
      <c r="AF39" s="433"/>
      <c r="AG39" s="433"/>
      <c r="AH39" s="433"/>
      <c r="AI39" s="433"/>
      <c r="AJ39" s="433"/>
      <c r="AK39" s="433"/>
      <c r="AL39" s="433"/>
      <c r="AM39" s="433"/>
      <c r="AN39" s="433"/>
    </row>
    <row r="40" spans="1:40" ht="15.75">
      <c r="A40" s="180" t="s">
        <v>274</v>
      </c>
      <c r="B40" s="172"/>
      <c r="C40" s="396">
        <v>2.5000000000000001E-3</v>
      </c>
      <c r="D40" s="396">
        <v>2.5000000000000001E-3</v>
      </c>
      <c r="E40" s="396">
        <v>2.5000000000000001E-3</v>
      </c>
      <c r="F40" s="262"/>
      <c r="G40" s="396">
        <v>2.5000000000000001E-3</v>
      </c>
      <c r="H40" s="396" t="s">
        <v>54</v>
      </c>
      <c r="I40" s="396">
        <v>1.5E-3</v>
      </c>
      <c r="J40" s="398"/>
      <c r="K40" s="522"/>
      <c r="L40" s="7"/>
      <c r="M40" s="262"/>
      <c r="N40" s="262"/>
      <c r="O40" s="262"/>
      <c r="P40" s="262"/>
      <c r="Q40" s="262"/>
      <c r="R40" s="433"/>
      <c r="S40" s="262"/>
      <c r="T40" s="433"/>
      <c r="U40" s="433"/>
      <c r="V40" s="433"/>
      <c r="W40" s="433"/>
      <c r="X40" s="433"/>
      <c r="Y40" s="433"/>
      <c r="Z40" s="433"/>
      <c r="AA40" s="433"/>
      <c r="AB40" s="433"/>
      <c r="AC40" s="433"/>
      <c r="AD40" s="433"/>
      <c r="AE40" s="433"/>
      <c r="AF40" s="433"/>
      <c r="AG40" s="433"/>
      <c r="AH40" s="433"/>
      <c r="AI40" s="433"/>
      <c r="AJ40" s="433"/>
      <c r="AK40" s="433"/>
      <c r="AL40" s="433"/>
      <c r="AM40" s="433"/>
      <c r="AN40" s="433"/>
    </row>
    <row r="41" spans="1:40" ht="16.5" thickBot="1">
      <c r="A41" s="182" t="s">
        <v>275</v>
      </c>
      <c r="B41" s="183"/>
      <c r="C41" s="407">
        <v>2.5000000000000001E-3</v>
      </c>
      <c r="D41" s="407">
        <v>2.5000000000000001E-3</v>
      </c>
      <c r="E41" s="407">
        <v>2.5000000000000001E-3</v>
      </c>
      <c r="F41" s="408"/>
      <c r="G41" s="407">
        <v>2.5000000000000001E-3</v>
      </c>
      <c r="H41" s="407" t="s">
        <v>54</v>
      </c>
      <c r="I41" s="407">
        <v>1E-3</v>
      </c>
      <c r="J41" s="33"/>
      <c r="K41" s="145"/>
      <c r="L41" s="19"/>
      <c r="M41" s="399"/>
      <c r="N41" s="399"/>
      <c r="O41" s="399"/>
      <c r="P41" s="399"/>
      <c r="Q41" s="399"/>
      <c r="R41" s="433"/>
      <c r="S41" s="399"/>
      <c r="T41" s="433"/>
      <c r="U41" s="433"/>
      <c r="V41" s="433"/>
      <c r="W41" s="433"/>
      <c r="X41" s="433"/>
      <c r="Y41" s="433"/>
      <c r="Z41" s="433"/>
      <c r="AA41" s="433"/>
      <c r="AB41" s="433"/>
      <c r="AC41" s="433"/>
      <c r="AD41" s="433"/>
      <c r="AE41" s="433"/>
      <c r="AF41" s="433"/>
      <c r="AG41" s="433"/>
      <c r="AH41" s="433"/>
      <c r="AI41" s="433"/>
      <c r="AJ41" s="433"/>
      <c r="AK41" s="433"/>
      <c r="AL41" s="433"/>
      <c r="AM41" s="433"/>
      <c r="AN41" s="433"/>
    </row>
    <row r="42" spans="1:40" ht="15.75">
      <c r="A42" s="19"/>
      <c r="B42" s="19"/>
      <c r="C42" s="262"/>
      <c r="D42" s="262"/>
      <c r="E42" s="262"/>
      <c r="F42" s="262"/>
      <c r="G42" s="262"/>
      <c r="H42" s="262"/>
      <c r="I42" s="262"/>
      <c r="J42" s="272"/>
      <c r="K42" s="272"/>
      <c r="L42" s="7"/>
      <c r="M42" s="262"/>
      <c r="N42" s="262"/>
      <c r="O42" s="262"/>
      <c r="P42" s="262"/>
      <c r="Q42" s="262"/>
      <c r="R42" s="433"/>
      <c r="S42" s="262"/>
      <c r="T42" s="433"/>
      <c r="U42" s="433"/>
      <c r="V42" s="433"/>
      <c r="W42" s="433"/>
      <c r="X42" s="433"/>
      <c r="Y42" s="433"/>
      <c r="Z42" s="433"/>
      <c r="AA42" s="433"/>
      <c r="AB42" s="433"/>
      <c r="AC42" s="433"/>
      <c r="AD42" s="433"/>
      <c r="AE42" s="433"/>
      <c r="AF42" s="433"/>
      <c r="AG42" s="433"/>
      <c r="AH42" s="433"/>
      <c r="AI42" s="433"/>
      <c r="AJ42" s="433"/>
      <c r="AK42" s="433"/>
      <c r="AL42" s="433"/>
      <c r="AM42" s="433"/>
      <c r="AN42" s="433"/>
    </row>
    <row r="43" spans="1:40" ht="16.5" thickBot="1">
      <c r="A43" s="19"/>
      <c r="B43" s="19"/>
      <c r="C43" s="19"/>
      <c r="D43" s="19"/>
      <c r="E43" s="19"/>
      <c r="F43" s="19"/>
      <c r="G43" s="19"/>
      <c r="H43" s="19"/>
      <c r="I43" s="19"/>
      <c r="J43" s="320"/>
      <c r="K43" s="320"/>
      <c r="L43" s="7"/>
      <c r="M43" s="412"/>
      <c r="N43" s="262"/>
      <c r="O43" s="276"/>
      <c r="P43" s="412"/>
      <c r="Q43" s="412"/>
      <c r="R43" s="433"/>
      <c r="S43" s="276"/>
      <c r="T43" s="433"/>
      <c r="U43" s="433"/>
      <c r="V43" s="433"/>
      <c r="W43" s="433"/>
      <c r="X43" s="433"/>
      <c r="Y43" s="433"/>
      <c r="Z43" s="433"/>
      <c r="AA43" s="433"/>
      <c r="AB43" s="433"/>
      <c r="AC43" s="433"/>
      <c r="AD43" s="433"/>
      <c r="AE43" s="433"/>
      <c r="AF43" s="433"/>
      <c r="AG43" s="433"/>
      <c r="AH43" s="433"/>
      <c r="AI43" s="433"/>
      <c r="AJ43" s="433"/>
      <c r="AK43" s="433"/>
      <c r="AL43" s="433"/>
      <c r="AM43" s="433"/>
      <c r="AN43" s="433"/>
    </row>
    <row r="44" spans="1:40" ht="15.75">
      <c r="A44" s="168" t="s">
        <v>56</v>
      </c>
      <c r="B44" s="198"/>
      <c r="C44" s="409"/>
      <c r="D44" s="409"/>
      <c r="E44" s="409"/>
      <c r="F44" s="404"/>
      <c r="G44" s="409"/>
      <c r="H44" s="409"/>
      <c r="I44" s="403"/>
      <c r="J44" s="523"/>
      <c r="K44" s="524"/>
      <c r="L44" s="7"/>
      <c r="M44" s="422"/>
      <c r="N44" s="422"/>
      <c r="O44" s="422"/>
      <c r="P44" s="422"/>
      <c r="Q44" s="422"/>
      <c r="R44" s="433"/>
      <c r="S44" s="422"/>
      <c r="T44" s="433"/>
      <c r="U44" s="433"/>
      <c r="V44" s="433"/>
      <c r="W44" s="433"/>
      <c r="X44" s="433"/>
      <c r="Y44" s="433"/>
      <c r="Z44" s="433"/>
      <c r="AA44" s="433"/>
      <c r="AB44" s="433"/>
      <c r="AC44" s="433"/>
      <c r="AD44" s="433"/>
      <c r="AE44" s="433"/>
      <c r="AF44" s="433"/>
      <c r="AG44" s="433"/>
      <c r="AH44" s="433"/>
      <c r="AI44" s="433"/>
      <c r="AJ44" s="433"/>
      <c r="AK44" s="433"/>
      <c r="AL44" s="433"/>
      <c r="AM44" s="433"/>
      <c r="AN44" s="433"/>
    </row>
    <row r="45" spans="1:40" ht="15.75">
      <c r="A45" s="313" t="s">
        <v>314</v>
      </c>
      <c r="B45" s="172"/>
      <c r="C45" s="424">
        <v>1.5</v>
      </c>
      <c r="D45" s="424">
        <v>1</v>
      </c>
      <c r="E45" s="424">
        <v>1</v>
      </c>
      <c r="F45" s="531"/>
      <c r="G45" s="424">
        <v>1.5</v>
      </c>
      <c r="H45" s="424">
        <v>3</v>
      </c>
      <c r="I45" s="424">
        <v>2</v>
      </c>
      <c r="J45" s="398"/>
      <c r="K45" s="522"/>
      <c r="L45" s="7"/>
      <c r="M45" s="422"/>
      <c r="N45" s="422"/>
      <c r="O45" s="422"/>
      <c r="P45" s="422"/>
      <c r="Q45" s="422"/>
      <c r="R45" s="433"/>
      <c r="S45" s="422"/>
      <c r="T45" s="433"/>
      <c r="U45" s="433"/>
      <c r="V45" s="433"/>
      <c r="W45" s="433"/>
      <c r="X45" s="433"/>
      <c r="Y45" s="433"/>
      <c r="Z45" s="433"/>
      <c r="AA45" s="433"/>
      <c r="AB45" s="433"/>
      <c r="AC45" s="433"/>
      <c r="AD45" s="433"/>
      <c r="AE45" s="433"/>
      <c r="AF45" s="433"/>
      <c r="AG45" s="433"/>
      <c r="AH45" s="433"/>
      <c r="AI45" s="433"/>
      <c r="AJ45" s="433"/>
      <c r="AK45" s="433"/>
      <c r="AL45" s="433"/>
      <c r="AM45" s="433"/>
      <c r="AN45" s="433"/>
    </row>
    <row r="46" spans="1:40" ht="15.75">
      <c r="A46" s="180" t="s">
        <v>300</v>
      </c>
      <c r="B46" s="172"/>
      <c r="C46" s="425">
        <v>7.0000000000000007E-2</v>
      </c>
      <c r="D46" s="430">
        <f>$C$46</f>
        <v>7.0000000000000007E-2</v>
      </c>
      <c r="E46" s="430">
        <f>$C$46</f>
        <v>7.0000000000000007E-2</v>
      </c>
      <c r="F46" s="426"/>
      <c r="G46" s="430">
        <f>$C$46</f>
        <v>7.0000000000000007E-2</v>
      </c>
      <c r="H46" s="430">
        <f>$C$46</f>
        <v>7.0000000000000007E-2</v>
      </c>
      <c r="I46" s="430">
        <f>$C$46</f>
        <v>7.0000000000000007E-2</v>
      </c>
      <c r="J46" s="399"/>
      <c r="K46" s="400"/>
      <c r="L46" s="7"/>
      <c r="M46" s="422"/>
      <c r="N46" s="422"/>
      <c r="O46" s="422"/>
      <c r="P46" s="422"/>
      <c r="Q46" s="422"/>
      <c r="R46" s="433"/>
      <c r="S46" s="422"/>
      <c r="T46" s="433"/>
      <c r="U46" s="433"/>
      <c r="V46" s="433"/>
      <c r="W46" s="433"/>
      <c r="X46" s="433"/>
      <c r="Y46" s="433"/>
      <c r="Z46" s="433"/>
      <c r="AA46" s="433"/>
      <c r="AB46" s="433"/>
      <c r="AC46" s="433"/>
      <c r="AD46" s="433"/>
      <c r="AE46" s="433"/>
      <c r="AF46" s="433"/>
      <c r="AG46" s="433"/>
      <c r="AH46" s="433"/>
      <c r="AI46" s="433"/>
      <c r="AJ46" s="433"/>
      <c r="AK46" s="433"/>
      <c r="AL46" s="433"/>
      <c r="AM46" s="433"/>
      <c r="AN46" s="433"/>
    </row>
    <row r="47" spans="1:40" ht="15.75">
      <c r="A47" s="32"/>
      <c r="B47" s="19"/>
      <c r="C47" s="262"/>
      <c r="D47" s="262"/>
      <c r="E47" s="262"/>
      <c r="F47" s="262"/>
      <c r="G47" s="262"/>
      <c r="H47" s="262"/>
      <c r="I47" s="262"/>
      <c r="J47" s="262"/>
      <c r="K47" s="393"/>
      <c r="L47" s="7"/>
      <c r="M47" s="422"/>
      <c r="N47" s="422"/>
      <c r="O47" s="422"/>
      <c r="P47" s="422"/>
      <c r="Q47" s="422"/>
      <c r="R47" s="433"/>
      <c r="S47" s="422"/>
      <c r="T47" s="433"/>
      <c r="U47" s="433"/>
      <c r="V47" s="433"/>
      <c r="W47" s="433"/>
      <c r="X47" s="433"/>
      <c r="Y47" s="433"/>
      <c r="Z47" s="433"/>
      <c r="AA47" s="433"/>
      <c r="AB47" s="433"/>
      <c r="AC47" s="433"/>
      <c r="AD47" s="433"/>
      <c r="AE47" s="433"/>
      <c r="AF47" s="433"/>
      <c r="AG47" s="433"/>
      <c r="AH47" s="433"/>
      <c r="AI47" s="433"/>
      <c r="AJ47" s="433"/>
      <c r="AK47" s="433"/>
      <c r="AL47" s="433"/>
      <c r="AM47" s="433"/>
      <c r="AN47" s="433"/>
    </row>
    <row r="48" spans="1:40" ht="15.75">
      <c r="A48" s="180" t="s">
        <v>161</v>
      </c>
      <c r="B48" s="172"/>
      <c r="C48" s="316">
        <v>0.03</v>
      </c>
      <c r="D48" s="399">
        <f>$C$48</f>
        <v>0.03</v>
      </c>
      <c r="E48" s="399">
        <f>$C$48</f>
        <v>0.03</v>
      </c>
      <c r="F48" s="414"/>
      <c r="G48" s="399">
        <f>$C$48</f>
        <v>0.03</v>
      </c>
      <c r="H48" s="399">
        <f>$C$48</f>
        <v>0.03</v>
      </c>
      <c r="I48" s="399">
        <f>$C$48</f>
        <v>0.03</v>
      </c>
      <c r="J48" s="276"/>
      <c r="K48" s="323"/>
      <c r="L48" s="7"/>
      <c r="M48" s="422"/>
      <c r="N48" s="422"/>
      <c r="O48" s="422"/>
      <c r="P48" s="422"/>
      <c r="Q48" s="422"/>
      <c r="R48" s="433"/>
      <c r="S48" s="422"/>
      <c r="T48" s="433"/>
      <c r="U48" s="433"/>
      <c r="V48" s="433"/>
      <c r="W48" s="433"/>
      <c r="X48" s="433"/>
      <c r="Y48" s="433"/>
      <c r="Z48" s="433"/>
      <c r="AA48" s="433"/>
      <c r="AB48" s="433"/>
      <c r="AC48" s="433"/>
      <c r="AD48" s="433"/>
      <c r="AE48" s="433"/>
      <c r="AF48" s="433"/>
      <c r="AG48" s="433"/>
      <c r="AH48" s="433"/>
      <c r="AI48" s="433"/>
      <c r="AJ48" s="433"/>
      <c r="AK48" s="433"/>
      <c r="AL48" s="433"/>
      <c r="AM48" s="433"/>
      <c r="AN48" s="433"/>
    </row>
    <row r="49" spans="1:40" ht="15.75">
      <c r="A49" s="180"/>
      <c r="B49" s="172"/>
      <c r="C49" s="262"/>
      <c r="D49" s="262"/>
      <c r="E49" s="262"/>
      <c r="F49" s="262"/>
      <c r="G49" s="262"/>
      <c r="H49" s="262"/>
      <c r="I49" s="262"/>
      <c r="J49" s="423"/>
      <c r="K49" s="525"/>
      <c r="L49" s="7"/>
      <c r="M49" s="422"/>
      <c r="N49" s="422"/>
      <c r="O49" s="422"/>
      <c r="P49" s="422"/>
      <c r="Q49" s="422"/>
      <c r="R49" s="433"/>
      <c r="S49" s="422"/>
      <c r="T49" s="433"/>
      <c r="U49" s="433"/>
      <c r="V49" s="433"/>
      <c r="W49" s="433"/>
      <c r="X49" s="433"/>
      <c r="Y49" s="433"/>
      <c r="Z49" s="433"/>
      <c r="AA49" s="433"/>
      <c r="AB49" s="433"/>
      <c r="AC49" s="433"/>
      <c r="AD49" s="433"/>
      <c r="AE49" s="433"/>
      <c r="AF49" s="433"/>
      <c r="AG49" s="433"/>
      <c r="AH49" s="433"/>
      <c r="AI49" s="433"/>
      <c r="AJ49" s="433"/>
      <c r="AK49" s="433"/>
      <c r="AL49" s="433"/>
      <c r="AM49" s="433"/>
      <c r="AN49" s="433"/>
    </row>
    <row r="50" spans="1:40" ht="15.75">
      <c r="A50" s="328" t="s">
        <v>160</v>
      </c>
      <c r="B50" s="172"/>
      <c r="C50" s="262"/>
      <c r="D50" s="262"/>
      <c r="E50" s="262"/>
      <c r="F50" s="262"/>
      <c r="G50" s="412"/>
      <c r="H50" s="262"/>
      <c r="I50" s="276"/>
      <c r="J50" s="423"/>
      <c r="K50" s="525"/>
      <c r="L50" s="7"/>
      <c r="M50" s="327"/>
      <c r="N50" s="327"/>
      <c r="O50" s="327"/>
      <c r="P50" s="327"/>
      <c r="Q50" s="327"/>
      <c r="R50" s="433"/>
      <c r="S50" s="327"/>
      <c r="T50" s="433"/>
      <c r="U50" s="433"/>
      <c r="V50" s="433"/>
      <c r="W50" s="433"/>
      <c r="X50" s="433"/>
      <c r="Y50" s="433"/>
      <c r="Z50" s="433"/>
      <c r="AA50" s="433"/>
      <c r="AB50" s="433"/>
      <c r="AC50" s="433"/>
      <c r="AD50" s="433"/>
      <c r="AE50" s="433"/>
      <c r="AF50" s="433"/>
      <c r="AG50" s="433"/>
      <c r="AH50" s="433"/>
      <c r="AI50" s="433"/>
      <c r="AJ50" s="433"/>
      <c r="AK50" s="433"/>
      <c r="AL50" s="433"/>
      <c r="AM50" s="433"/>
      <c r="AN50" s="433"/>
    </row>
    <row r="51" spans="1:40" ht="15.75">
      <c r="A51" s="180" t="s">
        <v>63</v>
      </c>
      <c r="B51" s="19"/>
      <c r="C51" s="422">
        <v>1563.6314700000003</v>
      </c>
      <c r="D51" s="422">
        <v>1721.30196</v>
      </c>
      <c r="E51" s="422">
        <v>1878.0665900000001</v>
      </c>
      <c r="F51" s="327"/>
      <c r="G51" s="422">
        <v>1242.4817142857141</v>
      </c>
      <c r="H51" s="422">
        <v>1515.7902857142858</v>
      </c>
      <c r="I51" s="422">
        <v>1448.5405714285714</v>
      </c>
      <c r="J51" s="423"/>
      <c r="K51" s="525"/>
      <c r="L51" s="7"/>
      <c r="M51" s="19"/>
      <c r="N51" s="19"/>
      <c r="O51" s="19"/>
      <c r="P51" s="19"/>
      <c r="Q51" s="433"/>
      <c r="R51" s="433"/>
      <c r="S51" s="19"/>
      <c r="T51" s="433"/>
      <c r="U51" s="433"/>
      <c r="V51" s="433"/>
      <c r="W51" s="433"/>
      <c r="X51" s="433"/>
      <c r="Y51" s="433"/>
      <c r="Z51" s="433"/>
      <c r="AA51" s="433"/>
      <c r="AB51" s="433"/>
      <c r="AC51" s="433"/>
      <c r="AD51" s="433"/>
      <c r="AE51" s="433"/>
      <c r="AF51" s="433"/>
      <c r="AG51" s="433"/>
      <c r="AH51" s="433"/>
      <c r="AI51" s="433"/>
      <c r="AJ51" s="433"/>
      <c r="AK51" s="433"/>
      <c r="AL51" s="433"/>
      <c r="AM51" s="433"/>
      <c r="AN51" s="433"/>
    </row>
    <row r="52" spans="1:40" ht="15.75">
      <c r="A52" s="180" t="s">
        <v>64</v>
      </c>
      <c r="B52" s="19"/>
      <c r="C52" s="326">
        <f>C45*C26/1000</f>
        <v>937.755</v>
      </c>
      <c r="D52" s="326">
        <f>D45*D26/1000</f>
        <v>751.51</v>
      </c>
      <c r="E52" s="326">
        <f>E45*E26/1000</f>
        <v>386.61599999999999</v>
      </c>
      <c r="F52" s="327"/>
      <c r="G52" s="326">
        <f>G45*G26/1000</f>
        <v>699.97500000000002</v>
      </c>
      <c r="H52" s="326">
        <f>H45*H26/1000</f>
        <v>1271.82</v>
      </c>
      <c r="I52" s="326">
        <f>I45*I26/1000</f>
        <v>3952</v>
      </c>
      <c r="J52" s="423"/>
      <c r="K52" s="525"/>
      <c r="L52" s="7"/>
      <c r="M52" s="327"/>
      <c r="N52" s="327"/>
      <c r="O52" s="327"/>
      <c r="P52" s="327"/>
      <c r="Q52" s="433"/>
      <c r="R52" s="433"/>
      <c r="S52" s="327"/>
      <c r="T52" s="433"/>
      <c r="U52" s="433"/>
      <c r="V52" s="433"/>
      <c r="W52" s="433"/>
      <c r="X52" s="433"/>
      <c r="Y52" s="433"/>
      <c r="Z52" s="433"/>
      <c r="AA52" s="433"/>
      <c r="AB52" s="433"/>
      <c r="AC52" s="433"/>
      <c r="AD52" s="433"/>
      <c r="AE52" s="433"/>
      <c r="AF52" s="433"/>
      <c r="AG52" s="433"/>
      <c r="AH52" s="433"/>
      <c r="AI52" s="433"/>
      <c r="AJ52" s="433"/>
      <c r="AK52" s="433"/>
      <c r="AL52" s="433"/>
      <c r="AM52" s="433"/>
      <c r="AN52" s="433"/>
    </row>
    <row r="53" spans="1:40" ht="15.75">
      <c r="A53" s="180" t="s">
        <v>320</v>
      </c>
      <c r="B53" s="433"/>
      <c r="C53" s="319">
        <v>1500</v>
      </c>
      <c r="D53" s="319">
        <v>1000</v>
      </c>
      <c r="E53" s="319">
        <v>1000</v>
      </c>
      <c r="F53" s="433"/>
      <c r="G53" s="319">
        <v>1500</v>
      </c>
      <c r="H53" s="319">
        <v>1500</v>
      </c>
      <c r="I53" s="319">
        <v>1000</v>
      </c>
      <c r="J53" s="433"/>
      <c r="K53" s="542"/>
      <c r="L53" s="19"/>
      <c r="M53" s="327"/>
      <c r="N53" s="327"/>
      <c r="O53" s="327"/>
      <c r="P53" s="327"/>
      <c r="Q53" s="433"/>
      <c r="R53" s="433"/>
      <c r="S53" s="327"/>
      <c r="T53" s="433"/>
      <c r="U53" s="433"/>
      <c r="V53" s="433"/>
      <c r="W53" s="433"/>
      <c r="X53" s="433"/>
      <c r="Y53" s="433"/>
      <c r="Z53" s="433"/>
      <c r="AA53" s="433"/>
      <c r="AB53" s="433"/>
      <c r="AC53" s="433"/>
      <c r="AD53" s="433"/>
      <c r="AE53" s="433"/>
      <c r="AF53" s="433"/>
      <c r="AG53" s="433"/>
      <c r="AH53" s="433"/>
      <c r="AI53" s="433"/>
      <c r="AJ53" s="433"/>
      <c r="AK53" s="433"/>
      <c r="AL53" s="433"/>
      <c r="AM53" s="433"/>
      <c r="AN53" s="433"/>
    </row>
    <row r="54" spans="1:40" ht="15.75">
      <c r="A54" s="180" t="s">
        <v>158</v>
      </c>
      <c r="B54" s="19"/>
      <c r="C54" s="422">
        <v>207.01900000000001</v>
      </c>
      <c r="D54" s="422">
        <v>207.01900000000001</v>
      </c>
      <c r="E54" s="422">
        <v>207.01900000000001</v>
      </c>
      <c r="F54" s="327"/>
      <c r="G54" s="422">
        <v>342.85714285714289</v>
      </c>
      <c r="H54" s="422">
        <v>342.85714285714289</v>
      </c>
      <c r="I54" s="422">
        <v>342.85714285714289</v>
      </c>
      <c r="J54" s="423"/>
      <c r="K54" s="525"/>
      <c r="L54" s="148"/>
      <c r="M54" s="327"/>
      <c r="N54" s="327"/>
      <c r="O54" s="327"/>
      <c r="P54" s="327"/>
      <c r="Q54" s="433"/>
      <c r="R54" s="433"/>
      <c r="S54" s="327"/>
      <c r="T54" s="433"/>
      <c r="U54" s="433"/>
      <c r="V54" s="433"/>
      <c r="W54" s="433"/>
      <c r="X54" s="433"/>
      <c r="Y54" s="433"/>
      <c r="Z54" s="433"/>
      <c r="AA54" s="433"/>
      <c r="AB54" s="433"/>
      <c r="AC54" s="433"/>
      <c r="AD54" s="433"/>
      <c r="AE54" s="433"/>
      <c r="AF54" s="433"/>
      <c r="AG54" s="433"/>
      <c r="AH54" s="433"/>
      <c r="AI54" s="433"/>
      <c r="AJ54" s="433"/>
      <c r="AK54" s="433"/>
      <c r="AL54" s="433"/>
      <c r="AM54" s="433"/>
      <c r="AN54" s="433"/>
    </row>
    <row r="55" spans="1:40" ht="15.75">
      <c r="A55" s="180" t="s">
        <v>159</v>
      </c>
      <c r="B55" s="19"/>
      <c r="C55" s="422">
        <v>431.78516666666667</v>
      </c>
      <c r="D55" s="422">
        <v>410.9306666666667</v>
      </c>
      <c r="E55" s="422">
        <v>362.67216666666667</v>
      </c>
      <c r="F55" s="327"/>
      <c r="G55" s="422">
        <v>322.2511428571429</v>
      </c>
      <c r="H55" s="422">
        <v>306.26771428571425</v>
      </c>
      <c r="I55" s="422">
        <v>400.64714285714285</v>
      </c>
      <c r="J55" s="423"/>
      <c r="K55" s="525"/>
      <c r="L55" s="517"/>
      <c r="M55" s="19"/>
      <c r="N55" s="19"/>
      <c r="O55" s="19"/>
      <c r="P55" s="19"/>
      <c r="Q55" s="19"/>
      <c r="R55" s="433"/>
      <c r="S55" s="433"/>
      <c r="T55" s="433"/>
      <c r="U55" s="433"/>
      <c r="V55" s="433"/>
      <c r="W55" s="433"/>
      <c r="X55" s="433"/>
      <c r="Y55" s="433"/>
      <c r="Z55" s="433"/>
      <c r="AA55" s="433"/>
      <c r="AB55" s="433"/>
      <c r="AC55" s="433"/>
      <c r="AD55" s="433"/>
      <c r="AE55" s="433"/>
      <c r="AF55" s="433"/>
      <c r="AG55" s="433"/>
      <c r="AH55" s="433"/>
      <c r="AI55" s="433"/>
      <c r="AJ55" s="433"/>
      <c r="AK55" s="433"/>
      <c r="AL55" s="433"/>
      <c r="AM55" s="433"/>
      <c r="AN55" s="433"/>
    </row>
    <row r="56" spans="1:40" ht="15.75">
      <c r="A56" s="180" t="s">
        <v>297</v>
      </c>
      <c r="B56" s="19"/>
      <c r="C56" s="326">
        <f>AVERAGE(Brownsville!B28:U28)</f>
        <v>394.41996040303633</v>
      </c>
      <c r="D56" s="326">
        <f>AVERAGE(Caledonia!B28:U28)</f>
        <v>496.4050000000002</v>
      </c>
      <c r="E56" s="326">
        <f>AVERAGE('New Albany'!B28:U28)</f>
        <v>452.06999999999988</v>
      </c>
      <c r="F56" s="326"/>
      <c r="G56" s="326">
        <f>AVERAGE(Gleason!B28:U28)</f>
        <v>620.99935172253834</v>
      </c>
      <c r="H56" s="326">
        <f>AVERAGE(Wheatland!B28:U28)</f>
        <v>642.38024999999982</v>
      </c>
      <c r="I56" s="326">
        <f>AVERAGE(Wilton!B28:U28)</f>
        <v>622.45500000000004</v>
      </c>
      <c r="J56" s="19"/>
      <c r="K56" s="31"/>
      <c r="L56" s="517"/>
      <c r="M56" s="19"/>
      <c r="N56" s="19"/>
      <c r="O56" s="19"/>
      <c r="P56" s="19"/>
      <c r="Q56" s="19"/>
      <c r="R56" s="433"/>
      <c r="S56" s="433"/>
      <c r="T56" s="433"/>
      <c r="U56" s="433"/>
      <c r="V56" s="433"/>
      <c r="W56" s="433"/>
      <c r="X56" s="433"/>
      <c r="Y56" s="433"/>
      <c r="Z56" s="433"/>
      <c r="AA56" s="433"/>
      <c r="AB56" s="433"/>
      <c r="AC56" s="433"/>
      <c r="AD56" s="433"/>
      <c r="AE56" s="433"/>
      <c r="AF56" s="433"/>
      <c r="AG56" s="433"/>
      <c r="AH56" s="433"/>
      <c r="AI56" s="433"/>
      <c r="AJ56" s="433"/>
      <c r="AK56" s="433"/>
      <c r="AL56" s="433"/>
      <c r="AM56" s="433"/>
      <c r="AN56" s="433"/>
    </row>
    <row r="57" spans="1:40" ht="16.5" thickBot="1">
      <c r="A57" s="182" t="s">
        <v>66</v>
      </c>
      <c r="B57" s="33"/>
      <c r="C57" s="428">
        <v>0</v>
      </c>
      <c r="D57" s="428">
        <v>0</v>
      </c>
      <c r="E57" s="428">
        <v>0</v>
      </c>
      <c r="F57" s="428"/>
      <c r="G57" s="428">
        <v>0</v>
      </c>
      <c r="H57" s="428">
        <v>0</v>
      </c>
      <c r="I57" s="428">
        <v>0</v>
      </c>
      <c r="J57" s="432"/>
      <c r="K57" s="526"/>
      <c r="L57" s="517"/>
      <c r="M57" s="423"/>
      <c r="N57" s="423"/>
      <c r="O57" s="423"/>
      <c r="P57" s="423"/>
      <c r="Q57" s="423"/>
      <c r="R57" s="433"/>
      <c r="S57" s="433"/>
      <c r="T57" s="433"/>
      <c r="U57" s="433"/>
      <c r="V57" s="433"/>
      <c r="W57" s="433"/>
      <c r="X57" s="433"/>
      <c r="Y57" s="433"/>
      <c r="Z57" s="433"/>
      <c r="AA57" s="433"/>
      <c r="AB57" s="433"/>
      <c r="AC57" s="433"/>
      <c r="AD57" s="433"/>
      <c r="AE57" s="433"/>
      <c r="AF57" s="433"/>
      <c r="AG57" s="433"/>
      <c r="AH57" s="433"/>
      <c r="AI57" s="433"/>
      <c r="AJ57" s="433"/>
      <c r="AK57" s="433"/>
      <c r="AL57" s="433"/>
      <c r="AM57" s="433"/>
      <c r="AN57" s="433"/>
    </row>
    <row r="58" spans="1:40" ht="15.75">
      <c r="A58" s="172"/>
      <c r="B58" s="19"/>
      <c r="C58" s="327"/>
      <c r="D58" s="327"/>
      <c r="E58" s="541"/>
      <c r="F58" s="327"/>
      <c r="G58" s="327"/>
      <c r="H58" s="327"/>
      <c r="I58" s="327"/>
      <c r="J58" s="423"/>
      <c r="K58" s="423"/>
      <c r="L58" s="517"/>
      <c r="M58" s="423"/>
      <c r="N58" s="423"/>
      <c r="O58" s="423"/>
      <c r="P58" s="423"/>
      <c r="Q58" s="423"/>
      <c r="R58" s="433"/>
      <c r="S58" s="433"/>
      <c r="T58" s="433"/>
      <c r="U58" s="433"/>
      <c r="V58" s="433"/>
      <c r="W58" s="433"/>
      <c r="X58" s="433"/>
      <c r="Y58" s="433"/>
      <c r="Z58" s="433"/>
      <c r="AA58" s="433"/>
      <c r="AB58" s="433"/>
      <c r="AC58" s="433"/>
      <c r="AD58" s="433"/>
      <c r="AE58" s="433"/>
      <c r="AF58" s="433"/>
      <c r="AG58" s="433"/>
      <c r="AH58" s="433"/>
      <c r="AI58" s="433"/>
      <c r="AJ58" s="433"/>
      <c r="AK58" s="433"/>
      <c r="AL58" s="433"/>
      <c r="AM58" s="433"/>
      <c r="AN58" s="433"/>
    </row>
    <row r="59" spans="1:40" ht="15.75">
      <c r="A59" s="172"/>
      <c r="B59" s="19"/>
      <c r="C59" s="327"/>
      <c r="D59" s="327"/>
      <c r="E59" s="327"/>
      <c r="F59" s="327"/>
      <c r="G59" s="327"/>
      <c r="H59" s="327"/>
      <c r="I59" s="327"/>
      <c r="J59" s="19"/>
      <c r="K59" s="19"/>
      <c r="L59" s="517"/>
      <c r="M59" s="423"/>
      <c r="N59" s="423"/>
      <c r="O59" s="423"/>
      <c r="P59" s="423"/>
      <c r="Q59" s="423"/>
      <c r="R59" s="433"/>
      <c r="S59" s="433"/>
      <c r="T59" s="433"/>
      <c r="U59" s="433"/>
      <c r="V59" s="433"/>
      <c r="W59" s="433"/>
      <c r="X59" s="433"/>
      <c r="Y59" s="433"/>
      <c r="Z59" s="433"/>
      <c r="AA59" s="433"/>
      <c r="AB59" s="433"/>
      <c r="AC59" s="433"/>
      <c r="AD59" s="433"/>
      <c r="AE59" s="433"/>
      <c r="AF59" s="433"/>
      <c r="AG59" s="433"/>
      <c r="AH59" s="433"/>
      <c r="AI59" s="433"/>
      <c r="AJ59" s="433"/>
      <c r="AK59" s="433"/>
      <c r="AL59" s="433"/>
      <c r="AM59" s="433"/>
      <c r="AN59" s="433"/>
    </row>
    <row r="60" spans="1:40" ht="15.75">
      <c r="A60" s="172"/>
      <c r="B60" s="19"/>
      <c r="C60" s="327"/>
      <c r="D60" s="327"/>
      <c r="E60" s="327"/>
      <c r="F60" s="327"/>
      <c r="G60" s="327"/>
      <c r="H60" s="327"/>
      <c r="I60" s="327"/>
      <c r="J60" s="19"/>
      <c r="K60" s="19"/>
      <c r="L60" s="517"/>
      <c r="M60" s="423"/>
      <c r="N60" s="423"/>
      <c r="O60" s="423"/>
      <c r="P60" s="423"/>
      <c r="Q60" s="423"/>
      <c r="R60" s="433"/>
      <c r="S60" s="433"/>
      <c r="T60" s="433"/>
      <c r="U60" s="433"/>
      <c r="V60" s="433"/>
      <c r="W60" s="433"/>
      <c r="X60" s="433"/>
      <c r="Y60" s="433"/>
      <c r="Z60" s="433"/>
      <c r="AA60" s="433"/>
      <c r="AB60" s="433"/>
      <c r="AC60" s="433"/>
      <c r="AD60" s="433"/>
      <c r="AE60" s="433"/>
      <c r="AF60" s="433"/>
      <c r="AG60" s="433"/>
      <c r="AH60" s="433"/>
      <c r="AI60" s="433"/>
      <c r="AJ60" s="433"/>
      <c r="AK60" s="433"/>
      <c r="AL60" s="433"/>
      <c r="AM60" s="433"/>
      <c r="AN60" s="433"/>
    </row>
    <row r="61" spans="1:40">
      <c r="A61" s="19"/>
      <c r="B61" s="19"/>
      <c r="C61" s="423"/>
      <c r="D61" s="423"/>
      <c r="E61" s="423"/>
      <c r="F61" s="423"/>
      <c r="G61" s="423"/>
      <c r="H61" s="423"/>
      <c r="I61" s="423"/>
      <c r="J61" s="423"/>
      <c r="K61" s="423"/>
      <c r="L61" s="517"/>
      <c r="M61" s="423"/>
      <c r="N61" s="423"/>
      <c r="O61" s="423"/>
      <c r="P61" s="423"/>
      <c r="Q61" s="423"/>
      <c r="R61" s="433"/>
      <c r="S61" s="433"/>
      <c r="T61" s="433"/>
      <c r="U61" s="433"/>
      <c r="V61" s="433"/>
      <c r="W61" s="433"/>
      <c r="X61" s="433"/>
      <c r="Y61" s="433"/>
      <c r="Z61" s="433"/>
      <c r="AA61" s="433"/>
      <c r="AB61" s="433"/>
      <c r="AC61" s="433"/>
      <c r="AD61" s="433"/>
      <c r="AE61" s="433"/>
      <c r="AF61" s="433"/>
      <c r="AG61" s="433"/>
      <c r="AH61" s="433"/>
      <c r="AI61" s="433"/>
      <c r="AJ61" s="433"/>
      <c r="AK61" s="433"/>
      <c r="AL61" s="433"/>
      <c r="AM61" s="433"/>
      <c r="AN61" s="433"/>
    </row>
    <row r="62" spans="1:40">
      <c r="A62" s="19"/>
      <c r="B62" s="19"/>
      <c r="C62" s="423"/>
      <c r="D62" s="423"/>
      <c r="E62" s="423"/>
      <c r="F62" s="423"/>
      <c r="G62" s="423"/>
      <c r="H62" s="423"/>
      <c r="I62" s="423"/>
      <c r="J62" s="423"/>
      <c r="K62" s="423"/>
      <c r="L62" s="433"/>
      <c r="M62" s="433"/>
      <c r="N62" s="433"/>
      <c r="O62" s="433"/>
      <c r="P62" s="433"/>
      <c r="Q62" s="433"/>
      <c r="R62" s="433"/>
      <c r="S62" s="433"/>
      <c r="T62" s="433"/>
      <c r="U62" s="433"/>
      <c r="V62" s="433"/>
      <c r="W62" s="433"/>
      <c r="X62" s="433"/>
      <c r="Y62" s="433"/>
      <c r="Z62" s="433"/>
      <c r="AA62" s="433"/>
      <c r="AB62" s="433"/>
      <c r="AC62" s="433"/>
      <c r="AD62" s="433"/>
      <c r="AE62" s="433"/>
      <c r="AF62" s="433"/>
      <c r="AG62" s="433"/>
      <c r="AH62" s="433"/>
      <c r="AI62" s="433"/>
      <c r="AJ62" s="433"/>
      <c r="AK62" s="433"/>
      <c r="AL62" s="433"/>
      <c r="AM62" s="433"/>
      <c r="AN62" s="433"/>
    </row>
    <row r="63" spans="1:40">
      <c r="A63" s="88"/>
      <c r="B63" s="19"/>
      <c r="C63" s="423"/>
      <c r="D63" s="423"/>
      <c r="E63" s="423"/>
      <c r="F63" s="423"/>
      <c r="G63" s="423"/>
      <c r="H63" s="423"/>
      <c r="I63" s="423"/>
      <c r="J63" s="423"/>
      <c r="K63" s="423"/>
      <c r="L63" s="433"/>
      <c r="M63" s="433"/>
      <c r="N63" s="433"/>
      <c r="O63" s="433"/>
      <c r="P63" s="433"/>
      <c r="Q63" s="433"/>
      <c r="R63" s="433"/>
      <c r="S63" s="433"/>
      <c r="T63" s="433"/>
      <c r="U63" s="433"/>
      <c r="V63" s="433"/>
      <c r="W63" s="433"/>
      <c r="X63" s="433"/>
      <c r="Y63" s="433"/>
      <c r="Z63" s="433"/>
      <c r="AA63" s="433"/>
      <c r="AB63" s="433"/>
      <c r="AC63" s="433"/>
      <c r="AD63" s="433"/>
      <c r="AE63" s="433"/>
      <c r="AF63" s="433"/>
      <c r="AG63" s="433"/>
      <c r="AH63" s="433"/>
      <c r="AI63" s="433"/>
      <c r="AJ63" s="433"/>
      <c r="AK63" s="433"/>
      <c r="AL63" s="433"/>
      <c r="AM63" s="433"/>
      <c r="AN63" s="433"/>
    </row>
    <row r="64" spans="1:40">
      <c r="A64" s="88"/>
      <c r="B64" s="19"/>
      <c r="C64" s="423"/>
      <c r="D64" s="423"/>
      <c r="E64" s="423"/>
      <c r="F64" s="423"/>
      <c r="G64" s="423"/>
      <c r="H64" s="423"/>
      <c r="I64" s="423"/>
      <c r="J64" s="433"/>
      <c r="K64" s="433"/>
      <c r="L64" s="433"/>
      <c r="M64" s="433"/>
      <c r="N64" s="433"/>
      <c r="O64" s="433"/>
      <c r="P64" s="433"/>
      <c r="Q64" s="433"/>
      <c r="R64" s="433"/>
      <c r="S64" s="433"/>
      <c r="T64" s="433"/>
      <c r="U64" s="433"/>
      <c r="V64" s="433"/>
      <c r="W64" s="433"/>
      <c r="X64" s="433"/>
      <c r="Y64" s="433"/>
      <c r="Z64" s="433"/>
      <c r="AA64" s="433"/>
      <c r="AB64" s="433"/>
      <c r="AC64" s="433"/>
      <c r="AD64" s="433"/>
      <c r="AE64" s="433"/>
      <c r="AF64" s="433"/>
      <c r="AG64" s="433"/>
      <c r="AH64" s="433"/>
      <c r="AI64" s="433"/>
      <c r="AJ64" s="433"/>
      <c r="AK64" s="433"/>
      <c r="AL64" s="433"/>
      <c r="AM64" s="433"/>
      <c r="AN64" s="433"/>
    </row>
    <row r="65" spans="1:40">
      <c r="A65" s="433"/>
      <c r="B65" s="433"/>
      <c r="C65" s="433"/>
      <c r="D65" s="433"/>
      <c r="E65" s="433"/>
      <c r="F65" s="433"/>
      <c r="G65" s="433"/>
      <c r="H65" s="433"/>
      <c r="I65" s="433"/>
      <c r="J65" s="433"/>
      <c r="K65" s="433"/>
      <c r="L65" s="433"/>
      <c r="M65" s="433"/>
      <c r="N65" s="433"/>
      <c r="O65" s="433"/>
      <c r="P65" s="433"/>
      <c r="Q65" s="433"/>
      <c r="R65" s="433"/>
      <c r="S65" s="433"/>
      <c r="T65" s="433"/>
      <c r="U65" s="433"/>
      <c r="V65" s="433"/>
      <c r="W65" s="433"/>
      <c r="X65" s="433"/>
      <c r="Y65" s="433"/>
      <c r="Z65" s="433"/>
      <c r="AA65" s="433"/>
      <c r="AB65" s="433"/>
      <c r="AC65" s="433"/>
      <c r="AD65" s="433"/>
      <c r="AE65" s="433"/>
      <c r="AF65" s="433"/>
      <c r="AG65" s="433"/>
      <c r="AH65" s="433"/>
      <c r="AI65" s="433"/>
      <c r="AJ65" s="433"/>
      <c r="AK65" s="433"/>
      <c r="AL65" s="433"/>
      <c r="AM65" s="433"/>
      <c r="AN65" s="433"/>
    </row>
    <row r="66" spans="1:40">
      <c r="A66" s="433"/>
      <c r="B66" s="433"/>
      <c r="C66" s="433"/>
      <c r="D66" s="433"/>
      <c r="E66" s="433"/>
      <c r="F66" s="433"/>
      <c r="G66" s="433"/>
      <c r="H66" s="433"/>
      <c r="I66" s="433"/>
      <c r="J66" s="433"/>
      <c r="K66" s="433"/>
      <c r="L66" s="433"/>
      <c r="M66" s="433"/>
      <c r="N66" s="433"/>
      <c r="O66" s="433"/>
      <c r="P66" s="433"/>
      <c r="Q66" s="433"/>
      <c r="R66" s="433"/>
      <c r="S66" s="433"/>
      <c r="T66" s="433"/>
      <c r="U66" s="433"/>
      <c r="V66" s="433"/>
      <c r="W66" s="433"/>
      <c r="X66" s="433"/>
      <c r="Y66" s="433"/>
      <c r="Z66" s="433"/>
      <c r="AA66" s="433"/>
      <c r="AB66" s="433"/>
      <c r="AC66" s="433"/>
      <c r="AD66" s="433"/>
      <c r="AE66" s="433"/>
      <c r="AF66" s="433"/>
      <c r="AG66" s="433"/>
      <c r="AH66" s="433"/>
      <c r="AI66" s="433"/>
      <c r="AJ66" s="433"/>
      <c r="AK66" s="433"/>
      <c r="AL66" s="433"/>
      <c r="AM66" s="433"/>
      <c r="AN66" s="433"/>
    </row>
    <row r="67" spans="1:40">
      <c r="A67" s="433"/>
      <c r="B67" s="433"/>
      <c r="C67" s="433"/>
      <c r="D67" s="433"/>
      <c r="E67" s="433"/>
      <c r="F67" s="433"/>
      <c r="G67" s="433"/>
      <c r="H67" s="433"/>
      <c r="I67" s="433"/>
      <c r="J67" s="433"/>
      <c r="K67" s="433"/>
      <c r="L67" s="433"/>
      <c r="M67" s="433"/>
      <c r="N67" s="433"/>
      <c r="O67" s="433"/>
      <c r="P67" s="433"/>
      <c r="Q67" s="433"/>
      <c r="R67" s="433"/>
      <c r="S67" s="433"/>
      <c r="T67" s="433"/>
      <c r="U67" s="433"/>
      <c r="V67" s="433"/>
      <c r="W67" s="433"/>
      <c r="X67" s="433"/>
      <c r="Y67" s="433"/>
      <c r="Z67" s="433"/>
      <c r="AA67" s="433"/>
      <c r="AB67" s="433"/>
      <c r="AC67" s="433"/>
      <c r="AD67" s="433"/>
      <c r="AE67" s="433"/>
      <c r="AF67" s="433"/>
      <c r="AG67" s="433"/>
      <c r="AH67" s="433"/>
      <c r="AI67" s="433"/>
      <c r="AJ67" s="433"/>
      <c r="AK67" s="433"/>
      <c r="AL67" s="433"/>
      <c r="AM67" s="433"/>
      <c r="AN67" s="433"/>
    </row>
    <row r="68" spans="1:40">
      <c r="A68" s="433"/>
      <c r="B68" s="433"/>
      <c r="C68" s="433"/>
      <c r="D68" s="433"/>
      <c r="E68" s="433"/>
      <c r="F68" s="433"/>
      <c r="G68" s="433"/>
      <c r="H68" s="433"/>
      <c r="I68" s="433"/>
      <c r="J68" s="433"/>
      <c r="K68" s="433"/>
      <c r="L68" s="433"/>
      <c r="M68" s="433"/>
      <c r="N68" s="433"/>
      <c r="O68" s="433"/>
      <c r="P68" s="433"/>
      <c r="Q68" s="433"/>
      <c r="R68" s="433"/>
      <c r="S68" s="433"/>
      <c r="T68" s="433"/>
      <c r="U68" s="433"/>
      <c r="V68" s="433"/>
      <c r="W68" s="433"/>
      <c r="X68" s="433"/>
      <c r="Y68" s="433"/>
      <c r="Z68" s="433"/>
      <c r="AA68" s="433"/>
      <c r="AB68" s="433"/>
      <c r="AC68" s="433"/>
      <c r="AD68" s="433"/>
      <c r="AE68" s="433"/>
      <c r="AF68" s="433"/>
      <c r="AG68" s="433"/>
      <c r="AH68" s="433"/>
      <c r="AI68" s="433"/>
      <c r="AJ68" s="433"/>
      <c r="AK68" s="433"/>
      <c r="AL68" s="433"/>
      <c r="AM68" s="433"/>
      <c r="AN68" s="433"/>
    </row>
    <row r="69" spans="1:40">
      <c r="A69" s="433"/>
      <c r="B69" s="433"/>
      <c r="C69" s="433"/>
      <c r="D69" s="433"/>
      <c r="E69" s="433"/>
      <c r="F69" s="433"/>
      <c r="G69" s="433"/>
      <c r="H69" s="433"/>
      <c r="I69" s="433"/>
      <c r="J69" s="433"/>
      <c r="K69" s="433"/>
      <c r="L69" s="433"/>
      <c r="M69" s="433"/>
      <c r="N69" s="433"/>
      <c r="O69" s="433"/>
      <c r="P69" s="433"/>
      <c r="Q69" s="433"/>
      <c r="R69" s="433"/>
      <c r="S69" s="433"/>
      <c r="T69" s="433"/>
      <c r="U69" s="433"/>
      <c r="V69" s="433"/>
      <c r="W69" s="433"/>
      <c r="X69" s="433"/>
      <c r="Y69" s="433"/>
      <c r="Z69" s="433"/>
      <c r="AA69" s="433"/>
      <c r="AB69" s="433"/>
      <c r="AC69" s="433"/>
      <c r="AD69" s="433"/>
      <c r="AE69" s="433"/>
      <c r="AF69" s="433"/>
      <c r="AG69" s="433"/>
      <c r="AH69" s="433"/>
      <c r="AI69" s="433"/>
      <c r="AJ69" s="433"/>
      <c r="AK69" s="433"/>
      <c r="AL69" s="433"/>
      <c r="AM69" s="433"/>
      <c r="AN69" s="433"/>
    </row>
    <row r="70" spans="1:40">
      <c r="A70" s="433"/>
      <c r="B70" s="433"/>
      <c r="C70" s="433"/>
      <c r="D70" s="433"/>
      <c r="E70" s="433"/>
      <c r="F70" s="433"/>
      <c r="G70" s="433"/>
      <c r="H70" s="433"/>
      <c r="I70" s="433"/>
      <c r="J70" s="433"/>
      <c r="K70" s="433"/>
      <c r="L70" s="433"/>
      <c r="M70" s="433"/>
      <c r="N70" s="433"/>
      <c r="O70" s="433"/>
      <c r="P70" s="433"/>
      <c r="Q70" s="433"/>
      <c r="R70" s="433"/>
      <c r="S70" s="433"/>
      <c r="T70" s="433"/>
      <c r="U70" s="433"/>
      <c r="V70" s="433"/>
      <c r="W70" s="433"/>
      <c r="X70" s="433"/>
      <c r="Y70" s="433"/>
      <c r="Z70" s="433"/>
      <c r="AA70" s="433"/>
      <c r="AB70" s="433"/>
      <c r="AC70" s="433"/>
      <c r="AD70" s="433"/>
      <c r="AE70" s="433"/>
      <c r="AF70" s="433"/>
      <c r="AG70" s="433"/>
      <c r="AH70" s="433"/>
      <c r="AI70" s="433"/>
      <c r="AJ70" s="433"/>
      <c r="AK70" s="433"/>
      <c r="AL70" s="433"/>
      <c r="AM70" s="433"/>
      <c r="AN70" s="433"/>
    </row>
    <row r="71" spans="1:40">
      <c r="A71" s="433"/>
      <c r="B71" s="433"/>
      <c r="C71" s="433"/>
      <c r="D71" s="433"/>
      <c r="E71" s="433"/>
      <c r="F71" s="433"/>
      <c r="G71" s="433"/>
      <c r="H71" s="433"/>
      <c r="I71" s="433"/>
      <c r="J71" s="433"/>
      <c r="K71" s="433"/>
      <c r="L71" s="433"/>
      <c r="M71" s="433"/>
      <c r="N71" s="433"/>
      <c r="O71" s="433"/>
      <c r="P71" s="433"/>
      <c r="Q71" s="433"/>
      <c r="R71" s="433"/>
      <c r="S71" s="433"/>
      <c r="T71" s="433"/>
      <c r="U71" s="433"/>
      <c r="V71" s="433"/>
      <c r="W71" s="433"/>
      <c r="X71" s="433"/>
      <c r="Y71" s="433"/>
      <c r="Z71" s="433"/>
      <c r="AA71" s="433"/>
      <c r="AB71" s="433"/>
      <c r="AC71" s="433"/>
      <c r="AD71" s="433"/>
      <c r="AE71" s="433"/>
      <c r="AF71" s="433"/>
      <c r="AG71" s="433"/>
      <c r="AH71" s="433"/>
      <c r="AI71" s="433"/>
      <c r="AJ71" s="433"/>
      <c r="AK71" s="433"/>
      <c r="AL71" s="433"/>
      <c r="AM71" s="433"/>
      <c r="AN71" s="433"/>
    </row>
  </sheetData>
  <mergeCells count="3">
    <mergeCell ref="M5:Q5"/>
    <mergeCell ref="C5:E5"/>
    <mergeCell ref="G5:I5"/>
  </mergeCells>
  <pageMargins left="0.75" right="0.75" top="1" bottom="1" header="0.5" footer="0.5"/>
  <pageSetup scale="53"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Drop Down 1">
              <controlPr defaultSize="0" autoFill="0" autoLine="0" autoPict="0">
                <anchor moveWithCells="1">
                  <from>
                    <xdr:col>0</xdr:col>
                    <xdr:colOff>2047875</xdr:colOff>
                    <xdr:row>21</xdr:row>
                    <xdr:rowOff>180975</xdr:rowOff>
                  </from>
                  <to>
                    <xdr:col>1</xdr:col>
                    <xdr:colOff>0</xdr:colOff>
                    <xdr:row>22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D85"/>
  <sheetViews>
    <sheetView zoomScale="75" zoomScaleNormal="75" workbookViewId="0"/>
  </sheetViews>
  <sheetFormatPr defaultColWidth="9.28515625" defaultRowHeight="15.75"/>
  <cols>
    <col min="1" max="1" width="7" style="38" customWidth="1"/>
    <col min="2" max="2" width="35.140625" style="38" customWidth="1"/>
    <col min="3" max="3" width="11.140625" style="38" customWidth="1"/>
    <col min="4" max="7" width="9.85546875" style="38" customWidth="1"/>
    <col min="8" max="9" width="11.5703125" style="38" customWidth="1"/>
    <col min="10" max="10" width="10.28515625" style="38" customWidth="1"/>
    <col min="11" max="24" width="9.85546875" style="38" customWidth="1"/>
    <col min="25" max="16384" width="9.28515625" style="38"/>
  </cols>
  <sheetData>
    <row r="1" spans="1:30" ht="12" customHeight="1">
      <c r="A1" s="27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</row>
    <row r="2" spans="1:30" ht="18.75">
      <c r="A2" s="473" t="s">
        <v>67</v>
      </c>
      <c r="B2" s="211"/>
      <c r="C2" s="126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</row>
    <row r="3" spans="1:30"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</row>
    <row r="4" spans="1:30">
      <c r="D4" s="216">
        <v>2000</v>
      </c>
      <c r="E4" s="216">
        <f t="shared" ref="E4:X4" si="0">D4+1</f>
        <v>2001</v>
      </c>
      <c r="F4" s="216">
        <f t="shared" si="0"/>
        <v>2002</v>
      </c>
      <c r="G4" s="216">
        <f t="shared" si="0"/>
        <v>2003</v>
      </c>
      <c r="H4" s="216">
        <f t="shared" si="0"/>
        <v>2004</v>
      </c>
      <c r="I4" s="216">
        <f t="shared" si="0"/>
        <v>2005</v>
      </c>
      <c r="J4" s="216">
        <f t="shared" si="0"/>
        <v>2006</v>
      </c>
      <c r="K4" s="216">
        <f t="shared" si="0"/>
        <v>2007</v>
      </c>
      <c r="L4" s="216">
        <f t="shared" si="0"/>
        <v>2008</v>
      </c>
      <c r="M4" s="216">
        <f t="shared" si="0"/>
        <v>2009</v>
      </c>
      <c r="N4" s="216">
        <f t="shared" si="0"/>
        <v>2010</v>
      </c>
      <c r="O4" s="216">
        <f t="shared" si="0"/>
        <v>2011</v>
      </c>
      <c r="P4" s="216">
        <f t="shared" si="0"/>
        <v>2012</v>
      </c>
      <c r="Q4" s="216">
        <f t="shared" si="0"/>
        <v>2013</v>
      </c>
      <c r="R4" s="216">
        <f t="shared" si="0"/>
        <v>2014</v>
      </c>
      <c r="S4" s="216">
        <f t="shared" si="0"/>
        <v>2015</v>
      </c>
      <c r="T4" s="216">
        <f t="shared" si="0"/>
        <v>2016</v>
      </c>
      <c r="U4" s="216">
        <f t="shared" si="0"/>
        <v>2017</v>
      </c>
      <c r="V4" s="216">
        <f t="shared" si="0"/>
        <v>2018</v>
      </c>
      <c r="W4" s="216">
        <f t="shared" si="0"/>
        <v>2019</v>
      </c>
      <c r="X4" s="216">
        <f t="shared" si="0"/>
        <v>2020</v>
      </c>
    </row>
    <row r="5" spans="1:30">
      <c r="A5" s="247" t="s">
        <v>228</v>
      </c>
      <c r="B5" s="172"/>
      <c r="C5" s="172"/>
      <c r="D5" s="446"/>
      <c r="E5" s="446"/>
      <c r="F5" s="446"/>
      <c r="G5" s="446"/>
      <c r="H5" s="446"/>
      <c r="I5" s="446"/>
      <c r="J5" s="446"/>
      <c r="K5" s="446"/>
      <c r="L5" s="446"/>
      <c r="M5" s="446"/>
      <c r="N5" s="446"/>
      <c r="O5" s="446"/>
      <c r="P5" s="446"/>
      <c r="Q5" s="446"/>
      <c r="R5" s="446"/>
      <c r="S5" s="446"/>
      <c r="T5" s="446"/>
      <c r="U5" s="446"/>
      <c r="V5" s="446"/>
      <c r="W5" s="446"/>
      <c r="X5" s="446"/>
      <c r="Y5" s="447"/>
      <c r="Z5" s="126"/>
      <c r="AA5" s="126"/>
      <c r="AB5" s="126"/>
      <c r="AC5" s="126"/>
      <c r="AD5" s="126"/>
    </row>
    <row r="6" spans="1:30">
      <c r="A6" s="172">
        <v>1</v>
      </c>
      <c r="B6" s="172" t="s">
        <v>257</v>
      </c>
      <c r="C6" s="172"/>
      <c r="D6" s="222">
        <f>Summary!$C$21</f>
        <v>4</v>
      </c>
      <c r="E6" s="222">
        <f>Summary!$C$21</f>
        <v>4</v>
      </c>
      <c r="F6" s="222">
        <f>Summary!$C$21</f>
        <v>4</v>
      </c>
      <c r="G6" s="222">
        <f>Summary!$C$21</f>
        <v>4</v>
      </c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0"/>
    </row>
    <row r="7" spans="1:30">
      <c r="A7" s="172">
        <v>2</v>
      </c>
      <c r="B7" s="172" t="s">
        <v>258</v>
      </c>
      <c r="C7" s="172"/>
      <c r="D7" s="222">
        <f>Summary!$C$21</f>
        <v>4</v>
      </c>
      <c r="E7" s="222">
        <f>Summary!$C$21</f>
        <v>4</v>
      </c>
      <c r="F7" s="222">
        <f>Summary!$C$21</f>
        <v>4</v>
      </c>
      <c r="G7" s="222">
        <f>Summary!$C$21</f>
        <v>4</v>
      </c>
      <c r="H7" s="222">
        <v>4.75</v>
      </c>
      <c r="I7" s="222">
        <v>4.75</v>
      </c>
      <c r="J7" s="222">
        <v>4.75</v>
      </c>
      <c r="K7" s="222">
        <f>Summary!$C$23</f>
        <v>4.75</v>
      </c>
      <c r="L7" s="222">
        <f>Summary!$C$23</f>
        <v>4.75</v>
      </c>
      <c r="M7" s="222"/>
      <c r="N7" s="222"/>
      <c r="O7" s="222"/>
      <c r="P7" s="172"/>
      <c r="Q7" s="172"/>
      <c r="R7" s="172"/>
      <c r="S7" s="172"/>
      <c r="T7" s="172"/>
      <c r="U7" s="172"/>
      <c r="V7" s="172"/>
      <c r="W7" s="172"/>
      <c r="X7" s="172"/>
    </row>
    <row r="8" spans="1:30">
      <c r="A8" s="172">
        <v>3</v>
      </c>
      <c r="B8" s="172" t="s">
        <v>259</v>
      </c>
      <c r="C8" s="172"/>
      <c r="D8" s="222">
        <f>Summary!$C$21</f>
        <v>4</v>
      </c>
      <c r="E8" s="222">
        <f>Summary!$C$21</f>
        <v>4</v>
      </c>
      <c r="F8" s="222">
        <f>Summary!$C$21</f>
        <v>4</v>
      </c>
      <c r="G8" s="222">
        <f>Summary!$C$21</f>
        <v>4</v>
      </c>
      <c r="H8" s="222">
        <v>4.75</v>
      </c>
      <c r="I8" s="222">
        <v>4.75</v>
      </c>
      <c r="J8" s="222">
        <v>4.75</v>
      </c>
      <c r="K8" s="222">
        <f>Summary!$C$23</f>
        <v>4.75</v>
      </c>
      <c r="L8" s="222">
        <f>Summary!$C$23</f>
        <v>4.75</v>
      </c>
      <c r="M8" s="222">
        <f>Summary!$C$23</f>
        <v>4.75</v>
      </c>
      <c r="N8" s="222">
        <f>Summary!$C$23</f>
        <v>4.75</v>
      </c>
      <c r="O8" s="222">
        <f>Summary!$C$23</f>
        <v>4.75</v>
      </c>
      <c r="P8" s="222">
        <f>Summary!$C$23</f>
        <v>4.75</v>
      </c>
      <c r="Q8" s="222">
        <f>Summary!$C$23</f>
        <v>4.75</v>
      </c>
      <c r="R8" s="222"/>
      <c r="S8" s="222"/>
      <c r="T8" s="222"/>
      <c r="U8" s="172"/>
      <c r="V8" s="172"/>
      <c r="W8" s="172"/>
      <c r="X8" s="172"/>
    </row>
    <row r="9" spans="1:30">
      <c r="A9" s="172">
        <v>4</v>
      </c>
      <c r="B9" s="172" t="s">
        <v>260</v>
      </c>
      <c r="C9" s="172"/>
      <c r="D9" s="222">
        <f>Summary!$C$21</f>
        <v>4</v>
      </c>
      <c r="E9" s="222">
        <f>Summary!$C$21</f>
        <v>4</v>
      </c>
      <c r="F9" s="222">
        <f>Summary!$C$21</f>
        <v>4</v>
      </c>
      <c r="G9" s="222">
        <f>Summary!$C$21</f>
        <v>4</v>
      </c>
      <c r="H9" s="222">
        <v>4.75</v>
      </c>
      <c r="I9" s="222">
        <v>4.75</v>
      </c>
      <c r="J9" s="222">
        <v>4.75</v>
      </c>
      <c r="K9" s="222">
        <f>Summary!$C$23</f>
        <v>4.75</v>
      </c>
      <c r="L9" s="222">
        <f>Summary!$C$23</f>
        <v>4.75</v>
      </c>
      <c r="M9" s="222">
        <f>Summary!$C$23</f>
        <v>4.75</v>
      </c>
      <c r="N9" s="222">
        <f>Summary!$C$23</f>
        <v>4.75</v>
      </c>
      <c r="O9" s="222">
        <f>Summary!$C$23</f>
        <v>4.75</v>
      </c>
      <c r="P9" s="222">
        <f>Summary!$C$23</f>
        <v>4.75</v>
      </c>
      <c r="Q9" s="222">
        <f>Summary!$C$23</f>
        <v>4.75</v>
      </c>
      <c r="R9" s="222">
        <v>4.75</v>
      </c>
      <c r="S9" s="222">
        <v>4.75</v>
      </c>
      <c r="T9" s="222">
        <v>4.75</v>
      </c>
      <c r="U9" s="172">
        <v>4.75</v>
      </c>
      <c r="V9" s="172">
        <v>4.75</v>
      </c>
      <c r="W9" s="172"/>
      <c r="X9" s="172"/>
    </row>
    <row r="10" spans="1:30">
      <c r="A10" s="249"/>
      <c r="B10" s="172"/>
      <c r="C10" s="172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</row>
    <row r="11" spans="1:30">
      <c r="A11" s="249"/>
      <c r="B11" s="225" t="s">
        <v>229</v>
      </c>
      <c r="C11" s="532">
        <f>Summary!$W$23</f>
        <v>1</v>
      </c>
      <c r="D11" s="448" t="s">
        <v>315</v>
      </c>
      <c r="E11" s="448">
        <f t="shared" ref="E11:X11" si="1">IF(E9&gt;0,CHOOSE($C$11,E6,E7,E8,E9),0)</f>
        <v>4</v>
      </c>
      <c r="F11" s="448">
        <f t="shared" si="1"/>
        <v>4</v>
      </c>
      <c r="G11" s="448">
        <f t="shared" si="1"/>
        <v>4</v>
      </c>
      <c r="H11" s="448">
        <f t="shared" si="1"/>
        <v>0</v>
      </c>
      <c r="I11" s="448">
        <f t="shared" si="1"/>
        <v>0</v>
      </c>
      <c r="J11" s="448">
        <f t="shared" si="1"/>
        <v>0</v>
      </c>
      <c r="K11" s="448">
        <f t="shared" si="1"/>
        <v>0</v>
      </c>
      <c r="L11" s="448">
        <f t="shared" si="1"/>
        <v>0</v>
      </c>
      <c r="M11" s="448">
        <f t="shared" si="1"/>
        <v>0</v>
      </c>
      <c r="N11" s="448">
        <f t="shared" si="1"/>
        <v>0</v>
      </c>
      <c r="O11" s="448">
        <f t="shared" si="1"/>
        <v>0</v>
      </c>
      <c r="P11" s="448">
        <f t="shared" si="1"/>
        <v>0</v>
      </c>
      <c r="Q11" s="448">
        <f t="shared" si="1"/>
        <v>0</v>
      </c>
      <c r="R11" s="448">
        <f t="shared" si="1"/>
        <v>0</v>
      </c>
      <c r="S11" s="448">
        <f t="shared" si="1"/>
        <v>0</v>
      </c>
      <c r="T11" s="448">
        <f t="shared" si="1"/>
        <v>0</v>
      </c>
      <c r="U11" s="448">
        <f t="shared" si="1"/>
        <v>0</v>
      </c>
      <c r="V11" s="448">
        <f t="shared" si="1"/>
        <v>0</v>
      </c>
      <c r="W11" s="448">
        <f t="shared" si="1"/>
        <v>0</v>
      </c>
      <c r="X11" s="448">
        <f t="shared" si="1"/>
        <v>0</v>
      </c>
    </row>
    <row r="12" spans="1:30">
      <c r="A12" s="249"/>
      <c r="B12" s="172"/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</row>
    <row r="13" spans="1:30">
      <c r="A13" s="249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</row>
    <row r="14" spans="1:30">
      <c r="A14" s="249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</row>
    <row r="15" spans="1:30">
      <c r="A15" s="172"/>
      <c r="B15" s="225" t="s">
        <v>68</v>
      </c>
      <c r="C15" s="329">
        <f>Summary!C48</f>
        <v>0.03</v>
      </c>
      <c r="D15" s="172"/>
      <c r="E15" s="172"/>
      <c r="F15" s="172"/>
      <c r="G15" s="214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</row>
    <row r="16" spans="1:30">
      <c r="A16" s="172"/>
      <c r="B16" s="212"/>
      <c r="C16" s="213"/>
      <c r="D16" s="172"/>
      <c r="E16" s="172"/>
      <c r="F16" s="172"/>
      <c r="G16" s="214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</row>
    <row r="17" spans="1:30">
      <c r="A17" s="247" t="s">
        <v>69</v>
      </c>
      <c r="B17" s="172"/>
      <c r="C17" s="172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</row>
    <row r="18" spans="1:30">
      <c r="A18" s="172" t="s">
        <v>299</v>
      </c>
      <c r="B18" s="172"/>
      <c r="C18" s="172"/>
    </row>
    <row r="19" spans="1:30">
      <c r="A19" s="172"/>
      <c r="B19" s="172"/>
      <c r="C19" s="172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</row>
    <row r="20" spans="1:30">
      <c r="A20" s="250" t="s">
        <v>70</v>
      </c>
      <c r="B20" s="172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</row>
    <row r="21" spans="1:30">
      <c r="A21" s="172"/>
      <c r="B21" s="172" t="s">
        <v>71</v>
      </c>
      <c r="C21" s="217"/>
      <c r="D21" s="218">
        <v>53</v>
      </c>
      <c r="E21" s="218">
        <v>57.5</v>
      </c>
      <c r="F21" s="218">
        <v>58.6</v>
      </c>
      <c r="G21" s="218">
        <v>59.7</v>
      </c>
      <c r="H21" s="218">
        <v>60.8</v>
      </c>
      <c r="I21" s="218">
        <v>62</v>
      </c>
      <c r="J21" s="218">
        <v>61</v>
      </c>
      <c r="K21" s="218">
        <v>59.9</v>
      </c>
      <c r="L21" s="218">
        <v>58.9</v>
      </c>
      <c r="M21" s="218">
        <v>58</v>
      </c>
      <c r="N21" s="218">
        <v>57</v>
      </c>
      <c r="O21" s="218">
        <v>56.4</v>
      </c>
      <c r="P21" s="218">
        <v>55.8</v>
      </c>
      <c r="Q21" s="218">
        <v>55.2</v>
      </c>
      <c r="R21" s="218">
        <v>54.6</v>
      </c>
      <c r="S21" s="218">
        <v>54</v>
      </c>
      <c r="T21" s="218">
        <v>53.2</v>
      </c>
      <c r="U21" s="218">
        <v>52.4</v>
      </c>
      <c r="V21" s="218">
        <v>51.6</v>
      </c>
      <c r="W21" s="218">
        <v>50.8</v>
      </c>
      <c r="X21" s="218">
        <v>50</v>
      </c>
      <c r="Y21" s="219"/>
    </row>
    <row r="22" spans="1:30">
      <c r="A22" s="172"/>
      <c r="B22" s="172" t="s">
        <v>72</v>
      </c>
      <c r="C22" s="172"/>
      <c r="D22" s="218">
        <v>0</v>
      </c>
      <c r="E22" s="218">
        <v>0</v>
      </c>
      <c r="F22" s="218">
        <v>0</v>
      </c>
      <c r="G22" s="218">
        <v>0</v>
      </c>
      <c r="H22" s="218">
        <v>0</v>
      </c>
      <c r="I22" s="218">
        <v>0</v>
      </c>
      <c r="J22" s="218">
        <v>0</v>
      </c>
      <c r="K22" s="218">
        <v>0</v>
      </c>
      <c r="L22" s="218">
        <v>0</v>
      </c>
      <c r="M22" s="218">
        <v>0</v>
      </c>
      <c r="N22" s="218">
        <v>0</v>
      </c>
      <c r="O22" s="218">
        <v>0</v>
      </c>
      <c r="P22" s="218">
        <v>0</v>
      </c>
      <c r="Q22" s="218">
        <v>0</v>
      </c>
      <c r="R22" s="218">
        <v>0</v>
      </c>
      <c r="S22" s="218">
        <v>0</v>
      </c>
      <c r="T22" s="218">
        <v>0</v>
      </c>
      <c r="U22" s="218">
        <v>0</v>
      </c>
      <c r="V22" s="218">
        <v>0</v>
      </c>
      <c r="W22" s="218">
        <v>0</v>
      </c>
      <c r="X22" s="218">
        <v>0</v>
      </c>
      <c r="Y22" s="220"/>
    </row>
    <row r="23" spans="1:30">
      <c r="A23" s="172"/>
      <c r="B23" s="172"/>
      <c r="C23" s="172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20"/>
    </row>
    <row r="24" spans="1:30">
      <c r="A24" s="250" t="s">
        <v>73</v>
      </c>
      <c r="B24" s="172"/>
      <c r="C24" s="172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20"/>
    </row>
    <row r="25" spans="1:30">
      <c r="A25" s="172"/>
      <c r="B25" s="172" t="s">
        <v>74</v>
      </c>
      <c r="C25" s="221"/>
      <c r="D25" s="218">
        <f>D21*(1+'Power Price Assumption'!$C$15)^(D4-1998)</f>
        <v>56.227699999999999</v>
      </c>
      <c r="E25" s="218">
        <f>E21*(1+'Power Price Assumption'!$C$15)^(E4-1998)</f>
        <v>62.831802500000002</v>
      </c>
      <c r="F25" s="218">
        <f>F21*(1+'Power Price Assumption'!$C$15)^(F4-1998)</f>
        <v>65.954816265999995</v>
      </c>
      <c r="G25" s="218">
        <f>G21*(1+'Power Price Assumption'!$C$15)^(G4-1998)</f>
        <v>69.208662235709994</v>
      </c>
      <c r="H25" s="218">
        <f>H21*(1+'Power Price Assumption'!$C$15)^(H4-1998)</f>
        <v>72.598379628963187</v>
      </c>
      <c r="I25" s="218">
        <f>I21*(1+'Power Price Assumption'!$C$15)^(I4-1998)</f>
        <v>76.252179656341937</v>
      </c>
      <c r="J25" s="218">
        <f>J21*(1+'Power Price Assumption'!$C$15)^(J4-1998)</f>
        <v>77.272974964644575</v>
      </c>
      <c r="K25" s="218">
        <f>K21*(1+'Power Price Assumption'!$C$15)^(K4-1998)</f>
        <v>78.155913711371738</v>
      </c>
      <c r="L25" s="218">
        <f>L21*(1+'Power Price Assumption'!$C$15)^(L4-1998)</f>
        <v>79.156674743368768</v>
      </c>
      <c r="M25" s="218">
        <f>M21*(1+'Power Price Assumption'!$C$15)^(M4-1998)</f>
        <v>80.285564502017834</v>
      </c>
      <c r="N25" s="218">
        <f>N21*(1+'Power Price Assumption'!$C$15)^(N4-1998)</f>
        <v>81.268370550232177</v>
      </c>
      <c r="O25" s="218">
        <f>O21*(1+'Power Price Assumption'!$C$15)^(O4-1998)</f>
        <v>82.825301438668205</v>
      </c>
      <c r="P25" s="218">
        <f>P21*(1+'Power Price Assumption'!$C$15)^(P4-1998)</f>
        <v>84.402506646915185</v>
      </c>
      <c r="Q25" s="218">
        <f>Q21*(1+'Power Price Assumption'!$C$15)^(Q4-1998)</f>
        <v>85.999801396362201</v>
      </c>
      <c r="R25" s="218">
        <f>R21*(1+'Power Price Assumption'!$C$15)^(R4-1998)</f>
        <v>87.61697157479378</v>
      </c>
      <c r="S25" s="218">
        <f>S21*(1+'Power Price Assumption'!$C$15)^(S4-1998)</f>
        <v>89.253772142674535</v>
      </c>
      <c r="T25" s="218">
        <f>T21*(1+'Power Price Assumption'!$C$15)^(T4-1998)</f>
        <v>90.569438857962851</v>
      </c>
      <c r="U25" s="218">
        <f>U21*(1+'Power Price Assumption'!$C$15)^(U4-1998)</f>
        <v>91.883717181240058</v>
      </c>
      <c r="V25" s="218">
        <f>V21*(1+'Power Price Assumption'!$C$15)^(V4-1998)</f>
        <v>93.195339708941731</v>
      </c>
      <c r="W25" s="218">
        <f>W21*(1+'Power Price Assumption'!$C$15)^(W4-1998)</f>
        <v>94.502964242842367</v>
      </c>
      <c r="X25" s="218">
        <f>X21*(1+'Power Price Assumption'!$C$15)^(X4-1998)</f>
        <v>95.805170443039017</v>
      </c>
      <c r="Y25" s="220"/>
    </row>
    <row r="26" spans="1:30">
      <c r="A26" s="172"/>
      <c r="B26" s="172" t="s">
        <v>227</v>
      </c>
      <c r="C26" s="172"/>
      <c r="D26" s="218">
        <f>D22*(1+'Power Price Assumption'!$C$15)^(D4-1998)</f>
        <v>0</v>
      </c>
      <c r="E26" s="218">
        <f>E22*(1+'Power Price Assumption'!$C$15)^(E4-1998)</f>
        <v>0</v>
      </c>
      <c r="F26" s="218">
        <f>F22*(1+'Power Price Assumption'!$C$15)^(F4-1998)</f>
        <v>0</v>
      </c>
      <c r="G26" s="218">
        <f>G22*(1+'Power Price Assumption'!$C$15)^(G4-1998)</f>
        <v>0</v>
      </c>
      <c r="H26" s="218">
        <f>H22*(1+'Power Price Assumption'!$C$15)^(H4-1998)</f>
        <v>0</v>
      </c>
      <c r="I26" s="218">
        <f>I22*(1+'Power Price Assumption'!$C$15)^(I4-1998)</f>
        <v>0</v>
      </c>
      <c r="J26" s="218">
        <f>J22*(1+'Power Price Assumption'!$C$15)^(J4-1998)</f>
        <v>0</v>
      </c>
      <c r="K26" s="218">
        <f>K22*(1+'Power Price Assumption'!$C$15)^(K4-1998)</f>
        <v>0</v>
      </c>
      <c r="L26" s="218">
        <f>L22*(1+'Power Price Assumption'!$C$15)^(L4-1998)</f>
        <v>0</v>
      </c>
      <c r="M26" s="218">
        <f>M22*(1+'Power Price Assumption'!$C$15)^(M4-1998)</f>
        <v>0</v>
      </c>
      <c r="N26" s="218">
        <f>N22*(1+'Power Price Assumption'!$C$15)^(N4-1998)</f>
        <v>0</v>
      </c>
      <c r="O26" s="218">
        <f>O22*(1+'Power Price Assumption'!$C$15)^(O4-1998)</f>
        <v>0</v>
      </c>
      <c r="P26" s="218">
        <f>P22*(1+'Power Price Assumption'!$C$15)^(P4-1998)</f>
        <v>0</v>
      </c>
      <c r="Q26" s="218">
        <f>Q22*(1+'Power Price Assumption'!$C$15)^(Q4-1998)</f>
        <v>0</v>
      </c>
      <c r="R26" s="218">
        <f>R22*(1+'Power Price Assumption'!$C$15)^(R4-1998)</f>
        <v>0</v>
      </c>
      <c r="S26" s="218">
        <f>S22*(1+'Power Price Assumption'!$C$15)^(S4-1998)</f>
        <v>0</v>
      </c>
      <c r="T26" s="218">
        <f>T22*(1+'Power Price Assumption'!$C$15)^(T4-1998)</f>
        <v>0</v>
      </c>
      <c r="U26" s="218">
        <f>U22*(1+'Power Price Assumption'!$C$15)^(U4-1998)</f>
        <v>0</v>
      </c>
      <c r="V26" s="218">
        <f>V22*(1+'Power Price Assumption'!$C$15)^(V4-1998)</f>
        <v>0</v>
      </c>
      <c r="W26" s="218">
        <f>W22*(1+'Power Price Assumption'!$C$15)^(W4-1998)</f>
        <v>0</v>
      </c>
      <c r="X26" s="218">
        <f>X22*(1+'Power Price Assumption'!$C$15)^(X4-1998)</f>
        <v>0</v>
      </c>
      <c r="Y26" s="220"/>
    </row>
    <row r="27" spans="1:30">
      <c r="A27" s="172"/>
      <c r="B27" s="172"/>
      <c r="C27" s="172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</row>
    <row r="28" spans="1:30">
      <c r="A28" s="172">
        <v>1</v>
      </c>
      <c r="B28" s="172" t="s">
        <v>75</v>
      </c>
      <c r="C28" s="172"/>
      <c r="D28" s="222">
        <f>D25/12</f>
        <v>4.6856416666666663</v>
      </c>
      <c r="E28" s="222">
        <f t="shared" ref="E28:X28" si="2">E25/12</f>
        <v>5.2359835416666671</v>
      </c>
      <c r="F28" s="222">
        <f t="shared" si="2"/>
        <v>5.4962346888333329</v>
      </c>
      <c r="G28" s="222">
        <f t="shared" si="2"/>
        <v>5.7673885196424992</v>
      </c>
      <c r="H28" s="222">
        <f t="shared" si="2"/>
        <v>6.0498649690802653</v>
      </c>
      <c r="I28" s="222">
        <f t="shared" si="2"/>
        <v>6.3543483046951614</v>
      </c>
      <c r="J28" s="222">
        <f t="shared" si="2"/>
        <v>6.4394145803870479</v>
      </c>
      <c r="K28" s="222">
        <f t="shared" si="2"/>
        <v>6.5129928092809779</v>
      </c>
      <c r="L28" s="222">
        <f t="shared" si="2"/>
        <v>6.5963895619473973</v>
      </c>
      <c r="M28" s="222">
        <f t="shared" si="2"/>
        <v>6.6904637085014862</v>
      </c>
      <c r="N28" s="222">
        <f t="shared" si="2"/>
        <v>6.7723642125193484</v>
      </c>
      <c r="O28" s="222">
        <f t="shared" si="2"/>
        <v>6.9021084532223504</v>
      </c>
      <c r="P28" s="222">
        <f t="shared" si="2"/>
        <v>7.0335422205762654</v>
      </c>
      <c r="Q28" s="222">
        <f t="shared" si="2"/>
        <v>7.1666501163635168</v>
      </c>
      <c r="R28" s="222">
        <f t="shared" si="2"/>
        <v>7.3014142978994814</v>
      </c>
      <c r="S28" s="222">
        <f t="shared" si="2"/>
        <v>7.4378143452228782</v>
      </c>
      <c r="T28" s="222">
        <f t="shared" si="2"/>
        <v>7.5474532381635706</v>
      </c>
      <c r="U28" s="222">
        <f t="shared" si="2"/>
        <v>7.6569764317700049</v>
      </c>
      <c r="V28" s="222">
        <f t="shared" si="2"/>
        <v>7.7662783090784773</v>
      </c>
      <c r="W28" s="222">
        <f t="shared" si="2"/>
        <v>7.8752470202368636</v>
      </c>
      <c r="X28" s="222">
        <f t="shared" si="2"/>
        <v>7.9837642035865848</v>
      </c>
      <c r="Y28" s="220"/>
    </row>
    <row r="29" spans="1:30">
      <c r="A29" s="172">
        <v>2</v>
      </c>
      <c r="B29" s="172" t="s">
        <v>76</v>
      </c>
      <c r="C29" s="172"/>
      <c r="D29" s="222">
        <f>D26/12</f>
        <v>0</v>
      </c>
      <c r="E29" s="222">
        <f t="shared" ref="E29:X29" si="3">E26/12</f>
        <v>0</v>
      </c>
      <c r="F29" s="222">
        <f t="shared" si="3"/>
        <v>0</v>
      </c>
      <c r="G29" s="222">
        <f t="shared" si="3"/>
        <v>0</v>
      </c>
      <c r="H29" s="222">
        <f t="shared" si="3"/>
        <v>0</v>
      </c>
      <c r="I29" s="222">
        <f t="shared" si="3"/>
        <v>0</v>
      </c>
      <c r="J29" s="222">
        <f t="shared" si="3"/>
        <v>0</v>
      </c>
      <c r="K29" s="222">
        <f t="shared" si="3"/>
        <v>0</v>
      </c>
      <c r="L29" s="222">
        <f t="shared" si="3"/>
        <v>0</v>
      </c>
      <c r="M29" s="222">
        <f t="shared" si="3"/>
        <v>0</v>
      </c>
      <c r="N29" s="222">
        <f t="shared" si="3"/>
        <v>0</v>
      </c>
      <c r="O29" s="222">
        <f t="shared" si="3"/>
        <v>0</v>
      </c>
      <c r="P29" s="222">
        <f t="shared" si="3"/>
        <v>0</v>
      </c>
      <c r="Q29" s="222">
        <f t="shared" si="3"/>
        <v>0</v>
      </c>
      <c r="R29" s="222">
        <f t="shared" si="3"/>
        <v>0</v>
      </c>
      <c r="S29" s="222">
        <f t="shared" si="3"/>
        <v>0</v>
      </c>
      <c r="T29" s="222">
        <f t="shared" si="3"/>
        <v>0</v>
      </c>
      <c r="U29" s="222">
        <f t="shared" si="3"/>
        <v>0</v>
      </c>
      <c r="V29" s="222">
        <f t="shared" si="3"/>
        <v>0</v>
      </c>
      <c r="W29" s="222">
        <f t="shared" si="3"/>
        <v>0</v>
      </c>
      <c r="X29" s="222">
        <f t="shared" si="3"/>
        <v>0</v>
      </c>
      <c r="Y29" s="220"/>
    </row>
    <row r="30" spans="1:30">
      <c r="A30" s="172">
        <v>3</v>
      </c>
      <c r="B30" s="172" t="s">
        <v>77</v>
      </c>
      <c r="C30" s="172"/>
      <c r="D30" s="280">
        <v>0</v>
      </c>
      <c r="E30" s="280">
        <v>0</v>
      </c>
      <c r="F30" s="280">
        <v>0</v>
      </c>
      <c r="G30" s="280">
        <v>0</v>
      </c>
      <c r="H30" s="280">
        <v>0</v>
      </c>
      <c r="I30" s="280">
        <v>0</v>
      </c>
      <c r="J30" s="280">
        <v>0</v>
      </c>
      <c r="K30" s="280">
        <v>0</v>
      </c>
      <c r="L30" s="280">
        <v>0</v>
      </c>
      <c r="M30" s="280">
        <v>0</v>
      </c>
      <c r="N30" s="280">
        <v>0</v>
      </c>
      <c r="O30" s="280">
        <v>0</v>
      </c>
      <c r="P30" s="280">
        <v>0</v>
      </c>
      <c r="Q30" s="280">
        <v>0</v>
      </c>
      <c r="R30" s="280">
        <v>0</v>
      </c>
      <c r="S30" s="280">
        <v>0</v>
      </c>
      <c r="T30" s="280">
        <v>0</v>
      </c>
      <c r="U30" s="280">
        <v>0</v>
      </c>
      <c r="V30" s="280">
        <v>0</v>
      </c>
      <c r="W30" s="280">
        <v>0</v>
      </c>
      <c r="X30" s="280">
        <v>0</v>
      </c>
      <c r="Y30" s="220"/>
    </row>
    <row r="31" spans="1:30">
      <c r="A31" s="172"/>
      <c r="B31" s="172"/>
      <c r="C31" s="172"/>
      <c r="D31" s="446"/>
      <c r="E31" s="446"/>
      <c r="F31" s="446"/>
      <c r="G31" s="446"/>
      <c r="H31" s="446"/>
      <c r="I31" s="446"/>
      <c r="J31" s="446"/>
      <c r="K31" s="446"/>
      <c r="L31" s="446"/>
      <c r="M31" s="446"/>
      <c r="N31" s="446"/>
      <c r="O31" s="446"/>
      <c r="P31" s="446"/>
      <c r="Q31" s="446"/>
      <c r="R31" s="446"/>
      <c r="S31" s="446"/>
      <c r="T31" s="446"/>
      <c r="U31" s="446"/>
      <c r="V31" s="446"/>
      <c r="W31" s="446"/>
      <c r="X31" s="446"/>
      <c r="Y31" s="447"/>
      <c r="Z31" s="126"/>
      <c r="AA31" s="126"/>
      <c r="AB31" s="126"/>
      <c r="AC31" s="126"/>
      <c r="AD31" s="126"/>
    </row>
    <row r="32" spans="1:30">
      <c r="A32" s="172"/>
      <c r="B32" s="225" t="s">
        <v>230</v>
      </c>
      <c r="C32" s="533">
        <v>1</v>
      </c>
      <c r="D32" s="226" t="str">
        <f>IF(D11&gt;0,D11,CHOOSE($C$32,D28,D29,D30,D6))</f>
        <v>NA</v>
      </c>
      <c r="E32" s="226">
        <f t="shared" ref="E32:X32" si="4">IF(E11&gt;0,E11,CHOOSE($C$32,E28,E29,E30,E6))</f>
        <v>4</v>
      </c>
      <c r="F32" s="226">
        <f t="shared" si="4"/>
        <v>4</v>
      </c>
      <c r="G32" s="226">
        <f t="shared" si="4"/>
        <v>4</v>
      </c>
      <c r="H32" s="226">
        <f t="shared" si="4"/>
        <v>6.0498649690802653</v>
      </c>
      <c r="I32" s="226">
        <f t="shared" si="4"/>
        <v>6.3543483046951614</v>
      </c>
      <c r="J32" s="226">
        <f t="shared" si="4"/>
        <v>6.4394145803870479</v>
      </c>
      <c r="K32" s="226">
        <f t="shared" si="4"/>
        <v>6.5129928092809779</v>
      </c>
      <c r="L32" s="226">
        <f t="shared" si="4"/>
        <v>6.5963895619473973</v>
      </c>
      <c r="M32" s="226">
        <f t="shared" si="4"/>
        <v>6.6904637085014862</v>
      </c>
      <c r="N32" s="226">
        <f t="shared" si="4"/>
        <v>6.7723642125193484</v>
      </c>
      <c r="O32" s="226">
        <f t="shared" si="4"/>
        <v>6.9021084532223504</v>
      </c>
      <c r="P32" s="226">
        <f t="shared" si="4"/>
        <v>7.0335422205762654</v>
      </c>
      <c r="Q32" s="226">
        <f t="shared" si="4"/>
        <v>7.1666501163635168</v>
      </c>
      <c r="R32" s="226">
        <f t="shared" si="4"/>
        <v>7.3014142978994814</v>
      </c>
      <c r="S32" s="226">
        <f t="shared" si="4"/>
        <v>7.4378143452228782</v>
      </c>
      <c r="T32" s="226">
        <f t="shared" si="4"/>
        <v>7.5474532381635706</v>
      </c>
      <c r="U32" s="226">
        <f t="shared" si="4"/>
        <v>7.6569764317700049</v>
      </c>
      <c r="V32" s="226">
        <f t="shared" si="4"/>
        <v>7.7662783090784773</v>
      </c>
      <c r="W32" s="226">
        <f t="shared" si="4"/>
        <v>7.8752470202368636</v>
      </c>
      <c r="X32" s="226">
        <f t="shared" si="4"/>
        <v>7.9837642035865848</v>
      </c>
    </row>
    <row r="33" spans="1:27">
      <c r="A33" s="172"/>
      <c r="B33" s="225"/>
      <c r="C33" s="227"/>
      <c r="D33" s="228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228"/>
      <c r="P33" s="228"/>
      <c r="Q33" s="228"/>
      <c r="R33" s="228"/>
      <c r="S33" s="228"/>
      <c r="T33" s="228"/>
      <c r="U33" s="228"/>
      <c r="V33" s="228"/>
      <c r="W33" s="228"/>
      <c r="X33" s="228"/>
      <c r="Y33" s="219"/>
      <c r="Z33" s="229"/>
      <c r="AA33" s="229"/>
    </row>
    <row r="34" spans="1:27">
      <c r="A34" s="247" t="s">
        <v>81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</row>
    <row r="35" spans="1:27">
      <c r="A35" s="172" t="s">
        <v>82</v>
      </c>
      <c r="B35" s="172"/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</row>
    <row r="36" spans="1:27">
      <c r="A36" s="172"/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</row>
    <row r="37" spans="1:27">
      <c r="A37" s="250" t="s">
        <v>70</v>
      </c>
      <c r="B37" s="172"/>
      <c r="C37" s="172"/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</row>
    <row r="38" spans="1:27">
      <c r="A38" s="172"/>
      <c r="B38" s="172" t="s">
        <v>71</v>
      </c>
      <c r="C38" s="227"/>
      <c r="D38" s="218">
        <v>53</v>
      </c>
      <c r="E38" s="218">
        <v>59</v>
      </c>
      <c r="F38" s="218">
        <v>60.4</v>
      </c>
      <c r="G38" s="218">
        <v>61.9</v>
      </c>
      <c r="H38" s="218">
        <v>63.4</v>
      </c>
      <c r="I38" s="218">
        <v>65</v>
      </c>
      <c r="J38" s="218">
        <v>64.400000000000006</v>
      </c>
      <c r="K38" s="218">
        <v>63.8</v>
      </c>
      <c r="L38" s="218">
        <v>63.2</v>
      </c>
      <c r="M38" s="218">
        <v>62.6</v>
      </c>
      <c r="N38" s="218">
        <v>62</v>
      </c>
      <c r="O38" s="218">
        <v>61.2</v>
      </c>
      <c r="P38" s="218">
        <v>60.4</v>
      </c>
      <c r="Q38" s="218">
        <v>59.6</v>
      </c>
      <c r="R38" s="218">
        <v>58.8</v>
      </c>
      <c r="S38" s="218">
        <v>58</v>
      </c>
      <c r="T38" s="218">
        <v>57</v>
      </c>
      <c r="U38" s="218">
        <v>55.9</v>
      </c>
      <c r="V38" s="218">
        <v>54.9</v>
      </c>
      <c r="W38" s="218">
        <v>54</v>
      </c>
      <c r="X38" s="218">
        <v>53</v>
      </c>
    </row>
    <row r="39" spans="1:27">
      <c r="A39" s="172"/>
      <c r="B39" s="172" t="s">
        <v>72</v>
      </c>
      <c r="C39" s="227"/>
      <c r="D39" s="230">
        <v>0</v>
      </c>
      <c r="E39" s="230">
        <v>0</v>
      </c>
      <c r="F39" s="230">
        <v>0</v>
      </c>
      <c r="G39" s="230">
        <v>0</v>
      </c>
      <c r="H39" s="230">
        <v>0</v>
      </c>
      <c r="I39" s="230">
        <v>0</v>
      </c>
      <c r="J39" s="230">
        <v>0</v>
      </c>
      <c r="K39" s="230">
        <v>0</v>
      </c>
      <c r="L39" s="230">
        <v>0</v>
      </c>
      <c r="M39" s="230">
        <v>0</v>
      </c>
      <c r="N39" s="230">
        <v>0</v>
      </c>
      <c r="O39" s="230">
        <v>0</v>
      </c>
      <c r="P39" s="230">
        <v>0</v>
      </c>
      <c r="Q39" s="230">
        <v>0</v>
      </c>
      <c r="R39" s="230">
        <v>0</v>
      </c>
      <c r="S39" s="230">
        <v>0</v>
      </c>
      <c r="T39" s="230">
        <v>0</v>
      </c>
      <c r="U39" s="230">
        <v>0</v>
      </c>
      <c r="V39" s="230">
        <v>0</v>
      </c>
      <c r="W39" s="230">
        <v>0</v>
      </c>
      <c r="X39" s="230">
        <v>0</v>
      </c>
    </row>
    <row r="40" spans="1:27">
      <c r="A40" s="172"/>
      <c r="B40" s="172"/>
      <c r="C40" s="227"/>
      <c r="D40" s="230"/>
      <c r="E40" s="230"/>
      <c r="F40" s="230"/>
      <c r="G40" s="230"/>
      <c r="H40" s="230"/>
      <c r="I40" s="230"/>
      <c r="J40" s="230"/>
      <c r="K40" s="230"/>
      <c r="L40" s="230"/>
      <c r="M40" s="230"/>
      <c r="N40" s="230"/>
      <c r="O40" s="230"/>
      <c r="P40" s="230"/>
      <c r="Q40" s="230"/>
      <c r="R40" s="230"/>
      <c r="S40" s="230"/>
      <c r="T40" s="230"/>
      <c r="U40" s="230"/>
      <c r="V40" s="230"/>
      <c r="W40" s="230"/>
      <c r="X40" s="230"/>
    </row>
    <row r="41" spans="1:27">
      <c r="A41" s="250" t="s">
        <v>73</v>
      </c>
      <c r="B41" s="172"/>
      <c r="C41" s="227"/>
      <c r="D41" s="230"/>
      <c r="E41" s="230"/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0"/>
    </row>
    <row r="42" spans="1:27">
      <c r="A42" s="172"/>
      <c r="B42" s="172" t="s">
        <v>74</v>
      </c>
      <c r="C42" s="227"/>
      <c r="D42" s="230">
        <f>D38*(1+'Power Price Assumption'!$C$15)^(D4-1998)</f>
        <v>56.227699999999999</v>
      </c>
      <c r="E42" s="230">
        <f>E38*(1+'Power Price Assumption'!$C$15)^(E4-1998)</f>
        <v>64.470893000000004</v>
      </c>
      <c r="F42" s="230">
        <f>F38*(1+'Power Price Assumption'!$C$15)^(F4-1998)</f>
        <v>67.980732123999999</v>
      </c>
      <c r="G42" s="230">
        <f>G38*(1+'Power Price Assumption'!$C$15)^(G4-1998)</f>
        <v>71.759065199169996</v>
      </c>
      <c r="H42" s="230">
        <f>H38*(1+'Power Price Assumption'!$C$15)^(H4-1998)</f>
        <v>75.702915599938592</v>
      </c>
      <c r="I42" s="230">
        <f>I38*(1+'Power Price Assumption'!$C$15)^(I4-1998)</f>
        <v>79.941801252616543</v>
      </c>
      <c r="J42" s="230">
        <f>J38*(1+'Power Price Assumption'!$C$15)^(J4-1998)</f>
        <v>81.579993241362473</v>
      </c>
      <c r="K42" s="230">
        <f>K38*(1+'Power Price Assumption'!$C$15)^(K4-1998)</f>
        <v>83.244529128305786</v>
      </c>
      <c r="L42" s="230">
        <f>L38*(1+'Power Price Assumption'!$C$15)^(L4-1998)</f>
        <v>84.935515174548499</v>
      </c>
      <c r="M42" s="230">
        <f>M38*(1+'Power Price Assumption'!$C$15)^(M4-1998)</f>
        <v>86.653040307350295</v>
      </c>
      <c r="N42" s="230">
        <f>N38*(1+'Power Price Assumption'!$C$15)^(N4-1998)</f>
        <v>88.397174984463078</v>
      </c>
      <c r="O42" s="230">
        <f>O38*(1+'Power Price Assumption'!$C$15)^(O4-1998)</f>
        <v>89.874263263235719</v>
      </c>
      <c r="P42" s="230">
        <f>P38*(1+'Power Price Assumption'!$C$15)^(P4-1998)</f>
        <v>91.360419381248704</v>
      </c>
      <c r="Q42" s="230">
        <f>Q38*(1+'Power Price Assumption'!$C$15)^(Q4-1998)</f>
        <v>92.854858029405563</v>
      </c>
      <c r="R42" s="230">
        <f>R38*(1+'Power Price Assumption'!$C$15)^(R4-1998)</f>
        <v>94.356738619008681</v>
      </c>
      <c r="S42" s="230">
        <f>S38*(1+'Power Price Assumption'!$C$15)^(S4-1998)</f>
        <v>95.865162671761539</v>
      </c>
      <c r="T42" s="230">
        <f>T38*(1+'Power Price Assumption'!$C$15)^(T4-1998)</f>
        <v>97.038684490674484</v>
      </c>
      <c r="U42" s="230">
        <f>U38*(1+'Power Price Assumption'!$C$15)^(U4-1998)</f>
        <v>98.020988367009906</v>
      </c>
      <c r="V42" s="230">
        <f>V38*(1+'Power Price Assumption'!$C$15)^(V4-1998)</f>
        <v>99.155506783350788</v>
      </c>
      <c r="W42" s="230">
        <f>W38*(1+'Power Price Assumption'!$C$15)^(W4-1998)</f>
        <v>100.45590687231275</v>
      </c>
      <c r="X42" s="230">
        <f>X38*(1+'Power Price Assumption'!$C$15)^(X4-1998)</f>
        <v>101.55348066962136</v>
      </c>
    </row>
    <row r="43" spans="1:27">
      <c r="A43" s="172"/>
      <c r="B43" s="172" t="s">
        <v>72</v>
      </c>
      <c r="C43" s="227"/>
      <c r="D43" s="230">
        <f>D39*(1+'Power Price Assumption'!$C$15)^(D4-1998)</f>
        <v>0</v>
      </c>
      <c r="E43" s="230">
        <f>E39*(1+'Power Price Assumption'!$C$15)^(E4-1998)</f>
        <v>0</v>
      </c>
      <c r="F43" s="230">
        <f>F39*(1+'Power Price Assumption'!$C$15)^(F4-1998)</f>
        <v>0</v>
      </c>
      <c r="G43" s="230">
        <f>G39*(1+'Power Price Assumption'!$C$15)^(G4-1998)</f>
        <v>0</v>
      </c>
      <c r="H43" s="230">
        <f>H39*(1+'Power Price Assumption'!$C$15)^(H4-1998)</f>
        <v>0</v>
      </c>
      <c r="I43" s="230">
        <f>I39*(1+'Power Price Assumption'!$C$15)^(I4-1998)</f>
        <v>0</v>
      </c>
      <c r="J43" s="230">
        <f>J39*(1+'Power Price Assumption'!$C$15)^(J4-1998)</f>
        <v>0</v>
      </c>
      <c r="K43" s="230">
        <f>K39*(1+'Power Price Assumption'!$C$15)^(K4-1998)</f>
        <v>0</v>
      </c>
      <c r="L43" s="230">
        <f>L39*(1+'Power Price Assumption'!$C$15)^(L4-1998)</f>
        <v>0</v>
      </c>
      <c r="M43" s="230">
        <f>M39*(1+'Power Price Assumption'!$C$15)^(M4-1998)</f>
        <v>0</v>
      </c>
      <c r="N43" s="230">
        <f>N39*(1+'Power Price Assumption'!$C$15)^(N4-1998)</f>
        <v>0</v>
      </c>
      <c r="O43" s="230">
        <f>O39*(1+'Power Price Assumption'!$C$15)^(O4-1998)</f>
        <v>0</v>
      </c>
      <c r="P43" s="230">
        <f>P39*(1+'Power Price Assumption'!$C$15)^(P4-1998)</f>
        <v>0</v>
      </c>
      <c r="Q43" s="230">
        <f>Q39*(1+'Power Price Assumption'!$C$15)^(Q4-1998)</f>
        <v>0</v>
      </c>
      <c r="R43" s="230">
        <f>R39*(1+'Power Price Assumption'!$C$15)^(R4-1998)</f>
        <v>0</v>
      </c>
      <c r="S43" s="230">
        <f>S39*(1+'Power Price Assumption'!$C$15)^(S4-1998)</f>
        <v>0</v>
      </c>
      <c r="T43" s="230">
        <f>T39*(1+'Power Price Assumption'!$C$15)^(T4-1998)</f>
        <v>0</v>
      </c>
      <c r="U43" s="230">
        <f>U39*(1+'Power Price Assumption'!$C$15)^(U4-1998)</f>
        <v>0</v>
      </c>
      <c r="V43" s="230">
        <f>V39*(1+'Power Price Assumption'!$C$15)^(V4-1998)</f>
        <v>0</v>
      </c>
      <c r="W43" s="230">
        <f>W39*(1+'Power Price Assumption'!$C$15)^(W4-1998)</f>
        <v>0</v>
      </c>
      <c r="X43" s="230">
        <f>X39*(1+'Power Price Assumption'!$C$15)^(X4-1998)</f>
        <v>0</v>
      </c>
    </row>
    <row r="44" spans="1:27">
      <c r="A44" s="172"/>
      <c r="B44" s="172"/>
      <c r="C44" s="172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</row>
    <row r="45" spans="1:27">
      <c r="A45" s="172">
        <v>1</v>
      </c>
      <c r="B45" s="172" t="s">
        <v>75</v>
      </c>
      <c r="C45" s="172"/>
      <c r="D45" s="222">
        <f>D42/12</f>
        <v>4.6856416666666663</v>
      </c>
      <c r="E45" s="222">
        <f t="shared" ref="E45:X45" si="5">E42/12</f>
        <v>5.3725744166666667</v>
      </c>
      <c r="F45" s="222">
        <f t="shared" si="5"/>
        <v>5.665061010333333</v>
      </c>
      <c r="G45" s="222">
        <f t="shared" si="5"/>
        <v>5.9799220999308327</v>
      </c>
      <c r="H45" s="222">
        <f t="shared" si="5"/>
        <v>6.3085762999948827</v>
      </c>
      <c r="I45" s="222">
        <f t="shared" si="5"/>
        <v>6.6618167710513783</v>
      </c>
      <c r="J45" s="222">
        <f t="shared" si="5"/>
        <v>6.7983327701135394</v>
      </c>
      <c r="K45" s="222">
        <f t="shared" si="5"/>
        <v>6.9370440940254818</v>
      </c>
      <c r="L45" s="222">
        <f t="shared" si="5"/>
        <v>7.0779595978790413</v>
      </c>
      <c r="M45" s="222">
        <f t="shared" si="5"/>
        <v>7.221086692279191</v>
      </c>
      <c r="N45" s="222">
        <f t="shared" si="5"/>
        <v>7.3664312487052568</v>
      </c>
      <c r="O45" s="222">
        <f t="shared" si="5"/>
        <v>7.4895219386029765</v>
      </c>
      <c r="P45" s="222">
        <f t="shared" si="5"/>
        <v>7.6133682817707253</v>
      </c>
      <c r="Q45" s="222">
        <f t="shared" si="5"/>
        <v>7.7379048357837972</v>
      </c>
      <c r="R45" s="222">
        <f t="shared" si="5"/>
        <v>7.8630615515840567</v>
      </c>
      <c r="S45" s="222">
        <f t="shared" si="5"/>
        <v>7.9887635559801282</v>
      </c>
      <c r="T45" s="222">
        <f t="shared" si="5"/>
        <v>8.0865570408895397</v>
      </c>
      <c r="U45" s="222">
        <f t="shared" si="5"/>
        <v>8.1684156972508255</v>
      </c>
      <c r="V45" s="222">
        <f t="shared" si="5"/>
        <v>8.2629588986125651</v>
      </c>
      <c r="W45" s="222">
        <f t="shared" si="5"/>
        <v>8.3713255726927294</v>
      </c>
      <c r="X45" s="222">
        <f t="shared" si="5"/>
        <v>8.462790055801781</v>
      </c>
    </row>
    <row r="46" spans="1:27">
      <c r="A46" s="172">
        <v>2</v>
      </c>
      <c r="B46" s="172" t="s">
        <v>76</v>
      </c>
      <c r="C46" s="172"/>
      <c r="D46" s="222">
        <f>D43/12</f>
        <v>0</v>
      </c>
      <c r="E46" s="222">
        <f t="shared" ref="E46:X46" si="6">E43/12</f>
        <v>0</v>
      </c>
      <c r="F46" s="222">
        <f t="shared" si="6"/>
        <v>0</v>
      </c>
      <c r="G46" s="222">
        <f t="shared" si="6"/>
        <v>0</v>
      </c>
      <c r="H46" s="222">
        <f t="shared" si="6"/>
        <v>0</v>
      </c>
      <c r="I46" s="222">
        <f t="shared" si="6"/>
        <v>0</v>
      </c>
      <c r="J46" s="222">
        <f t="shared" si="6"/>
        <v>0</v>
      </c>
      <c r="K46" s="222">
        <f t="shared" si="6"/>
        <v>0</v>
      </c>
      <c r="L46" s="222">
        <f t="shared" si="6"/>
        <v>0</v>
      </c>
      <c r="M46" s="222">
        <f t="shared" si="6"/>
        <v>0</v>
      </c>
      <c r="N46" s="222">
        <f t="shared" si="6"/>
        <v>0</v>
      </c>
      <c r="O46" s="222">
        <f t="shared" si="6"/>
        <v>0</v>
      </c>
      <c r="P46" s="222">
        <f t="shared" si="6"/>
        <v>0</v>
      </c>
      <c r="Q46" s="222">
        <f t="shared" si="6"/>
        <v>0</v>
      </c>
      <c r="R46" s="222">
        <f t="shared" si="6"/>
        <v>0</v>
      </c>
      <c r="S46" s="222">
        <f t="shared" si="6"/>
        <v>0</v>
      </c>
      <c r="T46" s="222">
        <f t="shared" si="6"/>
        <v>0</v>
      </c>
      <c r="U46" s="222">
        <f t="shared" si="6"/>
        <v>0</v>
      </c>
      <c r="V46" s="222">
        <f t="shared" si="6"/>
        <v>0</v>
      </c>
      <c r="W46" s="222">
        <f t="shared" si="6"/>
        <v>0</v>
      </c>
      <c r="X46" s="222">
        <f t="shared" si="6"/>
        <v>0</v>
      </c>
    </row>
    <row r="47" spans="1:27">
      <c r="A47" s="172">
        <v>3</v>
      </c>
      <c r="B47" s="172" t="s">
        <v>77</v>
      </c>
      <c r="C47" s="172"/>
      <c r="D47" s="280">
        <v>0</v>
      </c>
      <c r="E47" s="280">
        <v>0</v>
      </c>
      <c r="F47" s="280">
        <v>0</v>
      </c>
      <c r="G47" s="280">
        <v>0</v>
      </c>
      <c r="H47" s="280">
        <v>0</v>
      </c>
      <c r="I47" s="280">
        <v>0</v>
      </c>
      <c r="J47" s="280">
        <v>0</v>
      </c>
      <c r="K47" s="280">
        <v>0</v>
      </c>
      <c r="L47" s="280">
        <v>0</v>
      </c>
      <c r="M47" s="280">
        <v>0</v>
      </c>
      <c r="N47" s="280">
        <v>0</v>
      </c>
      <c r="O47" s="280">
        <v>0</v>
      </c>
      <c r="P47" s="280">
        <v>0</v>
      </c>
      <c r="Q47" s="280">
        <v>0</v>
      </c>
      <c r="R47" s="280">
        <v>0</v>
      </c>
      <c r="S47" s="280">
        <v>0</v>
      </c>
      <c r="T47" s="280">
        <v>0</v>
      </c>
      <c r="U47" s="280">
        <v>0</v>
      </c>
      <c r="V47" s="280">
        <v>0</v>
      </c>
      <c r="W47" s="280">
        <v>0</v>
      </c>
      <c r="X47" s="280">
        <v>0</v>
      </c>
    </row>
    <row r="48" spans="1:27">
      <c r="A48" s="172"/>
      <c r="B48" s="172"/>
      <c r="C48" s="172"/>
      <c r="D48" s="223"/>
      <c r="E48" s="223"/>
      <c r="F48" s="223"/>
      <c r="G48" s="224"/>
      <c r="H48" s="224"/>
      <c r="I48" s="224"/>
      <c r="J48" s="224"/>
      <c r="K48" s="224"/>
      <c r="L48" s="224"/>
      <c r="M48" s="224"/>
      <c r="N48" s="224"/>
      <c r="O48" s="224"/>
      <c r="P48" s="224"/>
      <c r="Q48" s="224"/>
      <c r="R48" s="224"/>
      <c r="S48" s="224"/>
      <c r="T48" s="224"/>
      <c r="U48" s="224"/>
      <c r="V48" s="224"/>
      <c r="W48" s="224"/>
      <c r="X48" s="224"/>
    </row>
    <row r="49" spans="1:27">
      <c r="A49" s="172"/>
      <c r="B49" s="225" t="s">
        <v>230</v>
      </c>
      <c r="C49" s="532">
        <f>$C$32</f>
        <v>1</v>
      </c>
      <c r="D49" s="226" t="str">
        <f>IF(D11&gt;0,D11,CHOOSE($C$49,D45,D46,D47))</f>
        <v>NA</v>
      </c>
      <c r="E49" s="226">
        <f t="shared" ref="E49:X49" si="7">IF(E11&gt;0,E11,CHOOSE($C$49,E45,E46,E47))</f>
        <v>4</v>
      </c>
      <c r="F49" s="226">
        <f t="shared" si="7"/>
        <v>4</v>
      </c>
      <c r="G49" s="226">
        <f t="shared" si="7"/>
        <v>4</v>
      </c>
      <c r="H49" s="226">
        <f t="shared" si="7"/>
        <v>6.3085762999948827</v>
      </c>
      <c r="I49" s="226">
        <f t="shared" si="7"/>
        <v>6.6618167710513783</v>
      </c>
      <c r="J49" s="226">
        <f t="shared" si="7"/>
        <v>6.7983327701135394</v>
      </c>
      <c r="K49" s="226">
        <f t="shared" si="7"/>
        <v>6.9370440940254818</v>
      </c>
      <c r="L49" s="226">
        <f t="shared" si="7"/>
        <v>7.0779595978790413</v>
      </c>
      <c r="M49" s="226">
        <f t="shared" si="7"/>
        <v>7.221086692279191</v>
      </c>
      <c r="N49" s="226">
        <f t="shared" si="7"/>
        <v>7.3664312487052568</v>
      </c>
      <c r="O49" s="226">
        <f t="shared" si="7"/>
        <v>7.4895219386029765</v>
      </c>
      <c r="P49" s="226">
        <f t="shared" si="7"/>
        <v>7.6133682817707253</v>
      </c>
      <c r="Q49" s="226">
        <f t="shared" si="7"/>
        <v>7.7379048357837972</v>
      </c>
      <c r="R49" s="226">
        <f t="shared" si="7"/>
        <v>7.8630615515840567</v>
      </c>
      <c r="S49" s="226">
        <f t="shared" si="7"/>
        <v>7.9887635559801282</v>
      </c>
      <c r="T49" s="226">
        <f t="shared" si="7"/>
        <v>8.0865570408895397</v>
      </c>
      <c r="U49" s="226">
        <f t="shared" si="7"/>
        <v>8.1684156972508255</v>
      </c>
      <c r="V49" s="226">
        <f t="shared" si="7"/>
        <v>8.2629588986125651</v>
      </c>
      <c r="W49" s="226">
        <f t="shared" si="7"/>
        <v>8.3713255726927294</v>
      </c>
      <c r="X49" s="226">
        <f t="shared" si="7"/>
        <v>8.462790055801781</v>
      </c>
    </row>
    <row r="50" spans="1:27">
      <c r="A50" s="172"/>
      <c r="B50" s="225"/>
      <c r="C50" s="227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</row>
    <row r="51" spans="1:27">
      <c r="A51" s="247" t="s">
        <v>78</v>
      </c>
      <c r="B51" s="225"/>
      <c r="C51" s="227"/>
      <c r="D51" s="228"/>
      <c r="E51" s="228"/>
      <c r="F51" s="228"/>
      <c r="G51" s="228"/>
      <c r="H51" s="228"/>
      <c r="I51" s="228"/>
      <c r="J51" s="228"/>
      <c r="K51" s="228"/>
      <c r="L51" s="228"/>
      <c r="M51" s="228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19"/>
      <c r="Z51" s="229"/>
      <c r="AA51" s="229"/>
    </row>
    <row r="52" spans="1:27">
      <c r="A52" s="172" t="s">
        <v>79</v>
      </c>
      <c r="B52" s="225"/>
      <c r="C52" s="227"/>
      <c r="D52" s="228"/>
      <c r="E52" s="228"/>
      <c r="F52" s="228"/>
      <c r="G52" s="228"/>
      <c r="H52" s="228"/>
      <c r="I52" s="228"/>
      <c r="J52" s="228"/>
      <c r="K52" s="228"/>
      <c r="L52" s="228"/>
      <c r="M52" s="228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19"/>
      <c r="Z52" s="229"/>
      <c r="AA52" s="229"/>
    </row>
    <row r="53" spans="1:27">
      <c r="A53" s="172"/>
      <c r="B53" s="225"/>
      <c r="C53" s="227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19"/>
      <c r="Z53" s="229"/>
      <c r="AA53" s="229"/>
    </row>
    <row r="54" spans="1:27">
      <c r="A54" s="250" t="s">
        <v>70</v>
      </c>
      <c r="B54" s="172"/>
      <c r="C54" s="227"/>
      <c r="D54" s="228"/>
      <c r="E54" s="228"/>
      <c r="F54" s="228"/>
      <c r="G54" s="228"/>
      <c r="H54" s="228"/>
      <c r="I54" s="228"/>
      <c r="J54" s="228"/>
      <c r="K54" s="228"/>
      <c r="L54" s="228"/>
      <c r="M54" s="228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19"/>
      <c r="Z54" s="229"/>
      <c r="AA54" s="229"/>
    </row>
    <row r="55" spans="1:27">
      <c r="A55" s="172"/>
      <c r="B55" s="172" t="s">
        <v>71</v>
      </c>
      <c r="C55" s="227"/>
      <c r="D55" s="218">
        <v>59</v>
      </c>
      <c r="E55" s="218">
        <f>($I$55-$D$55)/5+D55</f>
        <v>60</v>
      </c>
      <c r="F55" s="218">
        <f>($I$55-$D$55)/5+E55</f>
        <v>61</v>
      </c>
      <c r="G55" s="218">
        <f>($I$55-$D$55)/5+F55</f>
        <v>62</v>
      </c>
      <c r="H55" s="218">
        <f>($I$55-$D$55)/5+G55</f>
        <v>63</v>
      </c>
      <c r="I55" s="218">
        <v>64</v>
      </c>
      <c r="J55" s="218">
        <f>($N$55-$I$55)/5+I55</f>
        <v>63.4</v>
      </c>
      <c r="K55" s="218">
        <f>($N$55-$I$55)/5+J55</f>
        <v>62.8</v>
      </c>
      <c r="L55" s="218">
        <f>($N$55-$I$55)/5+K55</f>
        <v>62.199999999999996</v>
      </c>
      <c r="M55" s="218">
        <f>($N$55-$I$55)/5+L55</f>
        <v>61.599999999999994</v>
      </c>
      <c r="N55" s="218">
        <v>61</v>
      </c>
      <c r="O55" s="218">
        <f>($S$55-$N$55)/5+N55</f>
        <v>60.4</v>
      </c>
      <c r="P55" s="218">
        <f>($S$55-$N$55)/5+O55</f>
        <v>59.8</v>
      </c>
      <c r="Q55" s="218">
        <f>($S$55-$N$55)/5+P55</f>
        <v>59.199999999999996</v>
      </c>
      <c r="R55" s="218">
        <f>($S$55-$N$55)/5+Q55</f>
        <v>58.599999999999994</v>
      </c>
      <c r="S55" s="218">
        <v>58</v>
      </c>
      <c r="T55" s="218">
        <f>($X$55-$S$55)/5+S55</f>
        <v>57.2</v>
      </c>
      <c r="U55" s="218">
        <f>($X$55-$S$55)/5+T55</f>
        <v>56.400000000000006</v>
      </c>
      <c r="V55" s="218">
        <f>($X$55-$S$55)/5+U55</f>
        <v>55.600000000000009</v>
      </c>
      <c r="W55" s="218">
        <f>($X$55-$S$55)/5+V55</f>
        <v>54.800000000000011</v>
      </c>
      <c r="X55" s="218">
        <v>54</v>
      </c>
      <c r="AA55" s="229"/>
    </row>
    <row r="56" spans="1:27">
      <c r="A56" s="172"/>
      <c r="B56" s="172" t="s">
        <v>72</v>
      </c>
      <c r="C56" s="172"/>
      <c r="D56" s="218">
        <v>0</v>
      </c>
      <c r="E56" s="218">
        <v>0</v>
      </c>
      <c r="F56" s="218">
        <v>0</v>
      </c>
      <c r="G56" s="218">
        <v>0</v>
      </c>
      <c r="H56" s="218">
        <v>0</v>
      </c>
      <c r="I56" s="218">
        <v>0</v>
      </c>
      <c r="J56" s="218">
        <v>0</v>
      </c>
      <c r="K56" s="218">
        <v>0</v>
      </c>
      <c r="L56" s="218">
        <v>0</v>
      </c>
      <c r="M56" s="218">
        <v>0</v>
      </c>
      <c r="N56" s="218">
        <v>0</v>
      </c>
      <c r="O56" s="218">
        <v>0</v>
      </c>
      <c r="P56" s="218">
        <v>0</v>
      </c>
      <c r="Q56" s="218">
        <v>0</v>
      </c>
      <c r="R56" s="218">
        <v>0</v>
      </c>
      <c r="S56" s="218">
        <v>0</v>
      </c>
      <c r="T56" s="218">
        <v>0</v>
      </c>
      <c r="U56" s="218">
        <v>0</v>
      </c>
      <c r="V56" s="218">
        <v>0</v>
      </c>
      <c r="W56" s="218">
        <v>0</v>
      </c>
      <c r="X56" s="218">
        <v>0</v>
      </c>
      <c r="AA56" s="229"/>
    </row>
    <row r="57" spans="1:27">
      <c r="A57" s="188"/>
      <c r="B57" s="172"/>
      <c r="C57" s="172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AA57" s="229"/>
    </row>
    <row r="58" spans="1:27">
      <c r="A58" s="250" t="s">
        <v>80</v>
      </c>
      <c r="B58" s="172"/>
      <c r="C58" s="172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AA58" s="229"/>
    </row>
    <row r="59" spans="1:27">
      <c r="A59" s="172"/>
      <c r="B59" s="172" t="s">
        <v>74</v>
      </c>
      <c r="C59" s="172"/>
      <c r="D59" s="218">
        <f>D55*(1+'Power Price Assumption'!$C$15)^(D4-1998)</f>
        <v>62.5931</v>
      </c>
      <c r="E59" s="218">
        <f>E55*(1+'Power Price Assumption'!$C$15)^(E4-1998)</f>
        <v>65.56362</v>
      </c>
      <c r="F59" s="218">
        <f>F55*(1+'Power Price Assumption'!$C$15)^(F4-1998)</f>
        <v>68.656037409999996</v>
      </c>
      <c r="G59" s="218">
        <f>G55*(1+'Power Price Assumption'!$C$15)^(G4-1998)</f>
        <v>71.874992606599989</v>
      </c>
      <c r="H59" s="218">
        <f>H55*(1+'Power Price Assumption'!$C$15)^(H4-1998)</f>
        <v>75.225294681327</v>
      </c>
      <c r="I59" s="218">
        <f>I55*(1+'Power Price Assumption'!$C$15)^(I4-1998)</f>
        <v>78.711927387191679</v>
      </c>
      <c r="J59" s="218">
        <f>J55*(1+'Power Price Assumption'!$C$15)^(J4-1998)</f>
        <v>80.313223159974854</v>
      </c>
      <c r="K59" s="218">
        <f>K55*(1+'Power Price Assumption'!$C$15)^(K4-1998)</f>
        <v>81.939755944476545</v>
      </c>
      <c r="L59" s="218">
        <f>L55*(1+'Power Price Assumption'!$C$15)^(L4-1998)</f>
        <v>83.591598795204362</v>
      </c>
      <c r="M59" s="218">
        <f>M55*(1+'Power Price Assumption'!$C$15)^(M4-1998)</f>
        <v>85.268806436625837</v>
      </c>
      <c r="N59" s="218">
        <f>N55*(1+'Power Price Assumption'!$C$15)^(N4-1998)</f>
        <v>86.971414097616901</v>
      </c>
      <c r="O59" s="218">
        <f>O55*(1+'Power Price Assumption'!$C$15)^(O4-1998)</f>
        <v>88.699436292474459</v>
      </c>
      <c r="P59" s="218">
        <f>P55*(1+'Power Price Assumption'!$C$15)^(P4-1998)</f>
        <v>90.45286554633563</v>
      </c>
      <c r="Q59" s="218">
        <f>Q55*(1+'Power Price Assumption'!$C$15)^(Q4-1998)</f>
        <v>92.231671062765244</v>
      </c>
      <c r="R59" s="218">
        <f>R55*(1+'Power Price Assumption'!$C$15)^(R4-1998)</f>
        <v>94.035797331188917</v>
      </c>
      <c r="S59" s="218">
        <f>S55*(1+'Power Price Assumption'!$C$15)^(S4-1998)</f>
        <v>95.865162671761539</v>
      </c>
      <c r="T59" s="218">
        <f>T55*(1+'Power Price Assumption'!$C$15)^(T4-1998)</f>
        <v>97.37917110292247</v>
      </c>
      <c r="U59" s="218">
        <f>U55*(1+'Power Price Assumption'!$C$15)^(U4-1998)</f>
        <v>98.897741393548472</v>
      </c>
      <c r="V59" s="218">
        <f>V55*(1+'Power Price Assumption'!$C$15)^(V4-1998)</f>
        <v>100.41978464761939</v>
      </c>
      <c r="W59" s="218">
        <f>W55*(1+'Power Price Assumption'!$C$15)^(W4-1998)</f>
        <v>101.94414252968036</v>
      </c>
      <c r="X59" s="218">
        <f>X55*(1+'Power Price Assumption'!$C$15)^(X4-1998)</f>
        <v>103.46958407848214</v>
      </c>
    </row>
    <row r="60" spans="1:27">
      <c r="A60" s="172"/>
      <c r="B60" s="172" t="s">
        <v>72</v>
      </c>
      <c r="C60" s="172"/>
      <c r="D60" s="218">
        <f>D56*(1+'Power Price Assumption'!$C$15)^(D4-1998)</f>
        <v>0</v>
      </c>
      <c r="E60" s="218">
        <f>E56*(1+'Power Price Assumption'!$C$15)^(E4-1998)</f>
        <v>0</v>
      </c>
      <c r="F60" s="218">
        <f>F56*(1+'Power Price Assumption'!$C$15)^(F4-1998)</f>
        <v>0</v>
      </c>
      <c r="G60" s="218">
        <f>G56*(1+'Power Price Assumption'!$C$15)^(G4-1998)</f>
        <v>0</v>
      </c>
      <c r="H60" s="218">
        <f>H56*(1+'Power Price Assumption'!$C$15)^(H4-1998)</f>
        <v>0</v>
      </c>
      <c r="I60" s="218">
        <f>I56*(1+'Power Price Assumption'!$C$15)^(I4-1998)</f>
        <v>0</v>
      </c>
      <c r="J60" s="218">
        <f>J56*(1+'Power Price Assumption'!$C$15)^(J4-1998)</f>
        <v>0</v>
      </c>
      <c r="K60" s="218">
        <f>K56*(1+'Power Price Assumption'!$C$15)^(K4-1998)</f>
        <v>0</v>
      </c>
      <c r="L60" s="218">
        <f>L56*(1+'Power Price Assumption'!$C$15)^(L4-1998)</f>
        <v>0</v>
      </c>
      <c r="M60" s="218">
        <f>M56*(1+'Power Price Assumption'!$C$15)^(M4-1998)</f>
        <v>0</v>
      </c>
      <c r="N60" s="218">
        <f>N56*(1+'Power Price Assumption'!$C$15)^(N4-1998)</f>
        <v>0</v>
      </c>
      <c r="O60" s="218">
        <f>O56*(1+'Power Price Assumption'!$C$15)^(O4-1998)</f>
        <v>0</v>
      </c>
      <c r="P60" s="218">
        <f>P56*(1+'Power Price Assumption'!$C$15)^(P4-1998)</f>
        <v>0</v>
      </c>
      <c r="Q60" s="218">
        <f>Q56*(1+'Power Price Assumption'!$C$15)^(Q4-1998)</f>
        <v>0</v>
      </c>
      <c r="R60" s="218">
        <f>R56*(1+'Power Price Assumption'!$C$15)^(R4-1998)</f>
        <v>0</v>
      </c>
      <c r="S60" s="218">
        <f>S56*(1+'Power Price Assumption'!$C$15)^(S4-1998)</f>
        <v>0</v>
      </c>
      <c r="T60" s="218">
        <f>T56*(1+'Power Price Assumption'!$C$15)^(T4-1998)</f>
        <v>0</v>
      </c>
      <c r="U60" s="218">
        <f>U56*(1+'Power Price Assumption'!$C$15)^(U4-1998)</f>
        <v>0</v>
      </c>
      <c r="V60" s="218">
        <f>V56*(1+'Power Price Assumption'!$C$15)^(V4-1998)</f>
        <v>0</v>
      </c>
      <c r="W60" s="218">
        <f>W56*(1+'Power Price Assumption'!$C$15)^(W4-1998)</f>
        <v>0</v>
      </c>
      <c r="X60" s="218">
        <f>X56*(1+'Power Price Assumption'!$C$15)^(X4-1998)</f>
        <v>0</v>
      </c>
    </row>
    <row r="61" spans="1:27">
      <c r="A61" s="172"/>
      <c r="B61" s="172"/>
      <c r="C61" s="172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</row>
    <row r="62" spans="1:27">
      <c r="A62" s="172">
        <v>1</v>
      </c>
      <c r="B62" s="172" t="s">
        <v>75</v>
      </c>
      <c r="C62" s="172"/>
      <c r="D62" s="222">
        <f>D59/12</f>
        <v>5.2160916666666663</v>
      </c>
      <c r="E62" s="222">
        <f t="shared" ref="E62:X62" si="8">E59/12</f>
        <v>5.463635</v>
      </c>
      <c r="F62" s="222">
        <f t="shared" si="8"/>
        <v>5.7213364508333333</v>
      </c>
      <c r="G62" s="222">
        <f t="shared" si="8"/>
        <v>5.989582717216666</v>
      </c>
      <c r="H62" s="222">
        <f t="shared" si="8"/>
        <v>6.2687745567772497</v>
      </c>
      <c r="I62" s="222">
        <f t="shared" si="8"/>
        <v>6.5593272822659729</v>
      </c>
      <c r="J62" s="222">
        <f t="shared" si="8"/>
        <v>6.6927685966645711</v>
      </c>
      <c r="K62" s="222">
        <f t="shared" si="8"/>
        <v>6.8283129953730457</v>
      </c>
      <c r="L62" s="222">
        <f t="shared" si="8"/>
        <v>6.9659665662670305</v>
      </c>
      <c r="M62" s="222">
        <f t="shared" si="8"/>
        <v>7.1057338697188195</v>
      </c>
      <c r="N62" s="222">
        <f t="shared" si="8"/>
        <v>7.2476178414680748</v>
      </c>
      <c r="O62" s="222">
        <f t="shared" si="8"/>
        <v>7.391619691039538</v>
      </c>
      <c r="P62" s="222">
        <f t="shared" si="8"/>
        <v>7.5377387955279689</v>
      </c>
      <c r="Q62" s="222">
        <f t="shared" si="8"/>
        <v>7.6859725885637706</v>
      </c>
      <c r="R62" s="222">
        <f t="shared" si="8"/>
        <v>7.8363164442657434</v>
      </c>
      <c r="S62" s="222">
        <f t="shared" si="8"/>
        <v>7.9887635559801282</v>
      </c>
      <c r="T62" s="222">
        <f t="shared" si="8"/>
        <v>8.1149309252435398</v>
      </c>
      <c r="U62" s="222">
        <f t="shared" si="8"/>
        <v>8.2414784494623721</v>
      </c>
      <c r="V62" s="222">
        <f t="shared" si="8"/>
        <v>8.3683153873016156</v>
      </c>
      <c r="W62" s="222">
        <f t="shared" si="8"/>
        <v>8.4953452108066969</v>
      </c>
      <c r="X62" s="222">
        <f t="shared" si="8"/>
        <v>8.6224653398735125</v>
      </c>
    </row>
    <row r="63" spans="1:27">
      <c r="A63" s="172">
        <v>2</v>
      </c>
      <c r="B63" s="172" t="s">
        <v>76</v>
      </c>
      <c r="C63" s="172"/>
      <c r="D63" s="222">
        <f>D60/12</f>
        <v>0</v>
      </c>
      <c r="E63" s="222">
        <f t="shared" ref="E63:X63" si="9">E60/12</f>
        <v>0</v>
      </c>
      <c r="F63" s="222">
        <f t="shared" si="9"/>
        <v>0</v>
      </c>
      <c r="G63" s="222">
        <f t="shared" si="9"/>
        <v>0</v>
      </c>
      <c r="H63" s="222">
        <f t="shared" si="9"/>
        <v>0</v>
      </c>
      <c r="I63" s="222">
        <f t="shared" si="9"/>
        <v>0</v>
      </c>
      <c r="J63" s="222">
        <f t="shared" si="9"/>
        <v>0</v>
      </c>
      <c r="K63" s="222">
        <f t="shared" si="9"/>
        <v>0</v>
      </c>
      <c r="L63" s="222">
        <f t="shared" si="9"/>
        <v>0</v>
      </c>
      <c r="M63" s="222">
        <f t="shared" si="9"/>
        <v>0</v>
      </c>
      <c r="N63" s="222">
        <f t="shared" si="9"/>
        <v>0</v>
      </c>
      <c r="O63" s="222">
        <f t="shared" si="9"/>
        <v>0</v>
      </c>
      <c r="P63" s="222">
        <f t="shared" si="9"/>
        <v>0</v>
      </c>
      <c r="Q63" s="222">
        <f t="shared" si="9"/>
        <v>0</v>
      </c>
      <c r="R63" s="222">
        <f t="shared" si="9"/>
        <v>0</v>
      </c>
      <c r="S63" s="222">
        <f t="shared" si="9"/>
        <v>0</v>
      </c>
      <c r="T63" s="222">
        <f t="shared" si="9"/>
        <v>0</v>
      </c>
      <c r="U63" s="222">
        <f t="shared" si="9"/>
        <v>0</v>
      </c>
      <c r="V63" s="222">
        <f t="shared" si="9"/>
        <v>0</v>
      </c>
      <c r="W63" s="222">
        <f t="shared" si="9"/>
        <v>0</v>
      </c>
      <c r="X63" s="222">
        <f t="shared" si="9"/>
        <v>0</v>
      </c>
    </row>
    <row r="64" spans="1:27">
      <c r="A64" s="172">
        <v>3</v>
      </c>
      <c r="B64" s="172" t="s">
        <v>77</v>
      </c>
      <c r="C64" s="172"/>
      <c r="D64" s="280">
        <v>0</v>
      </c>
      <c r="E64" s="280">
        <v>0</v>
      </c>
      <c r="F64" s="280">
        <v>0</v>
      </c>
      <c r="G64" s="280">
        <v>0</v>
      </c>
      <c r="H64" s="280">
        <v>0</v>
      </c>
      <c r="I64" s="280">
        <v>0</v>
      </c>
      <c r="J64" s="280">
        <v>0</v>
      </c>
      <c r="K64" s="280">
        <v>0</v>
      </c>
      <c r="L64" s="280">
        <v>0</v>
      </c>
      <c r="M64" s="280">
        <v>0</v>
      </c>
      <c r="N64" s="280">
        <v>0</v>
      </c>
      <c r="O64" s="280">
        <v>0</v>
      </c>
      <c r="P64" s="280">
        <v>0</v>
      </c>
      <c r="Q64" s="280">
        <v>0</v>
      </c>
      <c r="R64" s="280">
        <v>0</v>
      </c>
      <c r="S64" s="280">
        <v>0</v>
      </c>
      <c r="T64" s="280">
        <v>0</v>
      </c>
      <c r="U64" s="280">
        <v>0</v>
      </c>
      <c r="V64" s="280">
        <v>0</v>
      </c>
      <c r="W64" s="280">
        <v>0</v>
      </c>
      <c r="X64" s="280">
        <v>0</v>
      </c>
    </row>
    <row r="65" spans="1:24">
      <c r="A65" s="172"/>
      <c r="B65" s="172"/>
      <c r="C65" s="172"/>
      <c r="D65" s="223"/>
      <c r="E65" s="223"/>
      <c r="F65" s="223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  <c r="U65" s="224"/>
      <c r="V65" s="224"/>
      <c r="W65" s="224"/>
      <c r="X65" s="224"/>
    </row>
    <row r="66" spans="1:24">
      <c r="A66" s="172"/>
      <c r="B66" s="225" t="s">
        <v>230</v>
      </c>
      <c r="C66" s="532">
        <f>C32</f>
        <v>1</v>
      </c>
      <c r="D66" s="226" t="str">
        <f>IF(D11&gt;0,D11,CHOOSE($C$66,D62,D63,D64))</f>
        <v>NA</v>
      </c>
      <c r="E66" s="226">
        <f t="shared" ref="E66:X66" si="10">IF(E11&gt;0,E11,CHOOSE($C$66,E62,E63,E64))</f>
        <v>4</v>
      </c>
      <c r="F66" s="226">
        <f t="shared" si="10"/>
        <v>4</v>
      </c>
      <c r="G66" s="226">
        <f t="shared" si="10"/>
        <v>4</v>
      </c>
      <c r="H66" s="226">
        <f t="shared" si="10"/>
        <v>6.2687745567772497</v>
      </c>
      <c r="I66" s="226">
        <f t="shared" si="10"/>
        <v>6.5593272822659729</v>
      </c>
      <c r="J66" s="226">
        <f t="shared" si="10"/>
        <v>6.6927685966645711</v>
      </c>
      <c r="K66" s="226">
        <f t="shared" si="10"/>
        <v>6.8283129953730457</v>
      </c>
      <c r="L66" s="226">
        <f t="shared" si="10"/>
        <v>6.9659665662670305</v>
      </c>
      <c r="M66" s="226">
        <f t="shared" si="10"/>
        <v>7.1057338697188195</v>
      </c>
      <c r="N66" s="226">
        <f t="shared" si="10"/>
        <v>7.2476178414680748</v>
      </c>
      <c r="O66" s="226">
        <f t="shared" si="10"/>
        <v>7.391619691039538</v>
      </c>
      <c r="P66" s="226">
        <f t="shared" si="10"/>
        <v>7.5377387955279689</v>
      </c>
      <c r="Q66" s="226">
        <f t="shared" si="10"/>
        <v>7.6859725885637706</v>
      </c>
      <c r="R66" s="226">
        <f t="shared" si="10"/>
        <v>7.8363164442657434</v>
      </c>
      <c r="S66" s="226">
        <f t="shared" si="10"/>
        <v>7.9887635559801282</v>
      </c>
      <c r="T66" s="226">
        <f t="shared" si="10"/>
        <v>8.1149309252435398</v>
      </c>
      <c r="U66" s="226">
        <f t="shared" si="10"/>
        <v>8.2414784494623721</v>
      </c>
      <c r="V66" s="226">
        <f t="shared" si="10"/>
        <v>8.3683153873016156</v>
      </c>
      <c r="W66" s="226">
        <f t="shared" si="10"/>
        <v>8.4953452108066969</v>
      </c>
      <c r="X66" s="226">
        <f t="shared" si="10"/>
        <v>8.6224653398735125</v>
      </c>
    </row>
    <row r="67" spans="1:24">
      <c r="A67" s="172"/>
      <c r="B67" s="225"/>
      <c r="C67" s="227"/>
      <c r="D67" s="228"/>
      <c r="E67" s="228"/>
      <c r="F67" s="228"/>
      <c r="G67" s="228"/>
      <c r="H67" s="228"/>
      <c r="I67" s="228"/>
      <c r="J67" s="228"/>
      <c r="K67" s="228"/>
      <c r="L67" s="228"/>
      <c r="M67" s="228"/>
      <c r="N67" s="228"/>
      <c r="O67" s="228"/>
      <c r="P67" s="228"/>
      <c r="Q67" s="228"/>
      <c r="R67" s="228"/>
      <c r="S67" s="228"/>
      <c r="T67" s="228"/>
      <c r="U67" s="228"/>
      <c r="V67" s="228"/>
      <c r="W67" s="228"/>
      <c r="X67" s="228"/>
    </row>
    <row r="68" spans="1:24">
      <c r="A68" s="172"/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</row>
    <row r="69" spans="1:24">
      <c r="A69" s="172"/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</row>
    <row r="70" spans="1:24">
      <c r="A70" s="172"/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</row>
    <row r="71" spans="1:24">
      <c r="A71" s="172"/>
      <c r="B71" s="172"/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</row>
    <row r="72" spans="1:24">
      <c r="A72" s="172"/>
      <c r="B72" s="172"/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  <c r="T72" s="172"/>
      <c r="U72" s="172"/>
      <c r="V72" s="172"/>
      <c r="W72" s="172"/>
      <c r="X72" s="172"/>
    </row>
    <row r="73" spans="1:24">
      <c r="A73" s="172"/>
      <c r="B73" s="172"/>
      <c r="C73" s="227"/>
      <c r="D73" s="231"/>
      <c r="E73" s="231"/>
      <c r="F73" s="231"/>
      <c r="G73" s="231"/>
      <c r="H73" s="231"/>
      <c r="I73" s="231"/>
      <c r="J73" s="231"/>
      <c r="K73" s="231"/>
      <c r="L73" s="231"/>
      <c r="M73" s="231"/>
      <c r="N73" s="231"/>
      <c r="O73" s="231"/>
      <c r="P73" s="231"/>
      <c r="Q73" s="231"/>
      <c r="R73" s="231"/>
      <c r="S73" s="231"/>
      <c r="T73" s="231"/>
      <c r="U73" s="231"/>
      <c r="V73" s="231"/>
      <c r="W73" s="231"/>
      <c r="X73" s="231"/>
    </row>
    <row r="74" spans="1:24">
      <c r="A74" s="172"/>
      <c r="B74" s="172"/>
      <c r="C74" s="227"/>
      <c r="D74" s="231"/>
      <c r="E74" s="231"/>
      <c r="F74" s="231"/>
      <c r="G74" s="231"/>
      <c r="H74" s="231"/>
      <c r="I74" s="231"/>
      <c r="J74" s="231"/>
      <c r="K74" s="231"/>
      <c r="L74" s="231"/>
      <c r="M74" s="231"/>
      <c r="N74" s="231"/>
      <c r="O74" s="231"/>
      <c r="P74" s="231"/>
      <c r="Q74" s="231"/>
      <c r="R74" s="231"/>
      <c r="S74" s="231"/>
      <c r="T74" s="231"/>
      <c r="U74" s="231"/>
      <c r="V74" s="231"/>
      <c r="W74" s="231"/>
      <c r="X74" s="231"/>
    </row>
    <row r="75" spans="1:24">
      <c r="A75" s="172"/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</row>
    <row r="76" spans="1:24">
      <c r="A76" s="172"/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</row>
    <row r="77" spans="1:24">
      <c r="A77" s="172"/>
      <c r="B77" s="172"/>
      <c r="C77" s="172"/>
      <c r="D77" s="172"/>
      <c r="E77" s="172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</row>
    <row r="78" spans="1:24">
      <c r="A78" s="172"/>
      <c r="B78" s="172"/>
      <c r="C78" s="172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</row>
    <row r="79" spans="1:24">
      <c r="A79" s="172"/>
      <c r="B79" s="172"/>
      <c r="C79" s="172"/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</row>
    <row r="80" spans="1:24">
      <c r="A80" s="172"/>
      <c r="B80" s="172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</row>
    <row r="81" spans="1:24">
      <c r="A81" s="172"/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2"/>
      <c r="N81" s="172"/>
      <c r="O81" s="172"/>
      <c r="P81" s="172"/>
      <c r="Q81" s="172"/>
      <c r="R81" s="172"/>
      <c r="S81" s="172"/>
      <c r="T81" s="172"/>
      <c r="U81" s="172"/>
      <c r="V81" s="172"/>
      <c r="W81" s="172"/>
      <c r="X81" s="172"/>
    </row>
    <row r="82" spans="1:24">
      <c r="A82" s="172"/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  <c r="P82" s="172"/>
      <c r="Q82" s="172"/>
      <c r="R82" s="172"/>
      <c r="S82" s="172"/>
      <c r="T82" s="172"/>
      <c r="U82" s="172"/>
      <c r="V82" s="172"/>
      <c r="W82" s="172"/>
      <c r="X82" s="172"/>
    </row>
    <row r="83" spans="1:24">
      <c r="A83" s="172"/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2"/>
      <c r="N83" s="172"/>
      <c r="O83" s="172"/>
      <c r="P83" s="172"/>
      <c r="Q83" s="172"/>
      <c r="R83" s="172"/>
      <c r="S83" s="172"/>
      <c r="T83" s="172"/>
      <c r="U83" s="172"/>
      <c r="V83" s="172"/>
      <c r="W83" s="172"/>
      <c r="X83" s="172"/>
    </row>
    <row r="84" spans="1:24">
      <c r="A84" s="172"/>
      <c r="B84" s="172"/>
      <c r="C84" s="172"/>
    </row>
    <row r="85" spans="1:24">
      <c r="A85" s="172"/>
      <c r="B85" s="172"/>
      <c r="C85" s="172"/>
    </row>
  </sheetData>
  <pageMargins left="0.18" right="0.17" top="0.37" bottom="0.4" header="0.17" footer="0.21"/>
  <pageSetup scale="52" orientation="landscape" r:id="rId1"/>
  <headerFooter alignWithMargins="0">
    <oddHeader>&amp;L&amp;12Enron Generation Company</oddHeader>
    <oddFooter>&amp;L&amp;T, &amp;D&amp;C&amp;F&amp;RPage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BD52"/>
  <sheetViews>
    <sheetView zoomScale="75" zoomScaleNormal="75" workbookViewId="0"/>
  </sheetViews>
  <sheetFormatPr defaultRowHeight="12.75"/>
  <cols>
    <col min="1" max="1" width="33.7109375" style="18" customWidth="1"/>
    <col min="2" max="21" width="12.5703125" style="18" customWidth="1"/>
    <col min="22" max="22" width="12.5703125" style="7" customWidth="1"/>
    <col min="23" max="23" width="11.140625" style="7" bestFit="1" customWidth="1"/>
    <col min="24" max="24" width="11.5703125" style="18" bestFit="1" customWidth="1"/>
    <col min="25" max="16384" width="9.140625" style="18"/>
  </cols>
  <sheetData>
    <row r="2" spans="1:25" ht="18.75">
      <c r="A2" s="54" t="s">
        <v>210</v>
      </c>
      <c r="B2" s="28"/>
    </row>
    <row r="3" spans="1:25" ht="16.5" customHeight="1">
      <c r="A3" s="535"/>
      <c r="B3" s="478"/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478"/>
      <c r="P3" s="478"/>
      <c r="Q3" s="478"/>
      <c r="R3" s="478"/>
      <c r="S3" s="478"/>
      <c r="T3" s="478"/>
      <c r="U3" s="478"/>
    </row>
    <row r="4" spans="1:25">
      <c r="A4" s="535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</row>
    <row r="5" spans="1:25" s="7" customFormat="1" ht="13.5" thickBot="1">
      <c r="A5" s="202" t="s">
        <v>83</v>
      </c>
      <c r="B5" s="8">
        <f>Brownsville!$B$5</f>
        <v>2001</v>
      </c>
      <c r="C5" s="8">
        <f t="shared" ref="C5:U5" si="0">B5+1</f>
        <v>2002</v>
      </c>
      <c r="D5" s="8">
        <f>C5+1</f>
        <v>2003</v>
      </c>
      <c r="E5" s="8">
        <f>D5+1</f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>J5+1</f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  <c r="V5" s="9"/>
      <c r="W5" s="9"/>
    </row>
    <row r="6" spans="1:25">
      <c r="A6" s="2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</row>
    <row r="7" spans="1:25">
      <c r="A7" s="2"/>
      <c r="B7" s="477"/>
      <c r="C7" s="477"/>
      <c r="D7" s="477"/>
      <c r="E7" s="477"/>
      <c r="F7" s="477"/>
      <c r="G7" s="477"/>
      <c r="H7" s="477"/>
      <c r="I7" s="477"/>
      <c r="J7" s="477"/>
      <c r="K7" s="477"/>
      <c r="L7" s="477"/>
      <c r="M7" s="477"/>
      <c r="N7" s="477"/>
      <c r="O7" s="477"/>
      <c r="P7" s="477"/>
      <c r="Q7" s="477"/>
      <c r="R7" s="477"/>
      <c r="S7" s="477"/>
      <c r="T7" s="477"/>
      <c r="U7" s="477"/>
    </row>
    <row r="8" spans="1:25">
      <c r="A8" s="1" t="s">
        <v>84</v>
      </c>
      <c r="B8" s="478"/>
      <c r="C8" s="478"/>
      <c r="D8" s="478"/>
      <c r="E8" s="478"/>
      <c r="F8" s="478"/>
      <c r="G8" s="478"/>
      <c r="H8" s="478"/>
      <c r="I8" s="478"/>
      <c r="J8" s="478"/>
      <c r="K8" s="478"/>
      <c r="L8" s="478"/>
      <c r="M8" s="478"/>
      <c r="N8" s="478"/>
      <c r="O8" s="478"/>
      <c r="P8" s="478"/>
      <c r="Q8" s="478"/>
      <c r="R8" s="478"/>
      <c r="S8" s="478"/>
      <c r="T8" s="478"/>
      <c r="U8" s="478"/>
      <c r="V8" s="93"/>
      <c r="W8" s="93"/>
    </row>
    <row r="9" spans="1:25">
      <c r="A9" s="385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93"/>
      <c r="W9" s="93"/>
    </row>
    <row r="10" spans="1:25">
      <c r="A10" s="3" t="s">
        <v>85</v>
      </c>
      <c r="B10" s="124">
        <f>SUM(Caledonia!B10,'New Albany'!B10,Wheatland!B10,Wilton!B10,Brownsville!B10,Gleason!B10)</f>
        <v>138384</v>
      </c>
      <c r="C10" s="124">
        <f>SUM(Caledonia!C10,'New Albany'!C10,Wheatland!C10,Wilton!C10,Brownsville!C10,Gleason!C10)</f>
        <v>138384</v>
      </c>
      <c r="D10" s="124">
        <f>SUM(Caledonia!D10,'New Albany'!D10,Wheatland!D10,Wilton!D10,Brownsville!D10,Gleason!D10)</f>
        <v>138384</v>
      </c>
      <c r="E10" s="124">
        <f>SUM(Caledonia!E10,'New Albany'!E10,Wheatland!E10,Wilton!E10,Brownsville!E10,Gleason!E10)</f>
        <v>0</v>
      </c>
      <c r="F10" s="124">
        <f>SUM(Caledonia!F10,'New Albany'!F10,Wheatland!F10,Wilton!F10,Brownsville!F10,Gleason!F10)</f>
        <v>0</v>
      </c>
      <c r="G10" s="124">
        <f>SUM(Caledonia!G10,'New Albany'!G10,Wheatland!G10,Wilton!G10,Brownsville!G10,Gleason!G10)</f>
        <v>0</v>
      </c>
      <c r="H10" s="124">
        <f>SUM(Caledonia!H10,'New Albany'!H10,Wheatland!H10,Wilton!H10,Brownsville!H10,Gleason!H10)</f>
        <v>0</v>
      </c>
      <c r="I10" s="124">
        <f>SUM(Caledonia!I10,'New Albany'!I10,Wheatland!I10,Wilton!I10,Brownsville!I10,Gleason!I10)</f>
        <v>0</v>
      </c>
      <c r="J10" s="124">
        <f>SUM(Caledonia!J10,'New Albany'!J10,Wheatland!J10,Wilton!J10,Brownsville!J10,Gleason!J10)</f>
        <v>0</v>
      </c>
      <c r="K10" s="124">
        <f>SUM(Caledonia!K10,'New Albany'!K10,Wheatland!K10,Wilton!K10,Brownsville!K10,Gleason!K10)</f>
        <v>0</v>
      </c>
      <c r="L10" s="124">
        <f>SUM(Caledonia!L10,'New Albany'!L10,Wheatland!L10,Wilton!L10,Brownsville!L10,Gleason!L10)</f>
        <v>0</v>
      </c>
      <c r="M10" s="124">
        <f>SUM(Caledonia!M10,'New Albany'!M10,Wheatland!M10,Wilton!M10,Brownsville!M10,Gleason!M10)</f>
        <v>0</v>
      </c>
      <c r="N10" s="124">
        <f>SUM(Caledonia!N10,'New Albany'!N10,Wheatland!N10,Wilton!N10,Brownsville!N10,Gleason!N10)</f>
        <v>0</v>
      </c>
      <c r="O10" s="124">
        <f>SUM(Caledonia!O10,'New Albany'!O10,Wheatland!O10,Wilton!O10,Brownsville!O10,Gleason!O10)</f>
        <v>0</v>
      </c>
      <c r="P10" s="124">
        <f>SUM(Caledonia!P10,'New Albany'!P10,Wheatland!P10,Wilton!P10,Brownsville!P10,Gleason!P10)</f>
        <v>0</v>
      </c>
      <c r="Q10" s="124">
        <f>SUM(Caledonia!Q10,'New Albany'!Q10,Wheatland!Q10,Wilton!Q10,Brownsville!Q10,Gleason!Q10)</f>
        <v>0</v>
      </c>
      <c r="R10" s="124">
        <f>SUM(Caledonia!R10,'New Albany'!R10,Wheatland!R10,Wilton!R10,Brownsville!R10,Gleason!R10)</f>
        <v>0</v>
      </c>
      <c r="S10" s="124">
        <f>SUM(Caledonia!S10,'New Albany'!S10,Wheatland!S10,Wilton!S10,Brownsville!S10,Gleason!S10)</f>
        <v>0</v>
      </c>
      <c r="T10" s="124">
        <f>SUM(Caledonia!T10,'New Albany'!T10,Wheatland!T10,Wilton!T10,Brownsville!T10,Gleason!T10)</f>
        <v>0</v>
      </c>
      <c r="U10" s="124">
        <f>SUM(Caledonia!U10,'New Albany'!U10,Wheatland!U10,Wilton!U10,Brownsville!U10,Gleason!U10)</f>
        <v>0</v>
      </c>
      <c r="W10" s="515">
        <f>SUM(B10:U10)</f>
        <v>415152</v>
      </c>
      <c r="X10" s="457">
        <f>SUM(Caledonia!W10,'New Albany'!W10,Wheatland!W10,Wilton!W10,Brownsville!W10,Gleason!W10)</f>
        <v>415152</v>
      </c>
      <c r="Y10" s="457">
        <f>W10-X10</f>
        <v>0</v>
      </c>
    </row>
    <row r="11" spans="1:25">
      <c r="A11" s="3" t="s">
        <v>317</v>
      </c>
      <c r="B11" s="124">
        <f>SUM(Caledonia!B11,'New Albany'!B11,Wheatland!B11,Wilton!B11,Brownsville!B11,Gleason!B11)</f>
        <v>8239.6662799999995</v>
      </c>
      <c r="C11" s="124">
        <f>SUM(Caledonia!C11,'New Albany'!C11,Wheatland!C11,Wilton!C11,Brownsville!C11,Gleason!C11)</f>
        <v>8486.8562684000008</v>
      </c>
      <c r="D11" s="124">
        <f>SUM(Caledonia!D11,'New Albany'!D11,Wheatland!D11,Wilton!D11,Brownsville!D11,Gleason!D11)</f>
        <v>8741.4619564519999</v>
      </c>
      <c r="E11" s="124">
        <f>SUM(Caledonia!E11,'New Albany'!E11,Wheatland!E11,Wilton!E11,Brownsville!E11,Gleason!E11)</f>
        <v>0</v>
      </c>
      <c r="F11" s="124">
        <f>SUM(Caledonia!F11,'New Albany'!F11,Wheatland!F11,Wilton!F11,Brownsville!F11,Gleason!F11)</f>
        <v>0</v>
      </c>
      <c r="G11" s="124">
        <f>SUM(Caledonia!G11,'New Albany'!G11,Wheatland!G11,Wilton!G11,Brownsville!G11,Gleason!G11)</f>
        <v>0</v>
      </c>
      <c r="H11" s="124">
        <f>SUM(Caledonia!H11,'New Albany'!H11,Wheatland!H11,Wilton!H11,Brownsville!H11,Gleason!H11)</f>
        <v>0</v>
      </c>
      <c r="I11" s="124">
        <f>SUM(Caledonia!I11,'New Albany'!I11,Wheatland!I11,Wilton!I11,Brownsville!I11,Gleason!I11)</f>
        <v>0</v>
      </c>
      <c r="J11" s="124">
        <f>SUM(Caledonia!J11,'New Albany'!J11,Wheatland!J11,Wilton!J11,Brownsville!J11,Gleason!J11)</f>
        <v>0</v>
      </c>
      <c r="K11" s="124">
        <f>SUM(Caledonia!K11,'New Albany'!K11,Wheatland!K11,Wilton!K11,Brownsville!K11,Gleason!K11)</f>
        <v>0</v>
      </c>
      <c r="L11" s="124">
        <f>SUM(Caledonia!L11,'New Albany'!L11,Wheatland!L11,Wilton!L11,Brownsville!L11,Gleason!L11)</f>
        <v>0</v>
      </c>
      <c r="M11" s="124">
        <f>SUM(Caledonia!M11,'New Albany'!M11,Wheatland!M11,Wilton!M11,Brownsville!M11,Gleason!M11)</f>
        <v>0</v>
      </c>
      <c r="N11" s="124">
        <f>SUM(Caledonia!N11,'New Albany'!N11,Wheatland!N11,Wilton!N11,Brownsville!N11,Gleason!N11)</f>
        <v>0</v>
      </c>
      <c r="O11" s="124">
        <f>SUM(Caledonia!O11,'New Albany'!O11,Wheatland!O11,Wilton!O11,Brownsville!O11,Gleason!O11)</f>
        <v>0</v>
      </c>
      <c r="P11" s="124">
        <f>SUM(Caledonia!P11,'New Albany'!P11,Wheatland!P11,Wilton!P11,Brownsville!P11,Gleason!P11)</f>
        <v>0</v>
      </c>
      <c r="Q11" s="124">
        <f>SUM(Caledonia!Q11,'New Albany'!Q11,Wheatland!Q11,Wilton!Q11,Brownsville!Q11,Gleason!Q11)</f>
        <v>0</v>
      </c>
      <c r="R11" s="124">
        <f>SUM(Caledonia!R11,'New Albany'!R11,Wheatland!R11,Wilton!R11,Brownsville!R11,Gleason!R11)</f>
        <v>0</v>
      </c>
      <c r="S11" s="124">
        <f>SUM(Caledonia!S11,'New Albany'!S11,Wheatland!S11,Wilton!S11,Brownsville!S11,Gleason!S11)</f>
        <v>0</v>
      </c>
      <c r="T11" s="124">
        <f>SUM(Caledonia!T11,'New Albany'!T11,Wheatland!T11,Wilton!T11,Brownsville!T11,Gleason!T11)</f>
        <v>0</v>
      </c>
      <c r="U11" s="124">
        <f>SUM(Caledonia!U11,'New Albany'!U11,Wheatland!U11,Wilton!U11,Brownsville!U11,Gleason!U11)</f>
        <v>0</v>
      </c>
      <c r="W11" s="515">
        <f>SUM(B11:U11)</f>
        <v>25467.984504852</v>
      </c>
      <c r="X11" s="457">
        <f>SUM(Caledonia!W11,'New Albany'!W11,Wheatland!W11,Wilton!W11,Brownsville!W11,Gleason!W11)</f>
        <v>25467.984504852</v>
      </c>
      <c r="Y11" s="457">
        <f>W11-X11</f>
        <v>0</v>
      </c>
    </row>
    <row r="12" spans="1:25">
      <c r="A12" s="3" t="s">
        <v>213</v>
      </c>
      <c r="B12" s="124">
        <f>SUM(Caledonia!B12,'New Albany'!B12,Wheatland!B12,Wilton!B12,Brownsville!B12,Gleason!B12)</f>
        <v>2819.625</v>
      </c>
      <c r="C12" s="124">
        <f>SUM(Caledonia!C12,'New Albany'!C12,Wheatland!C12,Wilton!C12,Brownsville!C12,Gleason!C12)</f>
        <v>2904.2137500000003</v>
      </c>
      <c r="D12" s="124">
        <f>SUM(Caledonia!D12,'New Albany'!D12,Wheatland!D12,Wilton!D12,Brownsville!D12,Gleason!D12)</f>
        <v>2991.3401625000001</v>
      </c>
      <c r="E12" s="124">
        <f>SUM(Caledonia!E12,'New Albany'!E12,Wheatland!E12,Wilton!E12,Brownsville!E12,Gleason!E12)</f>
        <v>0</v>
      </c>
      <c r="F12" s="124">
        <f>SUM(Caledonia!F12,'New Albany'!F12,Wheatland!F12,Wilton!F12,Brownsville!F12,Gleason!F12)</f>
        <v>0</v>
      </c>
      <c r="G12" s="124">
        <f>SUM(Caledonia!G12,'New Albany'!G12,Wheatland!G12,Wilton!G12,Brownsville!G12,Gleason!G12)</f>
        <v>0</v>
      </c>
      <c r="H12" s="124">
        <f>SUM(Caledonia!H12,'New Albany'!H12,Wheatland!H12,Wilton!H12,Brownsville!H12,Gleason!H12)</f>
        <v>0</v>
      </c>
      <c r="I12" s="124">
        <f>SUM(Caledonia!I12,'New Albany'!I12,Wheatland!I12,Wilton!I12,Brownsville!I12,Gleason!I12)</f>
        <v>0</v>
      </c>
      <c r="J12" s="124">
        <f>SUM(Caledonia!J12,'New Albany'!J12,Wheatland!J12,Wilton!J12,Brownsville!J12,Gleason!J12)</f>
        <v>0</v>
      </c>
      <c r="K12" s="124">
        <f>SUM(Caledonia!K12,'New Albany'!K12,Wheatland!K12,Wilton!K12,Brownsville!K12,Gleason!K12)</f>
        <v>0</v>
      </c>
      <c r="L12" s="124">
        <f>SUM(Caledonia!L12,'New Albany'!L12,Wheatland!L12,Wilton!L12,Brownsville!L12,Gleason!L12)</f>
        <v>0</v>
      </c>
      <c r="M12" s="124">
        <f>SUM(Caledonia!M12,'New Albany'!M12,Wheatland!M12,Wilton!M12,Brownsville!M12,Gleason!M12)</f>
        <v>0</v>
      </c>
      <c r="N12" s="124">
        <f>SUM(Caledonia!N12,'New Albany'!N12,Wheatland!N12,Wilton!N12,Brownsville!N12,Gleason!N12)</f>
        <v>0</v>
      </c>
      <c r="O12" s="124">
        <f>SUM(Caledonia!O12,'New Albany'!O12,Wheatland!O12,Wilton!O12,Brownsville!O12,Gleason!O12)</f>
        <v>0</v>
      </c>
      <c r="P12" s="124">
        <f>SUM(Caledonia!P12,'New Albany'!P12,Wheatland!P12,Wilton!P12,Brownsville!P12,Gleason!P12)</f>
        <v>0</v>
      </c>
      <c r="Q12" s="124">
        <f>SUM(Caledonia!Q12,'New Albany'!Q12,Wheatland!Q12,Wilton!Q12,Brownsville!Q12,Gleason!Q12)</f>
        <v>0</v>
      </c>
      <c r="R12" s="124">
        <f>SUM(Caledonia!R12,'New Albany'!R12,Wheatland!R12,Wilton!R12,Brownsville!R12,Gleason!R12)</f>
        <v>0</v>
      </c>
      <c r="S12" s="124">
        <f>SUM(Caledonia!S12,'New Albany'!S12,Wheatland!S12,Wilton!S12,Brownsville!S12,Gleason!S12)</f>
        <v>0</v>
      </c>
      <c r="T12" s="124">
        <f>SUM(Caledonia!T12,'New Albany'!T12,Wheatland!T12,Wilton!T12,Brownsville!T12,Gleason!T12)</f>
        <v>0</v>
      </c>
      <c r="U12" s="124">
        <f>SUM(Caledonia!U12,'New Albany'!U12,Wheatland!U12,Wilton!U12,Brownsville!U12,Gleason!U12)</f>
        <v>0</v>
      </c>
      <c r="W12" s="515">
        <f>SUM(B12:U12)</f>
        <v>8715.1789125000014</v>
      </c>
      <c r="X12" s="457">
        <f>SUM(Caledonia!W12,'New Albany'!W12,Wheatland!W12,Wilton!W12,Brownsville!W12,Gleason!W12)</f>
        <v>8715.1789124999996</v>
      </c>
      <c r="Y12" s="457">
        <f>W12-X12</f>
        <v>0</v>
      </c>
    </row>
    <row r="13" spans="1:25">
      <c r="A13" s="1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W13" s="515"/>
      <c r="X13" s="46"/>
      <c r="Y13" s="46"/>
    </row>
    <row r="14" spans="1:25">
      <c r="A14" s="385" t="s">
        <v>233</v>
      </c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W14" s="515"/>
      <c r="X14" s="46"/>
      <c r="Y14" s="46"/>
    </row>
    <row r="15" spans="1:25">
      <c r="A15" s="3" t="s">
        <v>85</v>
      </c>
      <c r="B15" s="124">
        <f>SUM(Caledonia!B15,'New Albany'!B15,Wheatland!B15,Wilton!B15,Brownsville!B15,Gleason!B15)</f>
        <v>0</v>
      </c>
      <c r="C15" s="124">
        <f>SUM(Caledonia!C15,'New Albany'!C15,Wheatland!C15,Wilton!C15,Brownsville!C15,Gleason!C15)</f>
        <v>0</v>
      </c>
      <c r="D15" s="124">
        <f>SUM(Caledonia!D15,'New Albany'!D15,Wheatland!D15,Wilton!D15,Brownsville!D15,Gleason!D15)</f>
        <v>0</v>
      </c>
      <c r="E15" s="124">
        <f>SUM(Caledonia!E15,'New Albany'!E15,Wheatland!E15,Wilton!E15,Brownsville!E15,Gleason!E15)</f>
        <v>208110.27623392659</v>
      </c>
      <c r="F15" s="124">
        <f>SUM(Caledonia!F15,'New Albany'!F15,Wheatland!F15,Wilton!F15,Brownsville!F15,Gleason!F15)</f>
        <v>218603.38906544272</v>
      </c>
      <c r="G15" s="124">
        <f>SUM(Caledonia!G15,'New Albany'!G15,Wheatland!G15,Wilton!G15,Brownsville!G15,Gleason!G15)</f>
        <v>222117.74118957075</v>
      </c>
      <c r="H15" s="124">
        <f>SUM(Caledonia!H15,'New Albany'!H15,Wheatland!H15,Wilton!H15,Brownsville!H15,Gleason!H15)</f>
        <v>225415.41006249998</v>
      </c>
      <c r="I15" s="124">
        <f>SUM(Caledonia!I15,'New Albany'!I15,Wheatland!I15,Wilton!I15,Brownsville!I15,Gleason!I15)</f>
        <v>228948.75846907662</v>
      </c>
      <c r="J15" s="124">
        <f>SUM(Caledonia!J15,'New Albany'!J15,Wheatland!J15,Wilton!J15,Brownsville!J15,Gleason!J15)</f>
        <v>232736.09104038402</v>
      </c>
      <c r="K15" s="124">
        <f>SUM(Caledonia!K15,'New Albany'!K15,Wheatland!K15,Wilton!K15,Brownsville!K15,Gleason!K15)</f>
        <v>236292.40684007347</v>
      </c>
      <c r="L15" s="124">
        <f>SUM(Caledonia!L15,'New Albany'!L15,Wheatland!L15,Wilton!L15,Brownsville!L15,Gleason!L15)</f>
        <v>240756.43349441452</v>
      </c>
      <c r="M15" s="124">
        <f>SUM(Caledonia!M15,'New Albany'!M15,Wheatland!M15,Wilton!M15,Brownsville!M15,Gleason!M15)</f>
        <v>245275.63858186005</v>
      </c>
      <c r="N15" s="124">
        <f>SUM(Caledonia!N15,'New Albany'!N15,Wheatland!N15,Wilton!N15,Brownsville!N15,Gleason!N15)</f>
        <v>249849.31518440731</v>
      </c>
      <c r="O15" s="124">
        <f>SUM(Caledonia!O15,'New Albany'!O15,Wheatland!O15,Wilton!O15,Brownsville!O15,Gleason!O15)</f>
        <v>254476.66430838371</v>
      </c>
      <c r="P15" s="124">
        <f>SUM(Caledonia!P15,'New Albany'!P15,Wheatland!P15,Wilton!P15,Brownsville!P15,Gleason!P15)</f>
        <v>259156.78999613272</v>
      </c>
      <c r="Q15" s="124">
        <f>SUM(Caledonia!Q15,'New Albany'!Q15,Wheatland!Q15,Wilton!Q15,Brownsville!Q15,Gleason!Q15)</f>
        <v>262926.70378222043</v>
      </c>
      <c r="R15" s="124">
        <f>SUM(Caledonia!R15,'New Albany'!R15,Wheatland!R15,Wilton!R15,Brownsville!R15,Gleason!R15)</f>
        <v>266608.80479567219</v>
      </c>
      <c r="S15" s="124">
        <f>SUM(Caledonia!S15,'New Albany'!S15,Wheatland!S15,Wilton!S15,Brownsville!S15,Gleason!S15)</f>
        <v>270358.38731999596</v>
      </c>
      <c r="T15" s="124">
        <f>SUM(Caledonia!T15,'New Albany'!T15,Wheatland!T15,Wilton!T15,Brownsville!T15,Gleason!T15)</f>
        <v>274178.68203943584</v>
      </c>
      <c r="U15" s="124">
        <f>SUM(Caledonia!U15,'New Albany'!U15,Wheatland!U15,Wilton!U15,Brownsville!U15,Gleason!U15)</f>
        <v>277896.61617044214</v>
      </c>
      <c r="W15" s="515">
        <f>SUM(B15:U15)</f>
        <v>4173708.1085739392</v>
      </c>
      <c r="X15" s="457">
        <f>SUM(Caledonia!W15,'New Albany'!W15,Wheatland!W15,Wilton!W15,Brownsville!W15,Gleason!W15)</f>
        <v>4173708.1085739392</v>
      </c>
      <c r="Y15" s="457">
        <f t="shared" ref="Y15:Y20" si="1">W15-X15</f>
        <v>0</v>
      </c>
    </row>
    <row r="16" spans="1:25">
      <c r="A16" s="3" t="s">
        <v>86</v>
      </c>
      <c r="B16" s="124">
        <f>SUM(Caledonia!B16,'New Albany'!B16,Wheatland!B16,Wilton!B16,Brownsville!B16,Gleason!B16)</f>
        <v>0</v>
      </c>
      <c r="C16" s="124">
        <f>SUM(Caledonia!C16,'New Albany'!C16,Wheatland!C16,Wilton!C16,Brownsville!C16,Gleason!C16)</f>
        <v>0</v>
      </c>
      <c r="D16" s="124">
        <f>SUM(Caledonia!D16,'New Albany'!D16,Wheatland!D16,Wilton!D16,Brownsville!D16,Gleason!D16)</f>
        <v>0</v>
      </c>
      <c r="E16" s="124">
        <f>SUM(Caledonia!E16,'New Albany'!E16,Wheatland!E16,Wilton!E16,Brownsville!E16,Gleason!E16)</f>
        <v>9850.6584879676484</v>
      </c>
      <c r="F16" s="124">
        <f>SUM(Caledonia!F16,'New Albany'!F16,Wheatland!F16,Wilton!F16,Brownsville!F16,Gleason!F16)</f>
        <v>10146.178242606675</v>
      </c>
      <c r="G16" s="124">
        <f>SUM(Caledonia!G16,'New Albany'!G16,Wheatland!G16,Wilton!G16,Brownsville!G16,Gleason!G16)</f>
        <v>10450.563589884878</v>
      </c>
      <c r="H16" s="124">
        <f>SUM(Caledonia!H16,'New Albany'!H16,Wheatland!H16,Wilton!H16,Brownsville!H16,Gleason!H16)</f>
        <v>10764.080497581424</v>
      </c>
      <c r="I16" s="124">
        <f>SUM(Caledonia!I16,'New Albany'!I16,Wheatland!I16,Wilton!I16,Brownsville!I16,Gleason!I16)</f>
        <v>11087.002912508866</v>
      </c>
      <c r="J16" s="124">
        <f>SUM(Caledonia!J16,'New Albany'!J16,Wheatland!J16,Wilton!J16,Brownsville!J16,Gleason!J16)</f>
        <v>11419.612999884133</v>
      </c>
      <c r="K16" s="124">
        <f>SUM(Caledonia!K16,'New Albany'!K16,Wheatland!K16,Wilton!K16,Brownsville!K16,Gleason!K16)</f>
        <v>11762.201389880658</v>
      </c>
      <c r="L16" s="124">
        <f>SUM(Caledonia!L16,'New Albany'!L16,Wheatland!L16,Wilton!L16,Brownsville!L16,Gleason!L16)</f>
        <v>12115.067431577078</v>
      </c>
      <c r="M16" s="124">
        <f>SUM(Caledonia!M16,'New Albany'!M16,Wheatland!M16,Wilton!M16,Brownsville!M16,Gleason!M16)</f>
        <v>12478.519454524387</v>
      </c>
      <c r="N16" s="124">
        <f>SUM(Caledonia!N16,'New Albany'!N16,Wheatland!N16,Wilton!N16,Brownsville!N16,Gleason!N16)</f>
        <v>12852.875038160118</v>
      </c>
      <c r="O16" s="124">
        <f>SUM(Caledonia!O16,'New Albany'!O16,Wheatland!O16,Wilton!O16,Brownsville!O16,Gleason!O16)</f>
        <v>13238.461289304923</v>
      </c>
      <c r="P16" s="124">
        <f>SUM(Caledonia!P16,'New Albany'!P16,Wheatland!P16,Wilton!P16,Brownsville!P16,Gleason!P16)</f>
        <v>13635.615127984071</v>
      </c>
      <c r="Q16" s="124">
        <f>SUM(Caledonia!Q16,'New Albany'!Q16,Wheatland!Q16,Wilton!Q16,Brownsville!Q16,Gleason!Q16)</f>
        <v>14044.683581823592</v>
      </c>
      <c r="R16" s="124">
        <f>SUM(Caledonia!R16,'New Albany'!R16,Wheatland!R16,Wilton!R16,Brownsville!R16,Gleason!R16)</f>
        <v>14466.024089278299</v>
      </c>
      <c r="S16" s="124">
        <f>SUM(Caledonia!S16,'New Albany'!S16,Wheatland!S16,Wilton!S16,Brownsville!S16,Gleason!S16)</f>
        <v>14900.004811956647</v>
      </c>
      <c r="T16" s="124">
        <f>SUM(Caledonia!T16,'New Albany'!T16,Wheatland!T16,Wilton!T16,Brownsville!T16,Gleason!T16)</f>
        <v>15347.004956315348</v>
      </c>
      <c r="U16" s="124">
        <f>SUM(Caledonia!U16,'New Albany'!U16,Wheatland!U16,Wilton!U16,Brownsville!U16,Gleason!U16)</f>
        <v>15807.415105004808</v>
      </c>
      <c r="W16" s="515">
        <f>SUM(B16:U16)</f>
        <v>214365.96900624354</v>
      </c>
      <c r="X16" s="457">
        <f>SUM(Caledonia!W16,'New Albany'!W16,Wheatland!W16,Wilton!W16,Brownsville!W16,Gleason!W16)</f>
        <v>214365.96900624354</v>
      </c>
      <c r="Y16" s="457">
        <f t="shared" si="1"/>
        <v>0</v>
      </c>
    </row>
    <row r="17" spans="1:56">
      <c r="A17" s="3" t="s">
        <v>87</v>
      </c>
      <c r="B17" s="124">
        <f>SUM(Caledonia!B17,'New Albany'!B17,Wheatland!B17,Wilton!B17,Brownsville!B17,Gleason!B17)</f>
        <v>0</v>
      </c>
      <c r="C17" s="124">
        <f>SUM(Caledonia!C17,'New Albany'!C17,Wheatland!C17,Wilton!C17,Brownsville!C17,Gleason!C17)</f>
        <v>0</v>
      </c>
      <c r="D17" s="124">
        <f>SUM(Caledonia!D17,'New Albany'!D17,Wheatland!D17,Wilton!D17,Brownsville!D17,Gleason!D17)</f>
        <v>0</v>
      </c>
      <c r="E17" s="124">
        <f>SUM(Caledonia!E17,'New Albany'!E17,Wheatland!E17,Wilton!E17,Brownsville!E17,Gleason!E17)</f>
        <v>92.59772000000001</v>
      </c>
      <c r="F17" s="124">
        <f>SUM(Caledonia!F17,'New Albany'!F17,Wheatland!F17,Wilton!F17,Brownsville!F17,Gleason!F17)</f>
        <v>92.59772000000001</v>
      </c>
      <c r="G17" s="124">
        <f>SUM(Caledonia!G17,'New Albany'!G17,Wheatland!G17,Wilton!G17,Brownsville!G17,Gleason!G17)</f>
        <v>92.59772000000001</v>
      </c>
      <c r="H17" s="124">
        <f>SUM(Caledonia!H17,'New Albany'!H17,Wheatland!H17,Wilton!H17,Brownsville!H17,Gleason!H17)</f>
        <v>92.59772000000001</v>
      </c>
      <c r="I17" s="124">
        <f>SUM(Caledonia!I17,'New Albany'!I17,Wheatland!I17,Wilton!I17,Brownsville!I17,Gleason!I17)</f>
        <v>92.59772000000001</v>
      </c>
      <c r="J17" s="124">
        <f>SUM(Caledonia!J17,'New Albany'!J17,Wheatland!J17,Wilton!J17,Brownsville!J17,Gleason!J17)</f>
        <v>92.59772000000001</v>
      </c>
      <c r="K17" s="124">
        <f>SUM(Caledonia!K17,'New Albany'!K17,Wheatland!K17,Wilton!K17,Brownsville!K17,Gleason!K17)</f>
        <v>92.59772000000001</v>
      </c>
      <c r="L17" s="124">
        <f>SUM(Caledonia!L17,'New Albany'!L17,Wheatland!L17,Wilton!L17,Brownsville!L17,Gleason!L17)</f>
        <v>92.59772000000001</v>
      </c>
      <c r="M17" s="124">
        <f>SUM(Caledonia!M17,'New Albany'!M17,Wheatland!M17,Wilton!M17,Brownsville!M17,Gleason!M17)</f>
        <v>92.59772000000001</v>
      </c>
      <c r="N17" s="124">
        <f>SUM(Caledonia!N17,'New Albany'!N17,Wheatland!N17,Wilton!N17,Brownsville!N17,Gleason!N17)</f>
        <v>92.59772000000001</v>
      </c>
      <c r="O17" s="124">
        <f>SUM(Caledonia!O17,'New Albany'!O17,Wheatland!O17,Wilton!O17,Brownsville!O17,Gleason!O17)</f>
        <v>92.59772000000001</v>
      </c>
      <c r="P17" s="124">
        <f>SUM(Caledonia!P17,'New Albany'!P17,Wheatland!P17,Wilton!P17,Brownsville!P17,Gleason!P17)</f>
        <v>92.59772000000001</v>
      </c>
      <c r="Q17" s="124">
        <f>SUM(Caledonia!Q17,'New Albany'!Q17,Wheatland!Q17,Wilton!Q17,Brownsville!Q17,Gleason!Q17)</f>
        <v>92.59772000000001</v>
      </c>
      <c r="R17" s="124">
        <f>SUM(Caledonia!R17,'New Albany'!R17,Wheatland!R17,Wilton!R17,Brownsville!R17,Gleason!R17)</f>
        <v>92.59772000000001</v>
      </c>
      <c r="S17" s="124">
        <f>SUM(Caledonia!S17,'New Albany'!S17,Wheatland!S17,Wilton!S17,Brownsville!S17,Gleason!S17)</f>
        <v>92.59772000000001</v>
      </c>
      <c r="T17" s="124">
        <f>SUM(Caledonia!T17,'New Albany'!T17,Wheatland!T17,Wilton!T17,Brownsville!T17,Gleason!T17)</f>
        <v>92.59772000000001</v>
      </c>
      <c r="U17" s="124">
        <f>SUM(Caledonia!U17,'New Albany'!U17,Wheatland!U17,Wilton!U17,Brownsville!U17,Gleason!U17)</f>
        <v>92.59772000000001</v>
      </c>
      <c r="W17" s="515">
        <f>SUM(B17:U17)</f>
        <v>1574.1612399999999</v>
      </c>
      <c r="X17" s="457">
        <f>SUM(Caledonia!W17,'New Albany'!W17,Wheatland!W17,Wilton!W17,Brownsville!W17,Gleason!W17)</f>
        <v>1574.1612400000004</v>
      </c>
      <c r="Y17" s="457">
        <f t="shared" si="1"/>
        <v>0</v>
      </c>
    </row>
    <row r="18" spans="1:56">
      <c r="A18" s="3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W18" s="515"/>
      <c r="X18" s="457"/>
      <c r="Y18" s="457"/>
    </row>
    <row r="19" spans="1:56">
      <c r="A19" s="3" t="s">
        <v>254</v>
      </c>
      <c r="B19" s="149">
        <f>SUM(Caledonia!B19,'New Albany'!B19,Wheatland!B19,Wilton!B19,Brownsville!B19,Gleason!B19)</f>
        <v>1487.3697130828475</v>
      </c>
      <c r="C19" s="149">
        <f>SUM(Caledonia!C19,'New Albany'!C19,Wheatland!C19,Wilton!C19,Brownsville!C19,Gleason!C19)</f>
        <v>1479.3777511180508</v>
      </c>
      <c r="D19" s="149">
        <f>SUM(Caledonia!D19,'New Albany'!D19,Wheatland!D19,Wilton!D19,Brownsville!D19,Gleason!D19)</f>
        <v>1472.0756205698592</v>
      </c>
      <c r="E19" s="149">
        <f>SUM(Caledonia!E19,'New Albany'!E19,Wheatland!E19,Wilton!E19,Brownsville!E19,Gleason!E19)</f>
        <v>2285.0520624068126</v>
      </c>
      <c r="F19" s="149">
        <f>SUM(Caledonia!F19,'New Albany'!F19,Wheatland!F19,Wilton!F19,Brownsville!F19,Gleason!F19)</f>
        <v>2408.4493341089683</v>
      </c>
      <c r="G19" s="149">
        <f>SUM(Caledonia!G19,'New Albany'!G19,Wheatland!G19,Wilton!G19,Brownsville!G19,Gleason!G19)</f>
        <v>2442.4155328650049</v>
      </c>
      <c r="H19" s="149">
        <f>SUM(Caledonia!H19,'New Albany'!H19,Wheatland!H19,Wilton!H19,Brownsville!H19,Gleason!H19)</f>
        <v>2474.2071625964354</v>
      </c>
      <c r="I19" s="149">
        <f>SUM(Caledonia!I19,'New Albany'!I19,Wheatland!I19,Wilton!I19,Brownsville!I19,Gleason!I19)</f>
        <v>2509.5014960394565</v>
      </c>
      <c r="J19" s="149">
        <f>SUM(Caledonia!J19,'New Albany'!J19,Wheatland!J19,Wilton!J19,Brownsville!J19,Gleason!J19)</f>
        <v>2549.2911255251306</v>
      </c>
      <c r="K19" s="149">
        <f>SUM(Caledonia!K19,'New Albany'!K19,Wheatland!K19,Wilton!K19,Brownsville!K19,Gleason!K19)</f>
        <v>2574.8649489723794</v>
      </c>
      <c r="L19" s="149">
        <f>SUM(Caledonia!L19,'New Albany'!L19,Wheatland!L19,Wilton!L19,Brownsville!L19,Gleason!L19)</f>
        <v>2624.9757772743469</v>
      </c>
      <c r="M19" s="149">
        <f>SUM(Caledonia!M19,'New Albany'!M19,Wheatland!M19,Wilton!M19,Brownsville!M19,Gleason!M19)</f>
        <v>2678.0182782301413</v>
      </c>
      <c r="N19" s="149">
        <f>SUM(Caledonia!N19,'New Albany'!N19,Wheatland!N19,Wilton!N19,Brownsville!N19,Gleason!N19)</f>
        <v>2725.3717087925561</v>
      </c>
      <c r="O19" s="149">
        <f>SUM(Caledonia!O19,'New Albany'!O19,Wheatland!O19,Wilton!O19,Brownsville!O19,Gleason!O19)</f>
        <v>2774.3428419557067</v>
      </c>
      <c r="P19" s="149">
        <f>SUM(Caledonia!P19,'New Albany'!P19,Wheatland!P19,Wilton!P19,Brownsville!P19,Gleason!P19)</f>
        <v>2817.6832308953085</v>
      </c>
      <c r="Q19" s="149">
        <f>SUM(Caledonia!Q19,'New Albany'!Q19,Wheatland!Q19,Wilton!Q19,Brownsville!Q19,Gleason!Q19)</f>
        <v>2862.2045988026648</v>
      </c>
      <c r="R19" s="149">
        <f>SUM(Caledonia!R19,'New Albany'!R19,Wheatland!R19,Wilton!R19,Brownsville!R19,Gleason!R19)</f>
        <v>2898.2395450234458</v>
      </c>
      <c r="S19" s="149">
        <f>SUM(Caledonia!S19,'New Albany'!S19,Wheatland!S19,Wilton!S19,Brownsville!S19,Gleason!S19)</f>
        <v>2935.1558111149088</v>
      </c>
      <c r="T19" s="149">
        <f>SUM(Caledonia!T19,'New Albany'!T19,Wheatland!T19,Wilton!T19,Brownsville!T19,Gleason!T19)</f>
        <v>2972.755705645221</v>
      </c>
      <c r="U19" s="149">
        <f>SUM(Caledonia!U19,'New Albany'!U19,Wheatland!U19,Wilton!U19,Brownsville!U19,Gleason!U19)</f>
        <v>3008.9945779403165</v>
      </c>
      <c r="W19" s="515">
        <f>SUM(B19:U19)</f>
        <v>49980.346822959553</v>
      </c>
      <c r="X19" s="457">
        <f>SUM(Caledonia!W19,'New Albany'!W19,Wheatland!W19,Wilton!W19,Brownsville!W19,Gleason!W19)</f>
        <v>49980.34682295956</v>
      </c>
      <c r="Y19" s="457">
        <f t="shared" si="1"/>
        <v>0</v>
      </c>
    </row>
    <row r="20" spans="1:56">
      <c r="A20" s="3" t="s">
        <v>88</v>
      </c>
      <c r="B20" s="124">
        <f t="shared" ref="B20:U20" si="2">SUM(B10:B19)</f>
        <v>150930.66099308286</v>
      </c>
      <c r="C20" s="124">
        <f t="shared" si="2"/>
        <v>151254.44776951804</v>
      </c>
      <c r="D20" s="124">
        <f t="shared" si="2"/>
        <v>151588.87773952188</v>
      </c>
      <c r="E20" s="124">
        <f t="shared" si="2"/>
        <v>220338.58450430105</v>
      </c>
      <c r="F20" s="124">
        <f t="shared" si="2"/>
        <v>231250.61436215835</v>
      </c>
      <c r="G20" s="124">
        <f t="shared" si="2"/>
        <v>235103.31803232062</v>
      </c>
      <c r="H20" s="124">
        <f t="shared" si="2"/>
        <v>238746.29544267783</v>
      </c>
      <c r="I20" s="124">
        <f t="shared" si="2"/>
        <v>242637.86059762494</v>
      </c>
      <c r="J20" s="124">
        <f t="shared" si="2"/>
        <v>246797.59288579327</v>
      </c>
      <c r="K20" s="124">
        <f t="shared" si="2"/>
        <v>250722.0708989265</v>
      </c>
      <c r="L20" s="124">
        <f t="shared" si="2"/>
        <v>255589.07442326593</v>
      </c>
      <c r="M20" s="124">
        <f t="shared" si="2"/>
        <v>260524.77403461456</v>
      </c>
      <c r="N20" s="124">
        <f t="shared" si="2"/>
        <v>265520.15965136001</v>
      </c>
      <c r="O20" s="124">
        <f t="shared" si="2"/>
        <v>270582.0661596444</v>
      </c>
      <c r="P20" s="124">
        <f t="shared" si="2"/>
        <v>275702.68607501214</v>
      </c>
      <c r="Q20" s="124">
        <f t="shared" si="2"/>
        <v>279926.18968284671</v>
      </c>
      <c r="R20" s="124">
        <f t="shared" si="2"/>
        <v>284065.66614997393</v>
      </c>
      <c r="S20" s="124">
        <f t="shared" si="2"/>
        <v>288286.14566306758</v>
      </c>
      <c r="T20" s="124">
        <f t="shared" si="2"/>
        <v>292591.04042139644</v>
      </c>
      <c r="U20" s="124">
        <f t="shared" si="2"/>
        <v>296805.62357338727</v>
      </c>
      <c r="W20" s="515">
        <f>SUM(B20:U20)</f>
        <v>4888963.7490604948</v>
      </c>
      <c r="X20" s="457">
        <f>SUM(Caledonia!W20,'New Albany'!W20,Wheatland!W20,Wilton!W20,Brownsville!W20,Gleason!W20)</f>
        <v>4888963.7490604939</v>
      </c>
      <c r="Y20" s="457">
        <f t="shared" si="1"/>
        <v>0</v>
      </c>
    </row>
    <row r="21" spans="1:56">
      <c r="A21" s="3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W21" s="515"/>
      <c r="X21" s="46"/>
      <c r="Y21" s="46"/>
    </row>
    <row r="22" spans="1:56">
      <c r="A22" s="1" t="s">
        <v>89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W22" s="515"/>
      <c r="X22" s="46"/>
      <c r="Y22" s="46"/>
    </row>
    <row r="23" spans="1:56">
      <c r="A23" s="3" t="s">
        <v>63</v>
      </c>
      <c r="B23" s="124">
        <f>SUM(Caledonia!B23,'New Albany'!B23,Wheatland!B23,Wilton!B23,Brownsville!B23,Gleason!B23)</f>
        <v>9650.9069691714285</v>
      </c>
      <c r="C23" s="124">
        <f>SUM(Caledonia!C23,'New Albany'!C23,Wheatland!C23,Wilton!C23,Brownsville!C23,Gleason!C23)</f>
        <v>9940.4341782465726</v>
      </c>
      <c r="D23" s="124">
        <f>SUM(Caledonia!D23,'New Albany'!D23,Wheatland!D23,Wilton!D23,Brownsville!D23,Gleason!D23)</f>
        <v>10238.64720359397</v>
      </c>
      <c r="E23" s="124">
        <f>SUM(Caledonia!E23,'New Albany'!E23,Wheatland!E23,Wilton!E23,Brownsville!E23,Gleason!E23)</f>
        <v>10545.806619701789</v>
      </c>
      <c r="F23" s="124">
        <f>SUM(Caledonia!F23,'New Albany'!F23,Wheatland!F23,Wilton!F23,Brownsville!F23,Gleason!F23)</f>
        <v>10862.180818292843</v>
      </c>
      <c r="G23" s="124">
        <f>SUM(Caledonia!G23,'New Albany'!G23,Wheatland!G23,Wilton!G23,Brownsville!G23,Gleason!G23)</f>
        <v>11188.046242841629</v>
      </c>
      <c r="H23" s="124">
        <f>SUM(Caledonia!H23,'New Albany'!H23,Wheatland!H23,Wilton!H23,Brownsville!H23,Gleason!H23)</f>
        <v>11523.687630126879</v>
      </c>
      <c r="I23" s="124">
        <f>SUM(Caledonia!I23,'New Albany'!I23,Wheatland!I23,Wilton!I23,Brownsville!I23,Gleason!I23)</f>
        <v>11869.398259030686</v>
      </c>
      <c r="J23" s="124">
        <f>SUM(Caledonia!J23,'New Albany'!J23,Wheatland!J23,Wilton!J23,Brownsville!J23,Gleason!J23)</f>
        <v>12225.480206801605</v>
      </c>
      <c r="K23" s="124">
        <f>SUM(Caledonia!K23,'New Albany'!K23,Wheatland!K23,Wilton!K23,Brownsville!K23,Gleason!K23)</f>
        <v>12592.244613005654</v>
      </c>
      <c r="L23" s="124">
        <f>SUM(Caledonia!L23,'New Albany'!L23,Wheatland!L23,Wilton!L23,Brownsville!L23,Gleason!L23)</f>
        <v>12970.011951395823</v>
      </c>
      <c r="M23" s="124">
        <f>SUM(Caledonia!M23,'New Albany'!M23,Wheatland!M23,Wilton!M23,Brownsville!M23,Gleason!M23)</f>
        <v>13359.1123099377</v>
      </c>
      <c r="N23" s="124">
        <f>SUM(Caledonia!N23,'New Albany'!N23,Wheatland!N23,Wilton!N23,Brownsville!N23,Gleason!N23)</f>
        <v>13759.885679235831</v>
      </c>
      <c r="O23" s="124">
        <f>SUM(Caledonia!O23,'New Albany'!O23,Wheatland!O23,Wilton!O23,Brownsville!O23,Gleason!O23)</f>
        <v>14172.682249612908</v>
      </c>
      <c r="P23" s="124">
        <f>SUM(Caledonia!P23,'New Albany'!P23,Wheatland!P23,Wilton!P23,Brownsville!P23,Gleason!P23)</f>
        <v>14597.862717101296</v>
      </c>
      <c r="Q23" s="124">
        <f>SUM(Caledonia!Q23,'New Albany'!Q23,Wheatland!Q23,Wilton!Q23,Brownsville!Q23,Gleason!Q23)</f>
        <v>15035.798598614334</v>
      </c>
      <c r="R23" s="124">
        <f>SUM(Caledonia!R23,'New Albany'!R23,Wheatland!R23,Wilton!R23,Brownsville!R23,Gleason!R23)</f>
        <v>15486.872556572765</v>
      </c>
      <c r="S23" s="124">
        <f>SUM(Caledonia!S23,'New Albany'!S23,Wheatland!S23,Wilton!S23,Brownsville!S23,Gleason!S23)</f>
        <v>15951.478733269949</v>
      </c>
      <c r="T23" s="124">
        <f>SUM(Caledonia!T23,'New Albany'!T23,Wheatland!T23,Wilton!T23,Brownsville!T23,Gleason!T23)</f>
        <v>16430.023095268047</v>
      </c>
      <c r="U23" s="124">
        <f>SUM(Caledonia!U23,'New Albany'!U23,Wheatland!U23,Wilton!U23,Brownsville!U23,Gleason!U23)</f>
        <v>16922.923788126089</v>
      </c>
      <c r="W23" s="515">
        <f t="shared" ref="W23:W33" si="3">SUM(B23:U23)</f>
        <v>259323.48441994784</v>
      </c>
      <c r="X23" s="457">
        <f>SUM(Caledonia!W23,'New Albany'!W23,Wheatland!W23,Wilton!W23,Brownsville!W23,Gleason!W23)</f>
        <v>259323.48441994775</v>
      </c>
      <c r="Y23" s="457">
        <f t="shared" ref="Y23:Y33" si="4">W23-X23</f>
        <v>0</v>
      </c>
    </row>
    <row r="24" spans="1:56">
      <c r="A24" s="3" t="s">
        <v>64</v>
      </c>
      <c r="B24" s="124">
        <f>SUM(Caledonia!B24,'New Albany'!B24,Wheatland!B24,Wilton!B24,Brownsville!B24,Gleason!B24)</f>
        <v>8239.6662799999995</v>
      </c>
      <c r="C24" s="124">
        <f>SUM(Caledonia!C24,'New Albany'!C24,Wheatland!C24,Wilton!C24,Brownsville!C24,Gleason!C24)</f>
        <v>8486.8562684000008</v>
      </c>
      <c r="D24" s="124">
        <f>SUM(Caledonia!D24,'New Albany'!D24,Wheatland!D24,Wilton!D24,Brownsville!D24,Gleason!D24)</f>
        <v>8741.4619564519999</v>
      </c>
      <c r="E24" s="124">
        <f>SUM(Caledonia!E24,'New Albany'!E24,Wheatland!E24,Wilton!E24,Brownsville!E24,Gleason!E24)</f>
        <v>8823.6316988426497</v>
      </c>
      <c r="F24" s="124">
        <f>SUM(Caledonia!F24,'New Albany'!F24,Wheatland!F24,Wilton!F24,Brownsville!F24,Gleason!F24)</f>
        <v>9088.3406498079275</v>
      </c>
      <c r="G24" s="124">
        <f>SUM(Caledonia!G24,'New Albany'!G24,Wheatland!G24,Wilton!G24,Brownsville!G24,Gleason!G24)</f>
        <v>9360.990869302168</v>
      </c>
      <c r="H24" s="124">
        <f>SUM(Caledonia!H24,'New Albany'!H24,Wheatland!H24,Wilton!H24,Brownsville!H24,Gleason!H24)</f>
        <v>9641.8205953812321</v>
      </c>
      <c r="I24" s="124">
        <f>SUM(Caledonia!I24,'New Albany'!I24,Wheatland!I24,Wilton!I24,Brownsville!I24,Gleason!I24)</f>
        <v>9931.0752132426696</v>
      </c>
      <c r="J24" s="124">
        <f>SUM(Caledonia!J24,'New Albany'!J24,Wheatland!J24,Wilton!J24,Brownsville!J24,Gleason!J24)</f>
        <v>10229.00746963995</v>
      </c>
      <c r="K24" s="124">
        <f>SUM(Caledonia!K24,'New Albany'!K24,Wheatland!K24,Wilton!K24,Brownsville!K24,Gleason!K24)</f>
        <v>10535.877693729146</v>
      </c>
      <c r="L24" s="124">
        <f>SUM(Caledonia!L24,'New Albany'!L24,Wheatland!L24,Wilton!L24,Brownsville!L24,Gleason!L24)</f>
        <v>10851.954024541023</v>
      </c>
      <c r="M24" s="124">
        <f>SUM(Caledonia!M24,'New Albany'!M24,Wheatland!M24,Wilton!M24,Brownsville!M24,Gleason!M24)</f>
        <v>11177.512645277255</v>
      </c>
      <c r="N24" s="124">
        <f>SUM(Caledonia!N24,'New Albany'!N24,Wheatland!N24,Wilton!N24,Brownsville!N24,Gleason!N24)</f>
        <v>11512.838024635572</v>
      </c>
      <c r="O24" s="124">
        <f>SUM(Caledonia!O24,'New Albany'!O24,Wheatland!O24,Wilton!O24,Brownsville!O24,Gleason!O24)</f>
        <v>11858.22316537464</v>
      </c>
      <c r="P24" s="124">
        <f>SUM(Caledonia!P24,'New Albany'!P24,Wheatland!P24,Wilton!P24,Brownsville!P24,Gleason!P24)</f>
        <v>12213.969860335877</v>
      </c>
      <c r="Q24" s="124">
        <f>SUM(Caledonia!Q24,'New Albany'!Q24,Wheatland!Q24,Wilton!Q24,Brownsville!Q24,Gleason!Q24)</f>
        <v>12580.388956145953</v>
      </c>
      <c r="R24" s="124">
        <f>SUM(Caledonia!R24,'New Albany'!R24,Wheatland!R24,Wilton!R24,Brownsville!R24,Gleason!R24)</f>
        <v>12957.800624830335</v>
      </c>
      <c r="S24" s="124">
        <f>SUM(Caledonia!S24,'New Albany'!S24,Wheatland!S24,Wilton!S24,Brownsville!S24,Gleason!S24)</f>
        <v>13346.534643575244</v>
      </c>
      <c r="T24" s="124">
        <f>SUM(Caledonia!T24,'New Albany'!T24,Wheatland!T24,Wilton!T24,Brownsville!T24,Gleason!T24)</f>
        <v>13746.930682882503</v>
      </c>
      <c r="U24" s="124">
        <f>SUM(Caledonia!U24,'New Albany'!U24,Wheatland!U24,Wilton!U24,Brownsville!U24,Gleason!U24)</f>
        <v>14159.338603368977</v>
      </c>
      <c r="W24" s="515">
        <f t="shared" si="3"/>
        <v>217484.21992576509</v>
      </c>
      <c r="X24" s="457">
        <f>SUM(Caledonia!W24,'New Albany'!W24,Wheatland!W24,Wilton!W24,Brownsville!W24,Gleason!W24)</f>
        <v>217484.21992576515</v>
      </c>
      <c r="Y24" s="457">
        <f t="shared" si="4"/>
        <v>0</v>
      </c>
    </row>
    <row r="25" spans="1:56">
      <c r="A25" s="3" t="s">
        <v>65</v>
      </c>
      <c r="B25" s="124">
        <f>SUM(Caledonia!B25,'New Albany'!B25,Wheatland!B25,Wilton!B25,Brownsville!B25,Gleason!B25)</f>
        <v>2819.625</v>
      </c>
      <c r="C25" s="124">
        <f>SUM(Caledonia!C25,'New Albany'!C25,Wheatland!C25,Wilton!C25,Brownsville!C25,Gleason!C25)</f>
        <v>2904.2137500000003</v>
      </c>
      <c r="D25" s="124">
        <f>SUM(Caledonia!D25,'New Albany'!D25,Wheatland!D25,Wilton!D25,Brownsville!D25,Gleason!D25)</f>
        <v>2991.3401625000001</v>
      </c>
      <c r="E25" s="124">
        <f>SUM(Caledonia!E25,'New Albany'!E25,Wheatland!E25,Wilton!E25,Brownsville!E25,Gleason!E25)</f>
        <v>3081.0803673750002</v>
      </c>
      <c r="F25" s="124">
        <f>SUM(Caledonia!F25,'New Albany'!F25,Wheatland!F25,Wilton!F25,Brownsville!F25,Gleason!F25)</f>
        <v>3173.5127783962503</v>
      </c>
      <c r="G25" s="124">
        <f>SUM(Caledonia!G25,'New Albany'!G25,Wheatland!G25,Wilton!G25,Brownsville!G25,Gleason!G25)</f>
        <v>3268.7181617481383</v>
      </c>
      <c r="H25" s="124">
        <f>SUM(Caledonia!H25,'New Albany'!H25,Wheatland!H25,Wilton!H25,Brownsville!H25,Gleason!H25)</f>
        <v>3366.7797066005828</v>
      </c>
      <c r="I25" s="124">
        <f>SUM(Caledonia!I25,'New Albany'!I25,Wheatland!I25,Wilton!I25,Brownsville!I25,Gleason!I25)</f>
        <v>3467.7830977986005</v>
      </c>
      <c r="J25" s="124">
        <f>SUM(Caledonia!J25,'New Albany'!J25,Wheatland!J25,Wilton!J25,Brownsville!J25,Gleason!J25)</f>
        <v>3571.8165907325583</v>
      </c>
      <c r="K25" s="124">
        <f>SUM(Caledonia!K25,'New Albany'!K25,Wheatland!K25,Wilton!K25,Brownsville!K25,Gleason!K25)</f>
        <v>3678.9710884545352</v>
      </c>
      <c r="L25" s="124">
        <f>SUM(Caledonia!L25,'New Albany'!L25,Wheatland!L25,Wilton!L25,Brownsville!L25,Gleason!L25)</f>
        <v>3789.3402211081711</v>
      </c>
      <c r="M25" s="124">
        <f>SUM(Caledonia!M25,'New Albany'!M25,Wheatland!M25,Wilton!M25,Brownsville!M25,Gleason!M25)</f>
        <v>3903.0204277414155</v>
      </c>
      <c r="N25" s="124">
        <f>SUM(Caledonia!N25,'New Albany'!N25,Wheatland!N25,Wilton!N25,Brownsville!N25,Gleason!N25)</f>
        <v>4020.111040573659</v>
      </c>
      <c r="O25" s="124">
        <f>SUM(Caledonia!O25,'New Albany'!O25,Wheatland!O25,Wilton!O25,Brownsville!O25,Gleason!O25)</f>
        <v>4140.7143717908684</v>
      </c>
      <c r="P25" s="124">
        <f>SUM(Caledonia!P25,'New Albany'!P25,Wheatland!P25,Wilton!P25,Brownsville!P25,Gleason!P25)</f>
        <v>4264.9358029445948</v>
      </c>
      <c r="Q25" s="124">
        <f>SUM(Caledonia!Q25,'New Albany'!Q25,Wheatland!Q25,Wilton!Q25,Brownsville!Q25,Gleason!Q25)</f>
        <v>4392.8838770329321</v>
      </c>
      <c r="R25" s="124">
        <f>SUM(Caledonia!R25,'New Albany'!R25,Wheatland!R25,Wilton!R25,Brownsville!R25,Gleason!R25)</f>
        <v>4524.6703933439203</v>
      </c>
      <c r="S25" s="124">
        <f>SUM(Caledonia!S25,'New Albany'!S25,Wheatland!S25,Wilton!S25,Brownsville!S25,Gleason!S25)</f>
        <v>4660.4105051442384</v>
      </c>
      <c r="T25" s="124">
        <f>SUM(Caledonia!T25,'New Albany'!T25,Wheatland!T25,Wilton!T25,Brownsville!T25,Gleason!T25)</f>
        <v>4800.2228202985652</v>
      </c>
      <c r="U25" s="124">
        <f>SUM(Caledonia!U25,'New Albany'!U25,Wheatland!U25,Wilton!U25,Brownsville!U25,Gleason!U25)</f>
        <v>4944.2295049075228</v>
      </c>
      <c r="W25" s="515">
        <f t="shared" si="3"/>
        <v>75764.379668491558</v>
      </c>
      <c r="X25" s="457">
        <f>SUM(Caledonia!W25,'New Albany'!W25,Wheatland!W25,Wilton!W25,Brownsville!W25,Gleason!W25)</f>
        <v>75764.379668491543</v>
      </c>
      <c r="Y25" s="457">
        <f t="shared" si="4"/>
        <v>0</v>
      </c>
    </row>
    <row r="26" spans="1:56">
      <c r="A26" s="3" t="s">
        <v>158</v>
      </c>
      <c r="B26" s="124">
        <f>SUM(Caledonia!B26,'New Albany'!B26,Wheatland!B26,Wilton!B26,Brownsville!B26,Gleason!B26)</f>
        <v>1699.1172814285715</v>
      </c>
      <c r="C26" s="124">
        <f>SUM(Caledonia!C26,'New Albany'!C26,Wheatland!C26,Wilton!C26,Brownsville!C26,Gleason!C26)</f>
        <v>1750.0907998714288</v>
      </c>
      <c r="D26" s="124">
        <f>SUM(Caledonia!D26,'New Albany'!D26,Wheatland!D26,Wilton!D26,Brownsville!D26,Gleason!D26)</f>
        <v>1802.593523867572</v>
      </c>
      <c r="E26" s="124">
        <f>SUM(Caledonia!E26,'New Albany'!E26,Wheatland!E26,Wilton!E26,Brownsville!E26,Gleason!E26)</f>
        <v>1856.6713295835989</v>
      </c>
      <c r="F26" s="124">
        <f>SUM(Caledonia!F26,'New Albany'!F26,Wheatland!F26,Wilton!F26,Brownsville!F26,Gleason!F26)</f>
        <v>1912.371469471107</v>
      </c>
      <c r="G26" s="124">
        <f>SUM(Caledonia!G26,'New Albany'!G26,Wheatland!G26,Wilton!G26,Brownsville!G26,Gleason!G26)</f>
        <v>1969.74261355524</v>
      </c>
      <c r="H26" s="124">
        <f>SUM(Caledonia!H26,'New Albany'!H26,Wheatland!H26,Wilton!H26,Brownsville!H26,Gleason!H26)</f>
        <v>2028.8348919618975</v>
      </c>
      <c r="I26" s="124">
        <f>SUM(Caledonia!I26,'New Albany'!I26,Wheatland!I26,Wilton!I26,Brownsville!I26,Gleason!I26)</f>
        <v>2089.6999387207543</v>
      </c>
      <c r="J26" s="124">
        <f>SUM(Caledonia!J26,'New Albany'!J26,Wheatland!J26,Wilton!J26,Brownsville!J26,Gleason!J26)</f>
        <v>2152.390936882377</v>
      </c>
      <c r="K26" s="124">
        <f>SUM(Caledonia!K26,'New Albany'!K26,Wheatland!K26,Wilton!K26,Brownsville!K26,Gleason!K26)</f>
        <v>2216.9626649888487</v>
      </c>
      <c r="L26" s="124">
        <f>SUM(Caledonia!L26,'New Albany'!L26,Wheatland!L26,Wilton!L26,Brownsville!L26,Gleason!L26)</f>
        <v>2283.4715449385139</v>
      </c>
      <c r="M26" s="124">
        <f>SUM(Caledonia!M26,'New Albany'!M26,Wheatland!M26,Wilton!M26,Brownsville!M26,Gleason!M26)</f>
        <v>2351.9756912866696</v>
      </c>
      <c r="N26" s="124">
        <f>SUM(Caledonia!N26,'New Albany'!N26,Wheatland!N26,Wilton!N26,Brownsville!N26,Gleason!N26)</f>
        <v>2422.5349620252696</v>
      </c>
      <c r="O26" s="124">
        <f>SUM(Caledonia!O26,'New Albany'!O26,Wheatland!O26,Wilton!O26,Brownsville!O26,Gleason!O26)</f>
        <v>2495.2110108860279</v>
      </c>
      <c r="P26" s="124">
        <f>SUM(Caledonia!P26,'New Albany'!P26,Wheatland!P26,Wilton!P26,Brownsville!P26,Gleason!P26)</f>
        <v>2570.0673412126093</v>
      </c>
      <c r="Q26" s="124">
        <f>SUM(Caledonia!Q26,'New Albany'!Q26,Wheatland!Q26,Wilton!Q26,Brownsville!Q26,Gleason!Q26)</f>
        <v>2647.1693614489873</v>
      </c>
      <c r="R26" s="124">
        <f>SUM(Caledonia!R26,'New Albany'!R26,Wheatland!R26,Wilton!R26,Brownsville!R26,Gleason!R26)</f>
        <v>2726.5844422924574</v>
      </c>
      <c r="S26" s="124">
        <f>SUM(Caledonia!S26,'New Albany'!S26,Wheatland!S26,Wilton!S26,Brownsville!S26,Gleason!S26)</f>
        <v>2808.3819755612308</v>
      </c>
      <c r="T26" s="124">
        <f>SUM(Caledonia!T26,'New Albany'!T26,Wheatland!T26,Wilton!T26,Brownsville!T26,Gleason!T26)</f>
        <v>2892.6334348280679</v>
      </c>
      <c r="U26" s="124">
        <f>SUM(Caledonia!U26,'New Albany'!U26,Wheatland!U26,Wilton!U26,Brownsville!U26,Gleason!U26)</f>
        <v>2979.4124378729102</v>
      </c>
      <c r="W26" s="515">
        <f t="shared" si="3"/>
        <v>45655.917652684133</v>
      </c>
      <c r="X26" s="457">
        <f>SUM(Caledonia!W26,'New Albany'!W26,Wheatland!W26,Wilton!W26,Brownsville!W26,Gleason!W26)</f>
        <v>45655.917652684147</v>
      </c>
      <c r="Y26" s="457">
        <f t="shared" si="4"/>
        <v>0</v>
      </c>
    </row>
    <row r="27" spans="1:56">
      <c r="A27" s="3" t="s">
        <v>159</v>
      </c>
      <c r="B27" s="124">
        <f>SUM(Caledonia!B27,'New Albany'!B27,Wheatland!B27,Wilton!B27,Brownsville!B27,Gleason!B27)</f>
        <v>2301.5906199999999</v>
      </c>
      <c r="C27" s="124">
        <f>SUM(Caledonia!C27,'New Albany'!C27,Wheatland!C27,Wilton!C27,Brownsville!C27,Gleason!C27)</f>
        <v>2370.6383386000002</v>
      </c>
      <c r="D27" s="124">
        <f>SUM(Caledonia!D27,'New Albany'!D27,Wheatland!D27,Wilton!D27,Brownsville!D27,Gleason!D27)</f>
        <v>2441.7574887579999</v>
      </c>
      <c r="E27" s="124">
        <f>SUM(Caledonia!E27,'New Albany'!E27,Wheatland!E27,Wilton!E27,Brownsville!E27,Gleason!E27)</f>
        <v>2515.01021342074</v>
      </c>
      <c r="F27" s="124">
        <f>SUM(Caledonia!F27,'New Albany'!F27,Wheatland!F27,Wilton!F27,Brownsville!F27,Gleason!F27)</f>
        <v>2590.4605198233621</v>
      </c>
      <c r="G27" s="124">
        <f>SUM(Caledonia!G27,'New Albany'!G27,Wheatland!G27,Wilton!G27,Brownsville!G27,Gleason!G27)</f>
        <v>2668.1743354180635</v>
      </c>
      <c r="H27" s="124">
        <f>SUM(Caledonia!H27,'New Albany'!H27,Wheatland!H27,Wilton!H27,Brownsville!H27,Gleason!H27)</f>
        <v>2748.2195654806055</v>
      </c>
      <c r="I27" s="124">
        <f>SUM(Caledonia!I27,'New Albany'!I27,Wheatland!I27,Wilton!I27,Brownsville!I27,Gleason!I27)</f>
        <v>2830.6661524450237</v>
      </c>
      <c r="J27" s="124">
        <f>SUM(Caledonia!J27,'New Albany'!J27,Wheatland!J27,Wilton!J27,Brownsville!J27,Gleason!J27)</f>
        <v>2915.5861370183743</v>
      </c>
      <c r="K27" s="124">
        <f>SUM(Caledonia!K27,'New Albany'!K27,Wheatland!K27,Wilton!K27,Brownsville!K27,Gleason!K27)</f>
        <v>3003.0537211289256</v>
      </c>
      <c r="L27" s="124">
        <f>SUM(Caledonia!L27,'New Albany'!L27,Wheatland!L27,Wilton!L27,Brownsville!L27,Gleason!L27)</f>
        <v>3093.1453327627933</v>
      </c>
      <c r="M27" s="124">
        <f>SUM(Caledonia!M27,'New Albany'!M27,Wheatland!M27,Wilton!M27,Brownsville!M27,Gleason!M27)</f>
        <v>3185.9396927456773</v>
      </c>
      <c r="N27" s="124">
        <f>SUM(Caledonia!N27,'New Albany'!N27,Wheatland!N27,Wilton!N27,Brownsville!N27,Gleason!N27)</f>
        <v>3281.5178835280476</v>
      </c>
      <c r="O27" s="124">
        <f>SUM(Caledonia!O27,'New Albany'!O27,Wheatland!O27,Wilton!O27,Brownsville!O27,Gleason!O27)</f>
        <v>3379.9634200338892</v>
      </c>
      <c r="P27" s="124">
        <f>SUM(Caledonia!P27,'New Albany'!P27,Wheatland!P27,Wilton!P27,Brownsville!P27,Gleason!P27)</f>
        <v>3481.3623226349059</v>
      </c>
      <c r="Q27" s="124">
        <f>SUM(Caledonia!Q27,'New Albany'!Q27,Wheatland!Q27,Wilton!Q27,Brownsville!Q27,Gleason!Q27)</f>
        <v>3585.8031923139529</v>
      </c>
      <c r="R27" s="124">
        <f>SUM(Caledonia!R27,'New Albany'!R27,Wheatland!R27,Wilton!R27,Brownsville!R27,Gleason!R27)</f>
        <v>3693.3772880833722</v>
      </c>
      <c r="S27" s="124">
        <f>SUM(Caledonia!S27,'New Albany'!S27,Wheatland!S27,Wilton!S27,Brownsville!S27,Gleason!S27)</f>
        <v>3804.1786067258731</v>
      </c>
      <c r="T27" s="124">
        <f>SUM(Caledonia!T27,'New Albany'!T27,Wheatland!T27,Wilton!T27,Brownsville!T27,Gleason!T27)</f>
        <v>3918.3039649276493</v>
      </c>
      <c r="U27" s="124">
        <f>SUM(Caledonia!U27,'New Albany'!U27,Wheatland!U27,Wilton!U27,Brownsville!U27,Gleason!U27)</f>
        <v>4035.8530838754791</v>
      </c>
      <c r="W27" s="515">
        <f t="shared" si="3"/>
        <v>61844.601879724731</v>
      </c>
      <c r="X27" s="457">
        <f>SUM(Caledonia!W27,'New Albany'!W27,Wheatland!W27,Wilton!W27,Brownsville!W27,Gleason!W27)</f>
        <v>61844.601879724731</v>
      </c>
      <c r="Y27" s="457">
        <f t="shared" si="4"/>
        <v>0</v>
      </c>
    </row>
    <row r="28" spans="1:56" ht="14.25" customHeight="1">
      <c r="A28" s="3" t="s">
        <v>301</v>
      </c>
      <c r="B28" s="124">
        <f>SUM(Caledonia!B28,'New Albany'!B28,Wheatland!B28,Wilton!B28,Brownsville!B28,Gleason!B28)</f>
        <v>2138.7599999999998</v>
      </c>
      <c r="C28" s="124">
        <f>SUM(Caledonia!C28,'New Albany'!C28,Wheatland!C28,Wilton!C28,Brownsville!C28,Gleason!C28)</f>
        <v>2485.4070000000002</v>
      </c>
      <c r="D28" s="124">
        <f>SUM(Caledonia!D28,'New Albany'!D28,Wheatland!D28,Wilton!D28,Brownsville!D28,Gleason!D28)</f>
        <v>2675.4930000000004</v>
      </c>
      <c r="E28" s="124">
        <f>SUM(Caledonia!E28,'New Albany'!E28,Wheatland!E28,Wilton!E28,Brownsville!E28,Gleason!E28)</f>
        <v>2752.7350000000001</v>
      </c>
      <c r="F28" s="124">
        <f>SUM(Caledonia!F28,'New Albany'!F28,Wheatland!F28,Wilton!F28,Brownsville!F28,Gleason!F28)</f>
        <v>2800.4010000000003</v>
      </c>
      <c r="G28" s="124">
        <f>SUM(Caledonia!G28,'New Albany'!G28,Wheatland!G28,Wilton!G28,Brownsville!G28,Gleason!G28)</f>
        <v>3000.837</v>
      </c>
      <c r="H28" s="124">
        <f>SUM(Caledonia!H28,'New Albany'!H28,Wheatland!H28,Wilton!H28,Brownsville!H28,Gleason!H28)</f>
        <v>3133.239</v>
      </c>
      <c r="I28" s="124">
        <f>SUM(Caledonia!I28,'New Albany'!I28,Wheatland!I28,Wilton!I28,Brownsville!I28,Gleason!I28)</f>
        <v>3204.1120000000001</v>
      </c>
      <c r="J28" s="124">
        <f>SUM(Caledonia!J28,'New Albany'!J28,Wheatland!J28,Wilton!J28,Brownsville!J28,Gleason!J28)</f>
        <v>3150.1800000000003</v>
      </c>
      <c r="K28" s="124">
        <f>SUM(Caledonia!K28,'New Albany'!K28,Wheatland!K28,Wilton!K28,Brownsville!K28,Gleason!K28)</f>
        <v>3985.1379999999999</v>
      </c>
      <c r="L28" s="124">
        <f>SUM(Caledonia!L28,'New Albany'!L28,Wheatland!L28,Wilton!L28,Brownsville!L28,Gleason!L28)</f>
        <v>3774.3130000000001</v>
      </c>
      <c r="M28" s="124">
        <f>SUM(Caledonia!M28,'New Albany'!M28,Wheatland!M28,Wilton!M28,Brownsville!M28,Gleason!M28)</f>
        <v>3371.88</v>
      </c>
      <c r="N28" s="124">
        <f>SUM(Caledonia!N28,'New Albany'!N28,Wheatland!N28,Wilton!N28,Brownsville!N28,Gleason!N28)</f>
        <v>3464.7</v>
      </c>
      <c r="O28" s="124">
        <f>SUM(Caledonia!O28,'New Albany'!O28,Wheatland!O28,Wilton!O28,Brownsville!O28,Gleason!O28)</f>
        <v>3464.7</v>
      </c>
      <c r="P28" s="124">
        <f>SUM(Caledonia!P28,'New Albany'!P28,Wheatland!P28,Wilton!P28,Brownsville!P28,Gleason!P28)</f>
        <v>3953.498301179623</v>
      </c>
      <c r="Q28" s="124">
        <f>SUM(Caledonia!Q28,'New Albany'!Q28,Wheatland!Q28,Wilton!Q28,Brownsville!Q28,Gleason!Q28)</f>
        <v>3397.5323122032155</v>
      </c>
      <c r="R28" s="124">
        <f>SUM(Caledonia!R28,'New Albany'!R28,Wheatland!R28,Wilton!R28,Brownsville!R28,Gleason!R28)</f>
        <v>3421.1349584472796</v>
      </c>
      <c r="S28" s="124">
        <f>SUM(Caledonia!S28,'New Albany'!S28,Wheatland!S28,Wilton!S28,Brownsville!S28,Gleason!S28)</f>
        <v>3445.2096576162253</v>
      </c>
      <c r="T28" s="124">
        <f>SUM(Caledonia!T28,'New Albany'!T28,Wheatland!T28,Wilton!T28,Brownsville!T28,Gleason!T28)</f>
        <v>3469.7658507685501</v>
      </c>
      <c r="U28" s="124">
        <f>SUM(Caledonia!U28,'New Albany'!U28,Wheatland!U28,Wilton!U28,Brownsville!U28,Gleason!U28)</f>
        <v>3485.5551622965972</v>
      </c>
      <c r="W28" s="515">
        <f t="shared" si="3"/>
        <v>64574.591242511466</v>
      </c>
      <c r="X28" s="457">
        <f>SUM(Caledonia!W28,'New Albany'!W28,Wheatland!W28,Wilton!W28,Brownsville!W28,Gleason!W28)</f>
        <v>64574.591242511488</v>
      </c>
      <c r="Y28" s="457">
        <f t="shared" si="4"/>
        <v>0</v>
      </c>
    </row>
    <row r="29" spans="1:56">
      <c r="A29" s="3" t="s">
        <v>66</v>
      </c>
      <c r="B29" s="124">
        <f>SUM(Caledonia!B29,'New Albany'!B29,Wheatland!B29,Wilton!B29,Brownsville!B29,Gleason!B29)</f>
        <v>0</v>
      </c>
      <c r="C29" s="124">
        <f>SUM(Caledonia!C29,'New Albany'!C29,Wheatland!C29,Wilton!C29,Brownsville!C29,Gleason!C29)</f>
        <v>0</v>
      </c>
      <c r="D29" s="124">
        <f>SUM(Caledonia!D29,'New Albany'!D29,Wheatland!D29,Wilton!D29,Brownsville!D29,Gleason!D29)</f>
        <v>0</v>
      </c>
      <c r="E29" s="124">
        <f>SUM(Caledonia!E29,'New Albany'!E29,Wheatland!E29,Wilton!E29,Brownsville!E29,Gleason!E29)</f>
        <v>0</v>
      </c>
      <c r="F29" s="124">
        <f>SUM(Caledonia!F29,'New Albany'!F29,Wheatland!F29,Wilton!F29,Brownsville!F29,Gleason!F29)</f>
        <v>0</v>
      </c>
      <c r="G29" s="124">
        <f>SUM(Caledonia!G29,'New Albany'!G29,Wheatland!G29,Wilton!G29,Brownsville!G29,Gleason!G29)</f>
        <v>0</v>
      </c>
      <c r="H29" s="124">
        <f>SUM(Caledonia!H29,'New Albany'!H29,Wheatland!H29,Wilton!H29,Brownsville!H29,Gleason!H29)</f>
        <v>0</v>
      </c>
      <c r="I29" s="124">
        <f>SUM(Caledonia!I29,'New Albany'!I29,Wheatland!I29,Wilton!I29,Brownsville!I29,Gleason!I29)</f>
        <v>0</v>
      </c>
      <c r="J29" s="124">
        <f>SUM(Caledonia!J29,'New Albany'!J29,Wheatland!J29,Wilton!J29,Brownsville!J29,Gleason!J29)</f>
        <v>0</v>
      </c>
      <c r="K29" s="124">
        <f>SUM(Caledonia!K29,'New Albany'!K29,Wheatland!K29,Wilton!K29,Brownsville!K29,Gleason!K29)</f>
        <v>0</v>
      </c>
      <c r="L29" s="124">
        <f>SUM(Caledonia!L29,'New Albany'!L29,Wheatland!L29,Wilton!L29,Brownsville!L29,Gleason!L29)</f>
        <v>0</v>
      </c>
      <c r="M29" s="124">
        <f>SUM(Caledonia!M29,'New Albany'!M29,Wheatland!M29,Wilton!M29,Brownsville!M29,Gleason!M29)</f>
        <v>0</v>
      </c>
      <c r="N29" s="124">
        <f>SUM(Caledonia!N29,'New Albany'!N29,Wheatland!N29,Wilton!N29,Brownsville!N29,Gleason!N29)</f>
        <v>0</v>
      </c>
      <c r="O29" s="124">
        <f>SUM(Caledonia!O29,'New Albany'!O29,Wheatland!O29,Wilton!O29,Brownsville!O29,Gleason!O29)</f>
        <v>0</v>
      </c>
      <c r="P29" s="124">
        <f>SUM(Caledonia!P29,'New Albany'!P29,Wheatland!P29,Wilton!P29,Brownsville!P29,Gleason!P29)</f>
        <v>0</v>
      </c>
      <c r="Q29" s="124">
        <f>SUM(Caledonia!Q29,'New Albany'!Q29,Wheatland!Q29,Wilton!Q29,Brownsville!Q29,Gleason!Q29)</f>
        <v>0</v>
      </c>
      <c r="R29" s="124">
        <f>SUM(Caledonia!R29,'New Albany'!R29,Wheatland!R29,Wilton!R29,Brownsville!R29,Gleason!R29)</f>
        <v>0</v>
      </c>
      <c r="S29" s="124">
        <f>SUM(Caledonia!S29,'New Albany'!S29,Wheatland!S29,Wilton!S29,Brownsville!S29,Gleason!S29)</f>
        <v>0</v>
      </c>
      <c r="T29" s="124">
        <f>SUM(Caledonia!T29,'New Albany'!T29,Wheatland!T29,Wilton!T29,Brownsville!T29,Gleason!T29)</f>
        <v>0</v>
      </c>
      <c r="U29" s="124">
        <f>SUM(Caledonia!U29,'New Albany'!U29,Wheatland!U29,Wilton!U29,Brownsville!U29,Gleason!U29)</f>
        <v>0</v>
      </c>
      <c r="W29" s="515">
        <f t="shared" si="3"/>
        <v>0</v>
      </c>
      <c r="X29" s="457">
        <f>SUM(Caledonia!W29,'New Albany'!W29,Wheatland!W29,Wilton!W29,Brownsville!W29,Gleason!W29)</f>
        <v>0</v>
      </c>
      <c r="Y29" s="457">
        <f t="shared" si="4"/>
        <v>0</v>
      </c>
    </row>
    <row r="30" spans="1:56">
      <c r="A30" s="3" t="s">
        <v>214</v>
      </c>
      <c r="B30" s="124">
        <f>SUM(Caledonia!B30,'New Albany'!B30,Wheatland!B30,Wilton!B30,Brownsville!B30,Gleason!B30)</f>
        <v>0</v>
      </c>
      <c r="C30" s="124">
        <f>SUM(Caledonia!C30,'New Albany'!C30,Wheatland!C30,Wilton!C30,Brownsville!C30,Gleason!C30)</f>
        <v>0</v>
      </c>
      <c r="D30" s="124">
        <f>SUM(Caledonia!D30,'New Albany'!D30,Wheatland!D30,Wilton!D30,Brownsville!D30,Gleason!D30)</f>
        <v>0</v>
      </c>
      <c r="E30" s="124">
        <f>SUM(Caledonia!E30,'New Albany'!E30,Wheatland!E30,Wilton!E30,Brownsville!E30,Gleason!E30)</f>
        <v>2392.3200000000002</v>
      </c>
      <c r="F30" s="124">
        <f>SUM(Caledonia!F30,'New Albany'!F30,Wheatland!F30,Wilton!F30,Brownsville!F30,Gleason!F30)</f>
        <v>2464.0896000000002</v>
      </c>
      <c r="G30" s="124">
        <f>SUM(Caledonia!G30,'New Albany'!G30,Wheatland!G30,Wilton!G30,Brownsville!G30,Gleason!G30)</f>
        <v>2538.0122880000004</v>
      </c>
      <c r="H30" s="124">
        <f>SUM(Caledonia!H30,'New Albany'!H30,Wheatland!H30,Wilton!H30,Brownsville!H30,Gleason!H30)</f>
        <v>2614.1526566400003</v>
      </c>
      <c r="I30" s="124">
        <f>SUM(Caledonia!I30,'New Albany'!I30,Wheatland!I30,Wilton!I30,Brownsville!I30,Gleason!I30)</f>
        <v>2692.5772363392002</v>
      </c>
      <c r="J30" s="124">
        <f>SUM(Caledonia!J30,'New Albany'!J30,Wheatland!J30,Wilton!J30,Brownsville!J30,Gleason!J30)</f>
        <v>2773.3545534293767</v>
      </c>
      <c r="K30" s="124">
        <f>SUM(Caledonia!K30,'New Albany'!K30,Wheatland!K30,Wilton!K30,Brownsville!K30,Gleason!K30)</f>
        <v>2856.555190032258</v>
      </c>
      <c r="L30" s="124">
        <f>SUM(Caledonia!L30,'New Albany'!L30,Wheatland!L30,Wilton!L30,Brownsville!L30,Gleason!L30)</f>
        <v>2942.2518457332258</v>
      </c>
      <c r="M30" s="124">
        <f>SUM(Caledonia!M30,'New Albany'!M30,Wheatland!M30,Wilton!M30,Brownsville!M30,Gleason!M30)</f>
        <v>3030.5194011052226</v>
      </c>
      <c r="N30" s="124">
        <f>SUM(Caledonia!N30,'New Albany'!N30,Wheatland!N30,Wilton!N30,Brownsville!N30,Gleason!N30)</f>
        <v>3121.4349831383797</v>
      </c>
      <c r="O30" s="124">
        <f>SUM(Caledonia!O30,'New Albany'!O30,Wheatland!O30,Wilton!O30,Brownsville!O30,Gleason!O30)</f>
        <v>3215.0780326325307</v>
      </c>
      <c r="P30" s="124">
        <f>SUM(Caledonia!P30,'New Albany'!P30,Wheatland!P30,Wilton!P30,Brownsville!P30,Gleason!P30)</f>
        <v>3311.5303736115075</v>
      </c>
      <c r="Q30" s="124">
        <f>SUM(Caledonia!Q30,'New Albany'!Q30,Wheatland!Q30,Wilton!Q30,Brownsville!Q30,Gleason!Q30)</f>
        <v>3410.8762848198526</v>
      </c>
      <c r="R30" s="124">
        <f>SUM(Caledonia!R30,'New Albany'!R30,Wheatland!R30,Wilton!R30,Brownsville!R30,Gleason!R30)</f>
        <v>3513.2025733644482</v>
      </c>
      <c r="S30" s="124">
        <f>SUM(Caledonia!S30,'New Albany'!S30,Wheatland!S30,Wilton!S30,Brownsville!S30,Gleason!S30)</f>
        <v>3618.5986505653818</v>
      </c>
      <c r="T30" s="124">
        <f>SUM(Caledonia!T30,'New Albany'!T30,Wheatland!T30,Wilton!T30,Brownsville!T30,Gleason!T30)</f>
        <v>3727.1566100823434</v>
      </c>
      <c r="U30" s="124">
        <f>SUM(Caledonia!U30,'New Albany'!U30,Wheatland!U30,Wilton!U30,Brownsville!U30,Gleason!U30)</f>
        <v>3838.9713083848137</v>
      </c>
      <c r="W30" s="515">
        <f>SUM(B30:U30)</f>
        <v>52060.681587878535</v>
      </c>
      <c r="X30" s="457">
        <f>SUM(Caledonia!W30,'New Albany'!W30,Wheatland!W30,Wilton!W30,Brownsville!W30,Gleason!W30)</f>
        <v>52060.681587878542</v>
      </c>
      <c r="Y30" s="457">
        <f t="shared" si="4"/>
        <v>0</v>
      </c>
    </row>
    <row r="31" spans="1:56">
      <c r="A31" s="3" t="s">
        <v>37</v>
      </c>
      <c r="B31" s="540">
        <v>1778.7943662765879</v>
      </c>
      <c r="C31" s="540">
        <v>1774.0853704058663</v>
      </c>
      <c r="D31" s="540">
        <v>1765.2997743928579</v>
      </c>
      <c r="E31" s="540">
        <v>1628.2155331051654</v>
      </c>
      <c r="F31" s="540">
        <v>1628.2155331051654</v>
      </c>
      <c r="G31" s="540">
        <v>1628.2155331051654</v>
      </c>
      <c r="H31" s="540">
        <v>1628.2155331051654</v>
      </c>
      <c r="I31" s="540">
        <v>1628.2155331051654</v>
      </c>
      <c r="J31" s="540">
        <v>1628.2155331051654</v>
      </c>
      <c r="K31" s="540">
        <v>1628.2155331051654</v>
      </c>
      <c r="L31" s="540">
        <v>1628.2155331051654</v>
      </c>
      <c r="M31" s="540">
        <v>1628.2155331051654</v>
      </c>
      <c r="N31" s="540">
        <v>1628.2155331051654</v>
      </c>
      <c r="O31" s="540">
        <v>1628.2155331051654</v>
      </c>
      <c r="P31" s="540">
        <v>1628.2155331051654</v>
      </c>
      <c r="Q31" s="540">
        <v>1628.2155331051654</v>
      </c>
      <c r="R31" s="540">
        <v>1628.2155331051654</v>
      </c>
      <c r="S31" s="540">
        <v>1628.2155331051654</v>
      </c>
      <c r="T31" s="540">
        <v>1628.2155331051654</v>
      </c>
      <c r="U31" s="540">
        <v>1628.2155331051654</v>
      </c>
      <c r="W31" s="515">
        <f t="shared" si="3"/>
        <v>32997.843573863123</v>
      </c>
      <c r="X31" s="457">
        <f>SUM(Caledonia!W31,'New Albany'!W31,Wheatland!W31,Wilton!W31,Brownsville!W31,Gleason!W31)</f>
        <v>32997.843573863123</v>
      </c>
      <c r="Y31" s="457">
        <f t="shared" si="4"/>
        <v>0</v>
      </c>
      <c r="Z31"/>
      <c r="AA31"/>
      <c r="AB31" s="540">
        <f>MAX(Debt!$U75:AB$75)*Assumptions!$B$31</f>
        <v>1627.6547279552678</v>
      </c>
      <c r="AC31" s="540">
        <f>MAX(Debt!$U75:AC$75)*Assumptions!$B$31</f>
        <v>1627.6547279552678</v>
      </c>
      <c r="AD31" s="540">
        <f>MAX(Debt!$U75:AD$75)*Assumptions!$B$31</f>
        <v>1627.6547279552678</v>
      </c>
      <c r="AE31" s="540">
        <f>MAX(Debt!$U75:AE$75)*Assumptions!$B$31</f>
        <v>1627.6547279552678</v>
      </c>
      <c r="AF31" s="540">
        <f>MAX(Debt!$U75:AF$75)*Assumptions!$B$31</f>
        <v>1627.6547279552678</v>
      </c>
      <c r="AG31" s="540">
        <f>MAX(Debt!$U75:AG$75)*Assumptions!$B$31</f>
        <v>1627.6547279552678</v>
      </c>
      <c r="AH31" s="540">
        <f>MAX(Debt!$U75:AH$75)*Assumptions!$B$31</f>
        <v>1627.6547279552678</v>
      </c>
      <c r="AI31" s="540">
        <f>MAX(Debt!$U75:AI$75)*Assumptions!$B$31</f>
        <v>1627.6547279552678</v>
      </c>
      <c r="AJ31" s="540">
        <f>MAX(Debt!$U75:AJ$75)*Assumptions!$B$31</f>
        <v>1627.6547279552678</v>
      </c>
      <c r="AK31" s="540">
        <f>MAX(Debt!$U75:AK$75)*Assumptions!$B$31</f>
        <v>1627.6547279552678</v>
      </c>
      <c r="AL31" s="540">
        <f>MAX(Debt!$U75:AL$75)*Assumptions!$B$31</f>
        <v>1627.6547279552678</v>
      </c>
      <c r="AM31" s="540">
        <f>MAX(Debt!$U75:AM$75)*Assumptions!$B$31</f>
        <v>1627.6547279552678</v>
      </c>
      <c r="AN31" s="540">
        <f>MAX(Debt!$U75:AN$75)*Assumptions!$B$31</f>
        <v>1627.6547279552678</v>
      </c>
      <c r="AO31" s="540">
        <f>MAX(Debt!$U75:AO$75)*Assumptions!$B$31</f>
        <v>1627.6547279552678</v>
      </c>
      <c r="AP31" s="540">
        <f>MAX(Debt!$U75:AP$75)*Assumptions!$B$31</f>
        <v>1627.6547279552678</v>
      </c>
      <c r="AQ31" s="540">
        <f>MAX(Debt!$U75:AQ$75)*Assumptions!$B$31</f>
        <v>1627.6547279552678</v>
      </c>
      <c r="AR31" s="540">
        <f>MAX(Debt!$U75:AR$75)*Assumptions!$B$31</f>
        <v>1627.6547279552678</v>
      </c>
      <c r="AS31" s="540">
        <f>MAX(Debt!$U75:AS$75)*Assumptions!$B$31</f>
        <v>1627.6547279552678</v>
      </c>
      <c r="AT31" s="540">
        <f>MAX(Debt!$U75:AT$75)*Assumptions!$B$31</f>
        <v>1627.6547279552678</v>
      </c>
      <c r="AU31" s="540">
        <f>MAX(Debt!$U75:AU$75)*Assumptions!$B$31</f>
        <v>1627.6547279552678</v>
      </c>
      <c r="AV31"/>
      <c r="AW31"/>
      <c r="AX31"/>
      <c r="AY31"/>
      <c r="AZ31"/>
      <c r="BA31"/>
      <c r="BB31"/>
      <c r="BC31"/>
      <c r="BD31"/>
    </row>
    <row r="32" spans="1:56">
      <c r="A32" s="3" t="s">
        <v>283</v>
      </c>
      <c r="B32" s="149">
        <f>SUM(Caledonia!B32,'New Albany'!B32,Wheatland!B32,Wilton!B32,Brownsville!B32,Gleason!B32)</f>
        <v>1825.2537164956125</v>
      </c>
      <c r="C32" s="149">
        <f>SUM(Caledonia!C32,'New Albany'!C32,Wheatland!C32,Wilton!C32,Brownsville!C32,Gleason!C32)</f>
        <v>1713.1242234320748</v>
      </c>
      <c r="D32" s="149">
        <f>SUM(Caledonia!D32,'New Albany'!D32,Wheatland!D32,Wilton!D32,Brownsville!D32,Gleason!D32)</f>
        <v>1694.1593637988713</v>
      </c>
      <c r="E32" s="149">
        <f>SUM(Caledonia!E32,'New Albany'!E32,Wheatland!E32,Wilton!E32,Brownsville!E32,Gleason!E32)</f>
        <v>1653.8966873202528</v>
      </c>
      <c r="F32" s="149">
        <f>SUM(Caledonia!F32,'New Albany'!F32,Wheatland!F32,Wilton!F32,Brownsville!F32,Gleason!F32)</f>
        <v>1646.6459304352734</v>
      </c>
      <c r="G32" s="149">
        <f>SUM(Caledonia!G32,'New Albany'!G32,Wheatland!G32,Wilton!G32,Brownsville!G32,Gleason!G32)</f>
        <v>1644.9228262848956</v>
      </c>
      <c r="H32" s="149">
        <f>SUM(Caledonia!H32,'New Albany'!H32,Wheatland!H32,Wilton!H32,Brownsville!H32,Gleason!H32)</f>
        <v>1650.5656930702316</v>
      </c>
      <c r="I32" s="149">
        <f>SUM(Caledonia!I32,'New Albany'!I32,Wheatland!I32,Wilton!I32,Brownsville!I32,Gleason!I32)</f>
        <v>1654.7119877468617</v>
      </c>
      <c r="J32" s="149">
        <f>SUM(Caledonia!J32,'New Albany'!J32,Wheatland!J32,Wilton!J32,Brownsville!J32,Gleason!J32)</f>
        <v>1658.9802906483292</v>
      </c>
      <c r="K32" s="149">
        <f>SUM(Caledonia!K32,'New Albany'!K32,Wheatland!K32,Wilton!K32,Brownsville!K32,Gleason!K32)</f>
        <v>1660.9915277191913</v>
      </c>
      <c r="L32" s="149">
        <f>SUM(Caledonia!L32,'New Albany'!L32,Wheatland!L32,Wilton!L32,Brownsville!L32,Gleason!L32)</f>
        <v>1633.3330104591716</v>
      </c>
      <c r="M32" s="149">
        <f>SUM(Caledonia!M32,'New Albany'!M32,Wheatland!M32,Wilton!M32,Brownsville!M32,Gleason!M32)</f>
        <v>1597.117796774055</v>
      </c>
      <c r="N32" s="149">
        <f>SUM(Caledonia!N32,'New Albany'!N32,Wheatland!N32,Wilton!N32,Brownsville!N32,Gleason!N32)</f>
        <v>1553.8131329210314</v>
      </c>
      <c r="O32" s="149">
        <f>SUM(Caledonia!O32,'New Albany'!O32,Wheatland!O32,Wilton!O32,Brownsville!O32,Gleason!O32)</f>
        <v>1505.5081777960056</v>
      </c>
      <c r="P32" s="149">
        <f>SUM(Caledonia!P32,'New Albany'!P32,Wheatland!P32,Wilton!P32,Brownsville!P32,Gleason!P32)</f>
        <v>1448.9021203665411</v>
      </c>
      <c r="Q32" s="149">
        <f>SUM(Caledonia!Q32,'New Albany'!Q32,Wheatland!Q32,Wilton!Q32,Brownsville!Q32,Gleason!Q32)</f>
        <v>1408.9490641465138</v>
      </c>
      <c r="R32" s="149">
        <f>SUM(Caledonia!R32,'New Albany'!R32,Wheatland!R32,Wilton!R32,Brownsville!R32,Gleason!R32)</f>
        <v>1356.4046330351337</v>
      </c>
      <c r="S32" s="149">
        <f>SUM(Caledonia!S32,'New Albany'!S32,Wheatland!S32,Wilton!S32,Brownsville!S32,Gleason!S32)</f>
        <v>1275.5166571965656</v>
      </c>
      <c r="T32" s="149">
        <f>SUM(Caledonia!T32,'New Albany'!T32,Wheatland!T32,Wilton!T32,Brownsville!T32,Gleason!T32)</f>
        <v>1184.5762719726565</v>
      </c>
      <c r="U32" s="149">
        <f>SUM(Caledonia!U32,'New Albany'!U32,Wheatland!U32,Wilton!U32,Brownsville!U32,Gleason!U32)</f>
        <v>1082.5633382840979</v>
      </c>
      <c r="V32" s="93"/>
      <c r="W32" s="515">
        <f t="shared" si="3"/>
        <v>30849.936449903362</v>
      </c>
      <c r="X32" s="457">
        <f>SUM(Caledonia!W32,'New Albany'!W32,Wheatland!W32,Wilton!W32,Brownsville!W32,Gleason!W32)</f>
        <v>30849.936449903365</v>
      </c>
      <c r="Y32" s="457">
        <f t="shared" si="4"/>
        <v>0</v>
      </c>
    </row>
    <row r="33" spans="1:25">
      <c r="A33" s="3" t="s">
        <v>90</v>
      </c>
      <c r="B33" s="124">
        <f>SUM(B23:B32)</f>
        <v>30453.714233372197</v>
      </c>
      <c r="C33" s="124">
        <f t="shared" ref="C33:U33" si="5">SUM(C23:C32)</f>
        <v>31424.84992895594</v>
      </c>
      <c r="D33" s="124">
        <f t="shared" si="5"/>
        <v>32350.752473363267</v>
      </c>
      <c r="E33" s="124">
        <f t="shared" si="5"/>
        <v>35249.367449349193</v>
      </c>
      <c r="F33" s="124">
        <f t="shared" si="5"/>
        <v>36166.218299331929</v>
      </c>
      <c r="G33" s="124">
        <f t="shared" si="5"/>
        <v>37267.659870255287</v>
      </c>
      <c r="H33" s="124">
        <f t="shared" si="5"/>
        <v>38335.515272366603</v>
      </c>
      <c r="I33" s="124">
        <f t="shared" si="5"/>
        <v>39368.239418428973</v>
      </c>
      <c r="J33" s="124">
        <f t="shared" si="5"/>
        <v>40305.011718257731</v>
      </c>
      <c r="K33" s="124">
        <f t="shared" si="5"/>
        <v>42158.010032163729</v>
      </c>
      <c r="L33" s="124">
        <f t="shared" si="5"/>
        <v>42966.036464043893</v>
      </c>
      <c r="M33" s="124">
        <f t="shared" si="5"/>
        <v>43605.293497973151</v>
      </c>
      <c r="N33" s="124">
        <f t="shared" si="5"/>
        <v>44765.051239162945</v>
      </c>
      <c r="O33" s="124">
        <f t="shared" si="5"/>
        <v>45860.295961232034</v>
      </c>
      <c r="P33" s="124">
        <f t="shared" si="5"/>
        <v>47470.344372492116</v>
      </c>
      <c r="Q33" s="124">
        <f t="shared" si="5"/>
        <v>48087.617179830901</v>
      </c>
      <c r="R33" s="124">
        <f t="shared" si="5"/>
        <v>49308.263003074877</v>
      </c>
      <c r="S33" s="124">
        <f t="shared" si="5"/>
        <v>50538.524962759868</v>
      </c>
      <c r="T33" s="124">
        <f t="shared" si="5"/>
        <v>51797.828264133532</v>
      </c>
      <c r="U33" s="124">
        <f t="shared" si="5"/>
        <v>53077.062760221648</v>
      </c>
      <c r="W33" s="515">
        <f t="shared" si="3"/>
        <v>840555.65640076983</v>
      </c>
      <c r="X33" s="457">
        <f>SUM(Caledonia!W33,'New Albany'!W33,Wheatland!W33,Wilton!W33,Brownsville!W33,Gleason!W33)</f>
        <v>840555.65640076995</v>
      </c>
      <c r="Y33" s="457">
        <f t="shared" si="4"/>
        <v>0</v>
      </c>
    </row>
    <row r="34" spans="1:25">
      <c r="A34" s="5"/>
      <c r="B34" s="415"/>
      <c r="C34" s="415"/>
      <c r="D34" s="415"/>
      <c r="E34" s="415"/>
      <c r="F34" s="415"/>
      <c r="G34" s="415"/>
      <c r="H34" s="415"/>
      <c r="I34" s="415"/>
      <c r="J34" s="415"/>
      <c r="K34" s="415"/>
      <c r="L34" s="415"/>
      <c r="M34" s="415"/>
      <c r="N34" s="415"/>
      <c r="O34" s="415"/>
      <c r="P34" s="415"/>
      <c r="Q34" s="415"/>
      <c r="R34" s="415"/>
      <c r="S34" s="415"/>
      <c r="T34" s="415"/>
      <c r="U34" s="415"/>
      <c r="W34" s="515"/>
      <c r="X34" s="46"/>
      <c r="Y34" s="46"/>
    </row>
    <row r="35" spans="1:25">
      <c r="A35" s="5"/>
      <c r="B35" s="416"/>
      <c r="C35" s="416"/>
      <c r="D35" s="416"/>
      <c r="E35" s="416"/>
      <c r="F35" s="416"/>
      <c r="G35" s="416"/>
      <c r="H35" s="416"/>
      <c r="I35" s="416"/>
      <c r="J35" s="416"/>
      <c r="K35" s="416"/>
      <c r="L35" s="416"/>
      <c r="M35" s="416"/>
      <c r="N35" s="416"/>
      <c r="O35" s="416"/>
      <c r="P35" s="416"/>
      <c r="Q35" s="416"/>
      <c r="R35" s="416"/>
      <c r="S35" s="416"/>
      <c r="T35" s="416"/>
      <c r="U35" s="416"/>
      <c r="W35" s="515"/>
      <c r="X35" s="46"/>
      <c r="Y35" s="46"/>
    </row>
    <row r="36" spans="1:25">
      <c r="A36" s="1" t="s">
        <v>91</v>
      </c>
      <c r="B36" s="205">
        <f t="shared" ref="B36:U36" si="6">B20-B33</f>
        <v>120476.94675971066</v>
      </c>
      <c r="C36" s="205">
        <f t="shared" si="6"/>
        <v>119829.5978405621</v>
      </c>
      <c r="D36" s="205">
        <f t="shared" si="6"/>
        <v>119238.1252661586</v>
      </c>
      <c r="E36" s="205">
        <f t="shared" si="6"/>
        <v>185089.21705495185</v>
      </c>
      <c r="F36" s="205">
        <f t="shared" si="6"/>
        <v>195084.39606282642</v>
      </c>
      <c r="G36" s="205">
        <f t="shared" si="6"/>
        <v>197835.65816206532</v>
      </c>
      <c r="H36" s="205">
        <f t="shared" si="6"/>
        <v>200410.78017031122</v>
      </c>
      <c r="I36" s="205">
        <f t="shared" si="6"/>
        <v>203269.62117919596</v>
      </c>
      <c r="J36" s="205">
        <f t="shared" si="6"/>
        <v>206492.58116753554</v>
      </c>
      <c r="K36" s="205">
        <f t="shared" si="6"/>
        <v>208564.06086676277</v>
      </c>
      <c r="L36" s="205">
        <f t="shared" si="6"/>
        <v>212623.03795922204</v>
      </c>
      <c r="M36" s="205">
        <f t="shared" si="6"/>
        <v>216919.48053664141</v>
      </c>
      <c r="N36" s="205">
        <f t="shared" si="6"/>
        <v>220755.10841219706</v>
      </c>
      <c r="O36" s="205">
        <f t="shared" si="6"/>
        <v>224721.77019841236</v>
      </c>
      <c r="P36" s="205">
        <f t="shared" si="6"/>
        <v>228232.34170252003</v>
      </c>
      <c r="Q36" s="205">
        <f t="shared" si="6"/>
        <v>231838.57250301581</v>
      </c>
      <c r="R36" s="205">
        <f t="shared" si="6"/>
        <v>234757.40314689904</v>
      </c>
      <c r="S36" s="205">
        <f t="shared" si="6"/>
        <v>237747.62070030771</v>
      </c>
      <c r="T36" s="205">
        <f t="shared" si="6"/>
        <v>240793.2121572629</v>
      </c>
      <c r="U36" s="205">
        <f t="shared" si="6"/>
        <v>243728.56081316562</v>
      </c>
      <c r="W36" s="515">
        <f>SUM(B36:U36)</f>
        <v>4048408.0926597239</v>
      </c>
      <c r="X36" s="457">
        <f>SUM(Caledonia!W36,'New Albany'!W36,Wheatland!W36,Wilton!W36,Brownsville!W36,Gleason!W36)</f>
        <v>4048408.0926597244</v>
      </c>
      <c r="Y36" s="457">
        <f>W36-X36</f>
        <v>0</v>
      </c>
    </row>
    <row r="37" spans="1:25">
      <c r="A37" s="1"/>
      <c r="B37" s="415"/>
      <c r="C37" s="415"/>
      <c r="D37" s="415"/>
      <c r="E37" s="415"/>
      <c r="F37" s="415"/>
      <c r="G37" s="415"/>
      <c r="H37" s="415"/>
      <c r="I37" s="415"/>
      <c r="J37" s="415"/>
      <c r="K37" s="415"/>
      <c r="L37" s="415"/>
      <c r="M37" s="415"/>
      <c r="N37" s="415"/>
      <c r="O37" s="415"/>
      <c r="P37" s="415"/>
      <c r="Q37" s="415"/>
      <c r="R37" s="415"/>
      <c r="S37" s="415"/>
      <c r="T37" s="415"/>
      <c r="U37" s="415"/>
      <c r="W37" s="515"/>
      <c r="X37" s="46"/>
      <c r="Y37" s="46"/>
    </row>
    <row r="38" spans="1:25">
      <c r="A38" s="3" t="s">
        <v>92</v>
      </c>
      <c r="B38" s="124">
        <f>Depreciation!C58</f>
        <v>36629.539025240148</v>
      </c>
      <c r="C38" s="124">
        <f>Depreciation!D58</f>
        <v>36629.539025240148</v>
      </c>
      <c r="D38" s="124">
        <f>Depreciation!E58</f>
        <v>36629.539025240148</v>
      </c>
      <c r="E38" s="124">
        <f>Depreciation!F58</f>
        <v>36629.539025240148</v>
      </c>
      <c r="F38" s="124">
        <f>Depreciation!G58</f>
        <v>36629.539025240148</v>
      </c>
      <c r="G38" s="124">
        <f>Depreciation!H58</f>
        <v>36629.539025240148</v>
      </c>
      <c r="H38" s="124">
        <f>Depreciation!I58</f>
        <v>36629.539025240148</v>
      </c>
      <c r="I38" s="124">
        <f>Depreciation!J58</f>
        <v>36629.539025240148</v>
      </c>
      <c r="J38" s="124">
        <f>Depreciation!K58</f>
        <v>36629.539025240148</v>
      </c>
      <c r="K38" s="124">
        <f>Depreciation!L58</f>
        <v>36629.539025240148</v>
      </c>
      <c r="L38" s="124">
        <f>Depreciation!M58</f>
        <v>36629.539025240148</v>
      </c>
      <c r="M38" s="124">
        <f>Depreciation!N58</f>
        <v>36629.539025240148</v>
      </c>
      <c r="N38" s="124">
        <f>Depreciation!O58</f>
        <v>36629.539025240148</v>
      </c>
      <c r="O38" s="124">
        <f>Depreciation!P58</f>
        <v>36629.539025240148</v>
      </c>
      <c r="P38" s="124">
        <f>Depreciation!Q58</f>
        <v>36629.539025240148</v>
      </c>
      <c r="Q38" s="124">
        <f>Depreciation!R58</f>
        <v>36629.539025240148</v>
      </c>
      <c r="R38" s="124">
        <f>Depreciation!S58</f>
        <v>36629.539025240148</v>
      </c>
      <c r="S38" s="124">
        <f>Depreciation!T58</f>
        <v>36629.539025240148</v>
      </c>
      <c r="T38" s="124">
        <f>Depreciation!U58</f>
        <v>36629.539025240148</v>
      </c>
      <c r="U38" s="124">
        <f>Depreciation!V58</f>
        <v>36629.539025240148</v>
      </c>
      <c r="W38" s="515">
        <f>SUM(B38:U38)</f>
        <v>732590.78050480294</v>
      </c>
      <c r="X38" s="457">
        <f>SUM(Caledonia!W38,'New Albany'!W38,Wheatland!W38,Wilton!W38,Brownsville!W38,Gleason!W38)</f>
        <v>732590.78050480294</v>
      </c>
      <c r="Y38" s="457">
        <f>W38-X38</f>
        <v>0</v>
      </c>
    </row>
    <row r="39" spans="1:25">
      <c r="A39" s="3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W39" s="515"/>
      <c r="X39" s="46"/>
      <c r="Y39" s="46"/>
    </row>
    <row r="40" spans="1:25">
      <c r="A40" s="1" t="s">
        <v>93</v>
      </c>
      <c r="B40" s="205">
        <f t="shared" ref="B40:U40" si="7">B36-B38</f>
        <v>83847.4077344705</v>
      </c>
      <c r="C40" s="205">
        <f t="shared" si="7"/>
        <v>83200.058815321943</v>
      </c>
      <c r="D40" s="205">
        <f t="shared" si="7"/>
        <v>82608.586240918463</v>
      </c>
      <c r="E40" s="205">
        <f t="shared" si="7"/>
        <v>148459.67802971171</v>
      </c>
      <c r="F40" s="205">
        <f t="shared" si="7"/>
        <v>158454.85703758628</v>
      </c>
      <c r="G40" s="205">
        <f t="shared" si="7"/>
        <v>161206.11913682517</v>
      </c>
      <c r="H40" s="205">
        <f t="shared" si="7"/>
        <v>163781.24114507108</v>
      </c>
      <c r="I40" s="205">
        <f t="shared" si="7"/>
        <v>166640.08215395582</v>
      </c>
      <c r="J40" s="205">
        <f t="shared" si="7"/>
        <v>169863.0421422954</v>
      </c>
      <c r="K40" s="205">
        <f t="shared" si="7"/>
        <v>171934.52184152263</v>
      </c>
      <c r="L40" s="205">
        <f t="shared" si="7"/>
        <v>175993.4989339819</v>
      </c>
      <c r="M40" s="205">
        <f t="shared" si="7"/>
        <v>180289.94151140127</v>
      </c>
      <c r="N40" s="205">
        <f t="shared" si="7"/>
        <v>184125.56938695692</v>
      </c>
      <c r="O40" s="205">
        <f t="shared" si="7"/>
        <v>188092.23117317221</v>
      </c>
      <c r="P40" s="205">
        <f t="shared" si="7"/>
        <v>191602.80267727989</v>
      </c>
      <c r="Q40" s="205">
        <f t="shared" si="7"/>
        <v>195209.03347777567</v>
      </c>
      <c r="R40" s="205">
        <f t="shared" si="7"/>
        <v>198127.8641216589</v>
      </c>
      <c r="S40" s="205">
        <f t="shared" si="7"/>
        <v>201118.08167506757</v>
      </c>
      <c r="T40" s="205">
        <f t="shared" si="7"/>
        <v>204163.67313202276</v>
      </c>
      <c r="U40" s="205">
        <f t="shared" si="7"/>
        <v>207099.02178792548</v>
      </c>
      <c r="W40" s="515">
        <f>SUM(B40:U40)</f>
        <v>3315817.3121549217</v>
      </c>
      <c r="X40" s="457">
        <f>SUM(Caledonia!W40,'New Albany'!W40,Wheatland!W40,Wilton!W40,Brownsville!W40,Gleason!W40)</f>
        <v>3315817.3121549212</v>
      </c>
      <c r="Y40" s="457">
        <f>W40-X40</f>
        <v>0</v>
      </c>
    </row>
    <row r="41" spans="1:25">
      <c r="A41" s="1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W41" s="515"/>
      <c r="X41" s="46"/>
      <c r="Y41" s="46"/>
    </row>
    <row r="42" spans="1:25">
      <c r="A42" s="3" t="s">
        <v>94</v>
      </c>
      <c r="B42" s="124">
        <f>Debt!B89</f>
        <v>63286.350681938071</v>
      </c>
      <c r="C42" s="124">
        <f>Debt!C89</f>
        <v>61155.925850424232</v>
      </c>
      <c r="D42" s="124">
        <f>Debt!D89</f>
        <v>58681.321876893417</v>
      </c>
      <c r="E42" s="124">
        <f>Debt!E89</f>
        <v>56742.601543247874</v>
      </c>
      <c r="F42" s="124">
        <f>Debt!F89</f>
        <v>55988.047168598205</v>
      </c>
      <c r="G42" s="124">
        <f>Debt!G89</f>
        <v>55049.554108863522</v>
      </c>
      <c r="H42" s="124">
        <f>Debt!H89</f>
        <v>53923.68656328931</v>
      </c>
      <c r="I42" s="124">
        <f>Debt!I89</f>
        <v>52736.611008958833</v>
      </c>
      <c r="J42" s="124">
        <f>Debt!J89</f>
        <v>51023.711047362172</v>
      </c>
      <c r="K42" s="124">
        <f>Debt!K89</f>
        <v>49198.631649454852</v>
      </c>
      <c r="L42" s="124">
        <f>Debt!L89</f>
        <v>47084.464004904912</v>
      </c>
      <c r="M42" s="124">
        <f>Debt!M89</f>
        <v>44672.593645090979</v>
      </c>
      <c r="N42" s="124">
        <f>Debt!N89</f>
        <v>41599.657151607942</v>
      </c>
      <c r="O42" s="124">
        <f>Debt!O89</f>
        <v>38209.272808843845</v>
      </c>
      <c r="P42" s="124">
        <f>Debt!P89</f>
        <v>34327.556571950234</v>
      </c>
      <c r="Q42" s="124">
        <f>Debt!Q89</f>
        <v>29992.791819494953</v>
      </c>
      <c r="R42" s="124">
        <f>Debt!R89</f>
        <v>24902.460614336902</v>
      </c>
      <c r="S42" s="124">
        <f>Debt!S89</f>
        <v>19275.211966822848</v>
      </c>
      <c r="T42" s="124">
        <f>Debt!T89</f>
        <v>12951.347195908365</v>
      </c>
      <c r="U42" s="124">
        <f>Debt!U89</f>
        <v>5867.9292989015285</v>
      </c>
      <c r="W42" s="515">
        <f>SUM(B42:U42)</f>
        <v>856669.72657689301</v>
      </c>
      <c r="X42" s="457">
        <f>SUM(Caledonia!W42,'New Albany'!W42,Wheatland!W42,Wilton!W42,Brownsville!W42,Gleason!W42)</f>
        <v>856669.72657689289</v>
      </c>
      <c r="Y42" s="457">
        <f>W42-X42</f>
        <v>0</v>
      </c>
    </row>
    <row r="43" spans="1:25">
      <c r="A43" s="6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W43" s="515"/>
      <c r="X43" s="46"/>
      <c r="Y43" s="46"/>
    </row>
    <row r="44" spans="1:25">
      <c r="A44" s="1" t="s">
        <v>95</v>
      </c>
      <c r="B44" s="205">
        <f t="shared" ref="B44:U44" si="8">B40-B42</f>
        <v>20561.057052532429</v>
      </c>
      <c r="C44" s="205">
        <f t="shared" si="8"/>
        <v>22044.132964897712</v>
      </c>
      <c r="D44" s="205">
        <f t="shared" si="8"/>
        <v>23927.264364025046</v>
      </c>
      <c r="E44" s="205">
        <f t="shared" si="8"/>
        <v>91717.076486463833</v>
      </c>
      <c r="F44" s="205">
        <f t="shared" si="8"/>
        <v>102466.80986898807</v>
      </c>
      <c r="G44" s="205">
        <f t="shared" si="8"/>
        <v>106156.56502796165</v>
      </c>
      <c r="H44" s="205">
        <f t="shared" si="8"/>
        <v>109857.55458178176</v>
      </c>
      <c r="I44" s="205">
        <f t="shared" si="8"/>
        <v>113903.47114499699</v>
      </c>
      <c r="J44" s="205">
        <f t="shared" si="8"/>
        <v>118839.33109493322</v>
      </c>
      <c r="K44" s="205">
        <f t="shared" si="8"/>
        <v>122735.89019206777</v>
      </c>
      <c r="L44" s="205">
        <f t="shared" si="8"/>
        <v>128909.034929077</v>
      </c>
      <c r="M44" s="205">
        <f t="shared" si="8"/>
        <v>135617.34786631027</v>
      </c>
      <c r="N44" s="205">
        <f t="shared" si="8"/>
        <v>142525.91223534898</v>
      </c>
      <c r="O44" s="205">
        <f t="shared" si="8"/>
        <v>149882.95836432837</v>
      </c>
      <c r="P44" s="205">
        <f t="shared" si="8"/>
        <v>157275.24610532966</v>
      </c>
      <c r="Q44" s="205">
        <f t="shared" si="8"/>
        <v>165216.24165828072</v>
      </c>
      <c r="R44" s="205">
        <f t="shared" si="8"/>
        <v>173225.40350732201</v>
      </c>
      <c r="S44" s="205">
        <f t="shared" si="8"/>
        <v>181842.86970824472</v>
      </c>
      <c r="T44" s="205">
        <f t="shared" si="8"/>
        <v>191212.32593611439</v>
      </c>
      <c r="U44" s="205">
        <f t="shared" si="8"/>
        <v>201231.09248902395</v>
      </c>
      <c r="W44" s="515">
        <f>SUM(B44:U44)</f>
        <v>2459147.5855780286</v>
      </c>
      <c r="X44" s="457">
        <f>SUM(Caledonia!W44,'New Albany'!W44,Wheatland!W44,Wilton!W44,Brownsville!W44,Gleason!W44)</f>
        <v>2459147.5855780281</v>
      </c>
      <c r="Y44" s="457">
        <f>W44-X44</f>
        <v>0</v>
      </c>
    </row>
    <row r="45" spans="1:25">
      <c r="A45" s="1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W45" s="515"/>
      <c r="X45" s="46"/>
      <c r="Y45" s="46"/>
    </row>
    <row r="46" spans="1:25">
      <c r="A46" s="3" t="s">
        <v>96</v>
      </c>
      <c r="B46" s="124">
        <f>Wheatland!B46+'New Albany'!B46+Wilton!B46+Caledonia!B46+Brownsville!B46+Gleason!B46</f>
        <v>-1159.3463899489996</v>
      </c>
      <c r="C46" s="124">
        <f>Wheatland!C46+'New Albany'!C46+Wilton!C46+Caledonia!C46+Brownsville!C46+Gleason!C46</f>
        <v>-1246.6281245874757</v>
      </c>
      <c r="D46" s="124">
        <f>Wheatland!D46+'New Albany'!D46+Wilton!D46+Caledonia!D46+Brownsville!D46+Gleason!D46</f>
        <v>-1356.0166479902628</v>
      </c>
      <c r="E46" s="124">
        <f>Wheatland!E46+'New Albany'!E46+Wilton!E46+Caledonia!E46+Brownsville!E46+Gleason!E46</f>
        <v>-5237.5411141091272</v>
      </c>
      <c r="F46" s="124">
        <f>Wheatland!F46+'New Albany'!F46+Wilton!F46+Caledonia!F46+Brownsville!F46+Gleason!F46</f>
        <v>-5848.0933279713072</v>
      </c>
      <c r="G46" s="124">
        <f>Wheatland!G46+'New Albany'!G46+Wilton!G46+Caledonia!G46+Brownsville!G46+Gleason!G46</f>
        <v>-6062.2804100417889</v>
      </c>
      <c r="H46" s="124">
        <f>Wheatland!H46+'New Albany'!H46+Wilton!H46+Caledonia!H46+Brownsville!H46+Gleason!H46</f>
        <v>-6278.550373199485</v>
      </c>
      <c r="I46" s="124">
        <f>Wheatland!I46+'New Albany'!I46+Wilton!I46+Caledonia!I46+Brownsville!I46+Gleason!I46</f>
        <v>-6513.5114364738447</v>
      </c>
      <c r="J46" s="124">
        <f>Wheatland!J46+'New Albany'!J46+Wilton!J46+Caledonia!J46+Brownsville!J46+Gleason!J46</f>
        <v>-6797.6850559211953</v>
      </c>
      <c r="K46" s="124">
        <f>Wheatland!K46+'New Albany'!K46+Wilton!K46+Caledonia!K46+Brownsville!K46+Gleason!K46</f>
        <v>-7029.0681432436431</v>
      </c>
      <c r="L46" s="124">
        <f>Wheatland!L46+'New Albany'!L46+Wilton!L46+Caledonia!L46+Brownsville!L46+Gleason!L46</f>
        <v>-7384.0474651116165</v>
      </c>
      <c r="M46" s="124">
        <f>Wheatland!M46+'New Albany'!M46+Wilton!M46+Caledonia!M46+Brownsville!M46+Gleason!M46</f>
        <v>-7767.5843880378779</v>
      </c>
      <c r="N46" s="124">
        <f>Wheatland!N46+'New Albany'!N46+Wilton!N46+Caledonia!N46+Brownsville!N46+Gleason!N46</f>
        <v>-8162.8474921962943</v>
      </c>
      <c r="O46" s="124">
        <f>Wheatland!O46+'New Albany'!O46+Wilton!O46+Caledonia!O46+Brownsville!O46+Gleason!O46</f>
        <v>-8586.7776654363897</v>
      </c>
      <c r="P46" s="124">
        <f>Wheatland!P46+'New Albany'!P46+Wilton!P46+Caledonia!P46+Brownsville!P46+Gleason!P46</f>
        <v>-9011.5332154156386</v>
      </c>
      <c r="Q46" s="124">
        <f>Wheatland!Q46+'New Albany'!Q46+Wilton!Q46+Caledonia!Q46+Brownsville!Q46+Gleason!Q46</f>
        <v>-9470.9115511546679</v>
      </c>
      <c r="R46" s="124">
        <f>Wheatland!R46+'New Albany'!R46+Wilton!R46+Caledonia!R46+Brownsville!R46+Gleason!R46</f>
        <v>-9933.7815840333969</v>
      </c>
      <c r="S46" s="124">
        <f>Wheatland!S46+'New Albany'!S46+Wilton!S46+Caledonia!S46+Brownsville!S46+Gleason!S46</f>
        <v>-10430.647390485894</v>
      </c>
      <c r="T46" s="124">
        <f>Wheatland!T46+'New Albany'!T46+Wilton!T46+Caledonia!T46+Brownsville!T46+Gleason!T46</f>
        <v>-10969.701448135445</v>
      </c>
      <c r="U46" s="124">
        <f>Wheatland!U46+'New Albany'!U46+Wilton!U46+Caledonia!U46+Brownsville!U46+Gleason!U46</f>
        <v>-11547.194185332944</v>
      </c>
      <c r="W46" s="515">
        <f>SUM(B46:U46)</f>
        <v>-140793.74740882727</v>
      </c>
      <c r="X46" s="457">
        <f>SUM(Caledonia!W46,'New Albany'!W46,Wheatland!W46,Wilton!W46,Brownsville!W46,Gleason!W46)</f>
        <v>-140793.7474088273</v>
      </c>
      <c r="Y46" s="457">
        <f>W46-X46</f>
        <v>0</v>
      </c>
    </row>
    <row r="47" spans="1:25">
      <c r="A47" s="3" t="s">
        <v>97</v>
      </c>
      <c r="B47" s="124">
        <f>Wheatland!B47+'New Albany'!B47+Wilton!B47+Caledonia!B47+Brownsville!B47+Gleason!B47</f>
        <v>-6790.5987319041988</v>
      </c>
      <c r="C47" s="124">
        <f>Wheatland!C47+'New Albany'!C47+Wilton!C47+Caledonia!C47+Brownsville!C47+Gleason!C47</f>
        <v>-7279.1266941085887</v>
      </c>
      <c r="D47" s="124">
        <f>Wheatland!D47+'New Albany'!D47+Wilton!D47+Caledonia!D47+Brownsville!D47+Gleason!D47</f>
        <v>-7899.9367006121647</v>
      </c>
      <c r="E47" s="124">
        <f>Wheatland!E47+'New Albany'!E47+Wilton!E47+Caledonia!E47+Brownsville!E47+Gleason!E47</f>
        <v>-30267.837380324134</v>
      </c>
      <c r="F47" s="124">
        <f>Wheatland!F47+'New Albany'!F47+Wilton!F47+Caledonia!F47+Brownsville!F47+Gleason!F47</f>
        <v>-33816.550789355868</v>
      </c>
      <c r="G47" s="124">
        <f>Wheatland!G47+'New Albany'!G47+Wilton!G47+Caledonia!G47+Brownsville!G47+Gleason!G47</f>
        <v>-35032.999616271962</v>
      </c>
      <c r="H47" s="124">
        <f>Wheatland!H47+'New Albany'!H47+Wilton!H47+Caledonia!H47+Brownsville!H47+Gleason!H47</f>
        <v>-36252.651473003811</v>
      </c>
      <c r="I47" s="124">
        <f>Wheatland!I47+'New Albany'!I47+Wilton!I47+Caledonia!I47+Brownsville!I47+Gleason!I47</f>
        <v>-37586.485897983097</v>
      </c>
      <c r="J47" s="124">
        <f>Wheatland!J47+'New Albany'!J47+Wilton!J47+Caledonia!J47+Brownsville!J47+Gleason!J47</f>
        <v>-39214.576113654213</v>
      </c>
      <c r="K47" s="124">
        <f>Wheatland!K47+'New Albany'!K47+Wilton!K47+Caledonia!K47+Brownsville!K47+Gleason!K47</f>
        <v>-40497.387717088444</v>
      </c>
      <c r="L47" s="124">
        <f>Wheatland!L47+'New Albany'!L47+Wilton!L47+Caledonia!L47+Brownsville!L47+Gleason!L47</f>
        <v>-42533.745612387887</v>
      </c>
      <c r="M47" s="124">
        <f>Wheatland!M47+'New Albany'!M47+Wilton!M47+Caledonia!M47+Brownsville!M47+Gleason!M47</f>
        <v>-44747.417217395341</v>
      </c>
      <c r="N47" s="124">
        <f>Wheatland!N47+'New Albany'!N47+Wilton!N47+Caledonia!N47+Brownsville!N47+Gleason!N47</f>
        <v>-47027.072660103433</v>
      </c>
      <c r="O47" s="124">
        <f>Wheatland!O47+'New Albany'!O47+Wilton!O47+Caledonia!O47+Brownsville!O47+Gleason!O47</f>
        <v>-49453.663244612166</v>
      </c>
      <c r="P47" s="124">
        <f>Wheatland!P47+'New Albany'!P47+Wilton!P47+Caledonia!P47+Brownsville!P47+Gleason!P47</f>
        <v>-51892.299511469893</v>
      </c>
      <c r="Q47" s="124">
        <f>Wheatland!Q47+'New Albany'!Q47+Wilton!Q47+Caledonia!Q47+Brownsville!Q47+Gleason!Q47</f>
        <v>-54510.865537494108</v>
      </c>
      <c r="R47" s="124">
        <f>Wheatland!R47+'New Albany'!R47+Wilton!R47+Caledonia!R47+Brownsville!R47+Gleason!R47</f>
        <v>-57152.067673151032</v>
      </c>
      <c r="S47" s="124">
        <f>Wheatland!S47+'New Albany'!S47+Wilton!S47+Caledonia!S47+Brownsville!S47+Gleason!S47</f>
        <v>-59994.27781121555</v>
      </c>
      <c r="T47" s="124">
        <f>Wheatland!T47+'New Albany'!T47+Wilton!T47+Caledonia!T47+Brownsville!T47+Gleason!T47</f>
        <v>-63084.918570792608</v>
      </c>
      <c r="U47" s="124">
        <f>Wheatland!U47+'New Albany'!U47+Wilton!U47+Caledonia!U47+Brownsville!U47+Gleason!U47</f>
        <v>-66389.364406291847</v>
      </c>
      <c r="W47" s="515">
        <f>SUM(B47:U47)</f>
        <v>-811423.84335922042</v>
      </c>
      <c r="X47" s="457">
        <f>SUM(Caledonia!W47,'New Albany'!W47,Wheatland!W47,Wilton!W47,Brownsville!W47,Gleason!W47)</f>
        <v>-811423.84335922031</v>
      </c>
      <c r="Y47" s="457">
        <f>W47-X47</f>
        <v>0</v>
      </c>
    </row>
    <row r="48" spans="1:25">
      <c r="A48" s="6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W48" s="515"/>
      <c r="X48" s="46"/>
      <c r="Y48" s="46"/>
    </row>
    <row r="49" spans="1:25" ht="15.75">
      <c r="A49" s="47" t="s">
        <v>98</v>
      </c>
      <c r="B49" s="417">
        <f>B44+B46+B47</f>
        <v>12611.111930679232</v>
      </c>
      <c r="C49" s="417">
        <f>C44+C46+C47</f>
        <v>13518.378146201649</v>
      </c>
      <c r="D49" s="417">
        <f t="shared" ref="D49:U49" si="9">D44+D46+D47</f>
        <v>14671.31101542262</v>
      </c>
      <c r="E49" s="417">
        <f t="shared" si="9"/>
        <v>56211.697992030568</v>
      </c>
      <c r="F49" s="417">
        <f t="shared" si="9"/>
        <v>62802.165751660898</v>
      </c>
      <c r="G49" s="417">
        <f t="shared" si="9"/>
        <v>65061.285001647906</v>
      </c>
      <c r="H49" s="417">
        <f t="shared" si="9"/>
        <v>67326.352735578461</v>
      </c>
      <c r="I49" s="417">
        <f t="shared" si="9"/>
        <v>69803.473810540047</v>
      </c>
      <c r="J49" s="417">
        <f t="shared" si="9"/>
        <v>72827.06992535782</v>
      </c>
      <c r="K49" s="417">
        <f t="shared" si="9"/>
        <v>75209.434331735683</v>
      </c>
      <c r="L49" s="417">
        <f t="shared" si="9"/>
        <v>78991.241851577477</v>
      </c>
      <c r="M49" s="417">
        <f t="shared" si="9"/>
        <v>83102.34626087705</v>
      </c>
      <c r="N49" s="417">
        <f t="shared" si="9"/>
        <v>87335.992083049234</v>
      </c>
      <c r="O49" s="417">
        <f t="shared" si="9"/>
        <v>91842.51745427982</v>
      </c>
      <c r="P49" s="417">
        <f t="shared" si="9"/>
        <v>96371.413378444122</v>
      </c>
      <c r="Q49" s="417">
        <f t="shared" si="9"/>
        <v>101234.46456963196</v>
      </c>
      <c r="R49" s="417">
        <f t="shared" si="9"/>
        <v>106139.55425013759</v>
      </c>
      <c r="S49" s="417">
        <f t="shared" si="9"/>
        <v>111417.94450654328</v>
      </c>
      <c r="T49" s="417">
        <f t="shared" si="9"/>
        <v>117157.70591718632</v>
      </c>
      <c r="U49" s="417">
        <f t="shared" si="9"/>
        <v>123294.53389739916</v>
      </c>
      <c r="W49" s="515">
        <f>SUM(B49:U49)</f>
        <v>1506929.994809981</v>
      </c>
      <c r="X49" s="457">
        <f>SUM(Caledonia!W49,'New Albany'!W49,Wheatland!W49,Wilton!W49,Brownsville!W49,Gleason!W49)</f>
        <v>1506929.9948099805</v>
      </c>
      <c r="Y49" s="457">
        <f>W49-X49</f>
        <v>0</v>
      </c>
    </row>
    <row r="51" spans="1:25"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</row>
    <row r="52" spans="1:25"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</row>
  </sheetData>
  <pageMargins left="0.18" right="0.17" top="0.37" bottom="0.4" header="0.17" footer="0.21"/>
  <pageSetup scale="48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1" min="1" max="4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D111"/>
  <sheetViews>
    <sheetView zoomScale="75" zoomScaleNormal="75" workbookViewId="0"/>
  </sheetViews>
  <sheetFormatPr defaultRowHeight="12.75"/>
  <cols>
    <col min="1" max="1" width="33.7109375" style="18" customWidth="1"/>
    <col min="2" max="24" width="14.5703125" style="18" customWidth="1"/>
    <col min="25" max="29" width="14.42578125" style="18" customWidth="1"/>
    <col min="30" max="16384" width="9.140625" style="18"/>
  </cols>
  <sheetData>
    <row r="1" spans="1:27">
      <c r="A1" s="37"/>
      <c r="C1" s="56"/>
      <c r="D1" s="50"/>
      <c r="E1" s="50"/>
      <c r="F1" s="165"/>
      <c r="G1" s="6"/>
      <c r="H1" s="6"/>
      <c r="I1" s="2"/>
      <c r="J1" s="2"/>
      <c r="K1" s="2"/>
      <c r="L1" s="165"/>
      <c r="M1" s="6"/>
      <c r="N1" s="6"/>
      <c r="O1" s="2"/>
      <c r="P1" s="2"/>
      <c r="Q1" s="2"/>
      <c r="R1" s="165"/>
      <c r="S1" s="6"/>
      <c r="T1" s="6"/>
      <c r="U1" s="6"/>
    </row>
    <row r="2" spans="1:27" ht="18.75">
      <c r="A2" s="54" t="s">
        <v>169</v>
      </c>
      <c r="B2" s="377"/>
      <c r="C2" s="56"/>
      <c r="D2" s="50"/>
      <c r="E2" s="50"/>
      <c r="F2" s="165"/>
      <c r="I2" s="56"/>
      <c r="J2" s="56"/>
      <c r="K2" s="56"/>
      <c r="L2" s="165"/>
      <c r="O2" s="56"/>
      <c r="P2" s="56"/>
      <c r="Q2" s="56"/>
      <c r="R2" s="165"/>
      <c r="AA2" s="21"/>
    </row>
    <row r="3" spans="1:27" s="19" customFormat="1">
      <c r="P3" s="259"/>
      <c r="Q3" s="259"/>
      <c r="R3" s="259"/>
      <c r="S3" s="259"/>
      <c r="T3" s="259"/>
      <c r="U3" s="259"/>
    </row>
    <row r="4" spans="1:27" s="260" customFormat="1" ht="13.5">
      <c r="A4" s="39"/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</row>
    <row r="5" spans="1:27" ht="13.5" thickBot="1">
      <c r="A5" s="202" t="s">
        <v>83</v>
      </c>
      <c r="B5" s="337">
        <v>2001</v>
      </c>
      <c r="C5" s="337">
        <f>B5+1</f>
        <v>2002</v>
      </c>
      <c r="D5" s="337">
        <f t="shared" ref="D5:U5" si="0">C5+1</f>
        <v>2003</v>
      </c>
      <c r="E5" s="337">
        <f t="shared" si="0"/>
        <v>2004</v>
      </c>
      <c r="F5" s="337">
        <f t="shared" si="0"/>
        <v>2005</v>
      </c>
      <c r="G5" s="337">
        <f t="shared" si="0"/>
        <v>2006</v>
      </c>
      <c r="H5" s="337">
        <f t="shared" si="0"/>
        <v>2007</v>
      </c>
      <c r="I5" s="337">
        <f t="shared" si="0"/>
        <v>2008</v>
      </c>
      <c r="J5" s="337">
        <f t="shared" si="0"/>
        <v>2009</v>
      </c>
      <c r="K5" s="337">
        <f t="shared" si="0"/>
        <v>2010</v>
      </c>
      <c r="L5" s="337">
        <f t="shared" si="0"/>
        <v>2011</v>
      </c>
      <c r="M5" s="337">
        <f t="shared" si="0"/>
        <v>2012</v>
      </c>
      <c r="N5" s="337">
        <f t="shared" si="0"/>
        <v>2013</v>
      </c>
      <c r="O5" s="337">
        <f t="shared" si="0"/>
        <v>2014</v>
      </c>
      <c r="P5" s="337">
        <f t="shared" si="0"/>
        <v>2015</v>
      </c>
      <c r="Q5" s="337">
        <f t="shared" si="0"/>
        <v>2016</v>
      </c>
      <c r="R5" s="337">
        <f t="shared" si="0"/>
        <v>2017</v>
      </c>
      <c r="S5" s="337">
        <f t="shared" si="0"/>
        <v>2018</v>
      </c>
      <c r="T5" s="337">
        <f t="shared" si="0"/>
        <v>2019</v>
      </c>
      <c r="U5" s="337">
        <f t="shared" si="0"/>
        <v>2020</v>
      </c>
    </row>
    <row r="6" spans="1:27" s="44" customFormat="1">
      <c r="A6" s="338"/>
      <c r="B6" s="339">
        <v>37256</v>
      </c>
      <c r="C6" s="339">
        <v>37621</v>
      </c>
      <c r="D6" s="339">
        <v>37986</v>
      </c>
      <c r="E6" s="339">
        <v>38352</v>
      </c>
      <c r="F6" s="339">
        <v>38717</v>
      </c>
      <c r="G6" s="339">
        <v>39082</v>
      </c>
      <c r="H6" s="339">
        <v>39447</v>
      </c>
      <c r="I6" s="339">
        <v>39813</v>
      </c>
      <c r="J6" s="339">
        <v>40178</v>
      </c>
      <c r="K6" s="339">
        <v>40543</v>
      </c>
      <c r="L6" s="339">
        <v>40908</v>
      </c>
      <c r="M6" s="339">
        <v>41274</v>
      </c>
      <c r="N6" s="339">
        <v>41639</v>
      </c>
      <c r="O6" s="339">
        <v>42004</v>
      </c>
      <c r="P6" s="339">
        <v>42369</v>
      </c>
      <c r="Q6" s="339">
        <v>42735</v>
      </c>
      <c r="R6" s="339">
        <v>43100</v>
      </c>
      <c r="S6" s="339">
        <v>43465</v>
      </c>
      <c r="T6" s="339">
        <v>43830</v>
      </c>
      <c r="U6" s="339">
        <v>44196</v>
      </c>
    </row>
    <row r="7" spans="1:27">
      <c r="R7" s="19"/>
      <c r="S7" s="19"/>
      <c r="T7" s="19"/>
      <c r="U7" s="19"/>
    </row>
    <row r="8" spans="1:27">
      <c r="R8" s="19"/>
      <c r="S8" s="19"/>
      <c r="T8" s="19"/>
      <c r="U8" s="19"/>
    </row>
    <row r="9" spans="1:27">
      <c r="A9" s="340" t="s">
        <v>170</v>
      </c>
      <c r="B9" s="341">
        <f>IS!B36</f>
        <v>120476.94675971066</v>
      </c>
      <c r="C9" s="341">
        <f>IS!C36</f>
        <v>119829.5978405621</v>
      </c>
      <c r="D9" s="341">
        <f>IS!D36</f>
        <v>119238.1252661586</v>
      </c>
      <c r="E9" s="341">
        <f>IS!E36</f>
        <v>185089.21705495185</v>
      </c>
      <c r="F9" s="341">
        <f>IS!F36</f>
        <v>195084.39606282642</v>
      </c>
      <c r="G9" s="341">
        <f>IS!G36</f>
        <v>197835.65816206532</v>
      </c>
      <c r="H9" s="341">
        <f>IS!H36</f>
        <v>200410.78017031122</v>
      </c>
      <c r="I9" s="341">
        <f>IS!I36</f>
        <v>203269.62117919596</v>
      </c>
      <c r="J9" s="341">
        <f>IS!J36</f>
        <v>206492.58116753554</v>
      </c>
      <c r="K9" s="341">
        <f>IS!K36</f>
        <v>208564.06086676277</v>
      </c>
      <c r="L9" s="341">
        <f>IS!L36</f>
        <v>212623.03795922204</v>
      </c>
      <c r="M9" s="341">
        <f>IS!M36</f>
        <v>216919.48053664141</v>
      </c>
      <c r="N9" s="341">
        <f>IS!N36</f>
        <v>220755.10841219706</v>
      </c>
      <c r="O9" s="341">
        <f>IS!O36</f>
        <v>224721.77019841236</v>
      </c>
      <c r="P9" s="341">
        <f>IS!P36</f>
        <v>228232.34170252003</v>
      </c>
      <c r="Q9" s="341">
        <f>IS!Q36</f>
        <v>231838.57250301581</v>
      </c>
      <c r="R9" s="341">
        <f>IS!R36</f>
        <v>234757.40314689904</v>
      </c>
      <c r="S9" s="341">
        <f>IS!S36</f>
        <v>237747.62070030771</v>
      </c>
      <c r="T9" s="341">
        <f>IS!T36</f>
        <v>240793.2121572629</v>
      </c>
      <c r="U9" s="342">
        <f>IS!U36</f>
        <v>243728.56081316562</v>
      </c>
      <c r="AA9" s="343">
        <f>IF(MONTH(C19)=MONTH([1]Assumptions!G34),1,2)</f>
        <v>2</v>
      </c>
    </row>
    <row r="10" spans="1:27">
      <c r="A10" s="344" t="s">
        <v>0</v>
      </c>
      <c r="B10" s="345">
        <v>1.35</v>
      </c>
      <c r="C10" s="345">
        <v>1.35</v>
      </c>
      <c r="D10" s="345">
        <v>1.35</v>
      </c>
      <c r="E10" s="345">
        <v>3</v>
      </c>
      <c r="F10" s="345">
        <v>3</v>
      </c>
      <c r="G10" s="345">
        <v>3</v>
      </c>
      <c r="H10" s="345">
        <v>3</v>
      </c>
      <c r="I10" s="345">
        <v>3</v>
      </c>
      <c r="J10" s="345">
        <v>3</v>
      </c>
      <c r="K10" s="345">
        <v>3</v>
      </c>
      <c r="L10" s="345">
        <v>3</v>
      </c>
      <c r="M10" s="345">
        <v>3</v>
      </c>
      <c r="N10" s="345">
        <v>3</v>
      </c>
      <c r="O10" s="345">
        <v>3</v>
      </c>
      <c r="P10" s="345">
        <v>3</v>
      </c>
      <c r="Q10" s="345">
        <v>3</v>
      </c>
      <c r="R10" s="345">
        <v>3</v>
      </c>
      <c r="S10" s="345">
        <v>3</v>
      </c>
      <c r="T10" s="345">
        <v>3</v>
      </c>
      <c r="U10" s="346">
        <v>3</v>
      </c>
      <c r="AA10" s="343">
        <f>IF(AA9=1,6,15)</f>
        <v>15</v>
      </c>
    </row>
    <row r="11" spans="1:27">
      <c r="A11" s="347" t="s">
        <v>171</v>
      </c>
      <c r="B11" s="206">
        <f>B9/B10</f>
        <v>89242.18278497085</v>
      </c>
      <c r="C11" s="206">
        <f t="shared" ref="C11:U11" si="1">C9/C10</f>
        <v>88762.665067083028</v>
      </c>
      <c r="D11" s="206">
        <f t="shared" si="1"/>
        <v>88324.53723419155</v>
      </c>
      <c r="E11" s="206">
        <f t="shared" si="1"/>
        <v>61696.405684983947</v>
      </c>
      <c r="F11" s="206">
        <f t="shared" si="1"/>
        <v>65028.132020942139</v>
      </c>
      <c r="G11" s="206">
        <f t="shared" si="1"/>
        <v>65945.2193873551</v>
      </c>
      <c r="H11" s="206">
        <f t="shared" si="1"/>
        <v>66803.593390103735</v>
      </c>
      <c r="I11" s="206">
        <f t="shared" si="1"/>
        <v>67756.540393065326</v>
      </c>
      <c r="J11" s="206">
        <f t="shared" si="1"/>
        <v>68830.860389178517</v>
      </c>
      <c r="K11" s="206">
        <f t="shared" si="1"/>
        <v>69521.353622254261</v>
      </c>
      <c r="L11" s="206">
        <f t="shared" si="1"/>
        <v>70874.345986407352</v>
      </c>
      <c r="M11" s="206">
        <f t="shared" si="1"/>
        <v>72306.493512213798</v>
      </c>
      <c r="N11" s="206">
        <f t="shared" si="1"/>
        <v>73585.036137399016</v>
      </c>
      <c r="O11" s="206">
        <f t="shared" si="1"/>
        <v>74907.256732804119</v>
      </c>
      <c r="P11" s="206">
        <f t="shared" si="1"/>
        <v>76077.447234173349</v>
      </c>
      <c r="Q11" s="206">
        <f t="shared" si="1"/>
        <v>77279.524167671931</v>
      </c>
      <c r="R11" s="206">
        <f t="shared" si="1"/>
        <v>78252.467715633014</v>
      </c>
      <c r="S11" s="206">
        <f t="shared" si="1"/>
        <v>79249.206900102567</v>
      </c>
      <c r="T11" s="206">
        <f t="shared" si="1"/>
        <v>80264.40405242097</v>
      </c>
      <c r="U11" s="348">
        <f t="shared" si="1"/>
        <v>81242.85360438854</v>
      </c>
    </row>
    <row r="12" spans="1:27">
      <c r="A12" s="3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7">
      <c r="A13" s="3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7">
      <c r="A14" s="46"/>
      <c r="B14" s="333"/>
      <c r="C14" s="288"/>
      <c r="D14" s="288"/>
      <c r="E14" s="288"/>
    </row>
    <row r="15" spans="1:27">
      <c r="A15" s="46"/>
      <c r="B15" s="333"/>
      <c r="C15" s="349"/>
      <c r="D15" s="21"/>
      <c r="E15" s="335"/>
    </row>
    <row r="16" spans="1:27">
      <c r="A16" s="46"/>
      <c r="B16" s="333"/>
      <c r="D16" s="125"/>
    </row>
    <row r="17" spans="1:24">
      <c r="B17" s="6"/>
      <c r="C17" s="369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4">
      <c r="A18" s="41" t="s">
        <v>24</v>
      </c>
      <c r="B18" s="6"/>
      <c r="C18" s="369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4" ht="13.5">
      <c r="B19" s="350">
        <f>Assumptions!$B$19</f>
        <v>36892</v>
      </c>
      <c r="C19" s="350">
        <v>37257</v>
      </c>
      <c r="D19" s="350">
        <v>37622</v>
      </c>
      <c r="E19" s="350">
        <v>37987</v>
      </c>
      <c r="F19" s="350">
        <v>38353</v>
      </c>
      <c r="G19" s="350">
        <v>38718</v>
      </c>
      <c r="H19" s="350">
        <v>39083</v>
      </c>
      <c r="I19" s="350">
        <v>39448</v>
      </c>
      <c r="J19" s="350">
        <v>39814</v>
      </c>
      <c r="K19" s="350">
        <v>40179</v>
      </c>
      <c r="L19" s="350">
        <v>40544</v>
      </c>
      <c r="M19" s="350">
        <v>40909</v>
      </c>
      <c r="N19" s="350">
        <v>41275</v>
      </c>
      <c r="O19" s="350">
        <v>41640</v>
      </c>
      <c r="P19" s="350">
        <v>42005</v>
      </c>
      <c r="Q19" s="350">
        <v>42370</v>
      </c>
      <c r="R19" s="350">
        <v>42736</v>
      </c>
      <c r="S19" s="350">
        <v>43101</v>
      </c>
      <c r="T19" s="350">
        <v>43466</v>
      </c>
      <c r="U19" s="350">
        <v>43831</v>
      </c>
      <c r="W19" s="449" t="s">
        <v>232</v>
      </c>
      <c r="X19" s="449" t="s">
        <v>231</v>
      </c>
    </row>
    <row r="20" spans="1:24">
      <c r="A20" s="42" t="s">
        <v>106</v>
      </c>
      <c r="B20" s="58">
        <v>0</v>
      </c>
      <c r="C20" s="58">
        <f t="shared" ref="C20:U20" si="2">B34</f>
        <v>57114.634271736759</v>
      </c>
      <c r="D20" s="58">
        <f t="shared" si="2"/>
        <v>29568.649788183429</v>
      </c>
      <c r="E20" s="58">
        <f t="shared" si="2"/>
        <v>0</v>
      </c>
      <c r="F20" s="58">
        <f t="shared" si="2"/>
        <v>0</v>
      </c>
      <c r="G20" s="58">
        <f t="shared" si="2"/>
        <v>0</v>
      </c>
      <c r="H20" s="58">
        <f t="shared" si="2"/>
        <v>0</v>
      </c>
      <c r="I20" s="58">
        <f t="shared" si="2"/>
        <v>0</v>
      </c>
      <c r="J20" s="58">
        <f t="shared" si="2"/>
        <v>0</v>
      </c>
      <c r="K20" s="58">
        <f t="shared" si="2"/>
        <v>0</v>
      </c>
      <c r="L20" s="58">
        <f t="shared" si="2"/>
        <v>0</v>
      </c>
      <c r="M20" s="58">
        <f t="shared" si="2"/>
        <v>0</v>
      </c>
      <c r="N20" s="58">
        <f t="shared" si="2"/>
        <v>0</v>
      </c>
      <c r="O20" s="58">
        <f t="shared" si="2"/>
        <v>0</v>
      </c>
      <c r="P20" s="58">
        <f t="shared" si="2"/>
        <v>0</v>
      </c>
      <c r="Q20" s="58">
        <f t="shared" si="2"/>
        <v>0</v>
      </c>
      <c r="R20" s="58">
        <f t="shared" si="2"/>
        <v>0</v>
      </c>
      <c r="S20" s="58">
        <f t="shared" si="2"/>
        <v>0</v>
      </c>
      <c r="T20" s="58">
        <f t="shared" si="2"/>
        <v>0</v>
      </c>
      <c r="U20" s="58">
        <f t="shared" si="2"/>
        <v>0</v>
      </c>
      <c r="W20" s="450"/>
      <c r="X20" s="450"/>
    </row>
    <row r="21" spans="1:24">
      <c r="A21" s="42" t="s">
        <v>108</v>
      </c>
      <c r="B21" s="383">
        <v>0</v>
      </c>
      <c r="C21" s="155">
        <f t="shared" ref="C21:U21" si="3">C20*$E$95*(C19-B30)/365.25</f>
        <v>13.807589886911307</v>
      </c>
      <c r="D21" s="155">
        <f t="shared" si="3"/>
        <v>7.1482868618661097</v>
      </c>
      <c r="E21" s="155">
        <f t="shared" si="3"/>
        <v>0</v>
      </c>
      <c r="F21" s="155">
        <f t="shared" si="3"/>
        <v>0</v>
      </c>
      <c r="G21" s="155">
        <f t="shared" si="3"/>
        <v>0</v>
      </c>
      <c r="H21" s="155">
        <f t="shared" si="3"/>
        <v>0</v>
      </c>
      <c r="I21" s="155">
        <f t="shared" si="3"/>
        <v>0</v>
      </c>
      <c r="J21" s="155">
        <f t="shared" si="3"/>
        <v>0</v>
      </c>
      <c r="K21" s="155">
        <f t="shared" si="3"/>
        <v>0</v>
      </c>
      <c r="L21" s="155">
        <f t="shared" si="3"/>
        <v>0</v>
      </c>
      <c r="M21" s="155">
        <f t="shared" si="3"/>
        <v>0</v>
      </c>
      <c r="N21" s="155">
        <f t="shared" si="3"/>
        <v>0</v>
      </c>
      <c r="O21" s="155">
        <f t="shared" si="3"/>
        <v>0</v>
      </c>
      <c r="P21" s="155">
        <f t="shared" si="3"/>
        <v>0</v>
      </c>
      <c r="Q21" s="155">
        <f t="shared" si="3"/>
        <v>0</v>
      </c>
      <c r="R21" s="155">
        <f t="shared" si="3"/>
        <v>0</v>
      </c>
      <c r="S21" s="155">
        <f t="shared" si="3"/>
        <v>0</v>
      </c>
      <c r="T21" s="155">
        <f t="shared" si="3"/>
        <v>0</v>
      </c>
      <c r="U21" s="155">
        <f t="shared" si="3"/>
        <v>0</v>
      </c>
      <c r="W21" s="450"/>
      <c r="X21" s="450"/>
    </row>
    <row r="22" spans="1:24" ht="13.5">
      <c r="A22" s="42" t="s">
        <v>109</v>
      </c>
      <c r="B22" s="294">
        <v>82765.051649290515</v>
      </c>
      <c r="C22" s="61">
        <f>C20</f>
        <v>57114.634271736759</v>
      </c>
      <c r="D22" s="61">
        <f>D20</f>
        <v>29568.649788183429</v>
      </c>
      <c r="E22" s="61">
        <f>E20</f>
        <v>0</v>
      </c>
      <c r="F22" s="61">
        <f>F20</f>
        <v>0</v>
      </c>
      <c r="G22" s="61">
        <f>G20</f>
        <v>0</v>
      </c>
      <c r="H22" s="61">
        <f t="shared" ref="H22:U22" si="4">H20</f>
        <v>0</v>
      </c>
      <c r="I22" s="61">
        <f t="shared" si="4"/>
        <v>0</v>
      </c>
      <c r="J22" s="61">
        <f t="shared" si="4"/>
        <v>0</v>
      </c>
      <c r="K22" s="61">
        <f t="shared" si="4"/>
        <v>0</v>
      </c>
      <c r="L22" s="61">
        <f t="shared" si="4"/>
        <v>0</v>
      </c>
      <c r="M22" s="61">
        <f t="shared" si="4"/>
        <v>0</v>
      </c>
      <c r="N22" s="61">
        <f t="shared" si="4"/>
        <v>0</v>
      </c>
      <c r="O22" s="61">
        <f t="shared" si="4"/>
        <v>0</v>
      </c>
      <c r="P22" s="61">
        <f t="shared" si="4"/>
        <v>0</v>
      </c>
      <c r="Q22" s="61">
        <f t="shared" si="4"/>
        <v>0</v>
      </c>
      <c r="R22" s="61">
        <f t="shared" si="4"/>
        <v>0</v>
      </c>
      <c r="S22" s="61">
        <f t="shared" si="4"/>
        <v>0</v>
      </c>
      <c r="T22" s="61">
        <f t="shared" si="4"/>
        <v>0</v>
      </c>
      <c r="U22" s="61">
        <f t="shared" si="4"/>
        <v>0</v>
      </c>
      <c r="W22" s="451">
        <f>SUM(B26:U26,B32:U32)</f>
        <v>82765.051649290515</v>
      </c>
      <c r="X22" s="452">
        <f>B22-W22</f>
        <v>0</v>
      </c>
    </row>
    <row r="23" spans="1:24">
      <c r="B23" s="371"/>
      <c r="C23" s="369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W23" s="450"/>
      <c r="X23" s="450"/>
    </row>
    <row r="24" spans="1:24">
      <c r="A24" s="46"/>
      <c r="B24" s="350">
        <v>37072</v>
      </c>
      <c r="C24" s="350">
        <v>37437</v>
      </c>
      <c r="D24" s="350">
        <v>37802</v>
      </c>
      <c r="E24" s="350">
        <v>38168</v>
      </c>
      <c r="F24" s="350">
        <v>38533</v>
      </c>
      <c r="G24" s="350">
        <v>38898</v>
      </c>
      <c r="H24" s="350">
        <v>39263</v>
      </c>
      <c r="I24" s="350">
        <v>39629</v>
      </c>
      <c r="J24" s="350">
        <v>39994</v>
      </c>
      <c r="K24" s="350">
        <v>40359</v>
      </c>
      <c r="L24" s="350">
        <v>40724</v>
      </c>
      <c r="M24" s="350">
        <v>41090</v>
      </c>
      <c r="N24" s="350">
        <v>41455</v>
      </c>
      <c r="O24" s="350">
        <v>41820</v>
      </c>
      <c r="P24" s="350">
        <v>42185</v>
      </c>
      <c r="Q24" s="350">
        <v>42551</v>
      </c>
      <c r="R24" s="350">
        <v>42916</v>
      </c>
      <c r="S24" s="350">
        <v>43281</v>
      </c>
      <c r="T24" s="350">
        <v>43646</v>
      </c>
      <c r="U24" s="350">
        <v>44012</v>
      </c>
      <c r="W24" s="450"/>
      <c r="X24" s="450"/>
    </row>
    <row r="25" spans="1:24">
      <c r="A25" s="42" t="s">
        <v>106</v>
      </c>
      <c r="B25" s="58">
        <f t="shared" ref="B25:G25" si="5">B22</f>
        <v>82765.051649290515</v>
      </c>
      <c r="C25" s="58">
        <f t="shared" si="5"/>
        <v>57114.634271736759</v>
      </c>
      <c r="D25" s="58">
        <f t="shared" si="5"/>
        <v>29568.649788183429</v>
      </c>
      <c r="E25" s="58">
        <f t="shared" si="5"/>
        <v>0</v>
      </c>
      <c r="F25" s="58">
        <f t="shared" si="5"/>
        <v>0</v>
      </c>
      <c r="G25" s="58">
        <f t="shared" si="5"/>
        <v>0</v>
      </c>
      <c r="H25" s="58">
        <f t="shared" ref="H25:U25" si="6">H22</f>
        <v>0</v>
      </c>
      <c r="I25" s="58">
        <f t="shared" si="6"/>
        <v>0</v>
      </c>
      <c r="J25" s="58">
        <f t="shared" si="6"/>
        <v>0</v>
      </c>
      <c r="K25" s="58">
        <f t="shared" si="6"/>
        <v>0</v>
      </c>
      <c r="L25" s="58">
        <f t="shared" si="6"/>
        <v>0</v>
      </c>
      <c r="M25" s="58">
        <f t="shared" si="6"/>
        <v>0</v>
      </c>
      <c r="N25" s="58">
        <f t="shared" si="6"/>
        <v>0</v>
      </c>
      <c r="O25" s="58">
        <f t="shared" si="6"/>
        <v>0</v>
      </c>
      <c r="P25" s="58">
        <f t="shared" si="6"/>
        <v>0</v>
      </c>
      <c r="Q25" s="58">
        <f t="shared" si="6"/>
        <v>0</v>
      </c>
      <c r="R25" s="58">
        <f t="shared" si="6"/>
        <v>0</v>
      </c>
      <c r="S25" s="58">
        <f t="shared" si="6"/>
        <v>0</v>
      </c>
      <c r="T25" s="58">
        <f t="shared" si="6"/>
        <v>0</v>
      </c>
      <c r="U25" s="58">
        <f t="shared" si="6"/>
        <v>0</v>
      </c>
      <c r="W25" s="450"/>
      <c r="X25" s="450"/>
    </row>
    <row r="26" spans="1:24">
      <c r="A26" s="42" t="s">
        <v>107</v>
      </c>
      <c r="B26" s="293">
        <f t="shared" ref="B26:U26" si="7">MAX(B25-B28,0)</f>
        <v>12411.264283350043</v>
      </c>
      <c r="C26" s="293">
        <f t="shared" si="7"/>
        <v>13364.979498929904</v>
      </c>
      <c r="D26" s="293">
        <f t="shared" si="7"/>
        <v>14353.198664044583</v>
      </c>
      <c r="E26" s="293">
        <f t="shared" si="7"/>
        <v>0</v>
      </c>
      <c r="F26" s="293">
        <f t="shared" si="7"/>
        <v>0</v>
      </c>
      <c r="G26" s="293">
        <f t="shared" si="7"/>
        <v>0</v>
      </c>
      <c r="H26" s="293">
        <f t="shared" si="7"/>
        <v>0</v>
      </c>
      <c r="I26" s="293">
        <f t="shared" si="7"/>
        <v>0</v>
      </c>
      <c r="J26" s="293">
        <f t="shared" si="7"/>
        <v>0</v>
      </c>
      <c r="K26" s="293">
        <f t="shared" si="7"/>
        <v>0</v>
      </c>
      <c r="L26" s="293">
        <f t="shared" si="7"/>
        <v>0</v>
      </c>
      <c r="M26" s="293">
        <f t="shared" si="7"/>
        <v>0</v>
      </c>
      <c r="N26" s="293">
        <f t="shared" si="7"/>
        <v>0</v>
      </c>
      <c r="O26" s="293">
        <f t="shared" si="7"/>
        <v>0</v>
      </c>
      <c r="P26" s="293">
        <f t="shared" si="7"/>
        <v>0</v>
      </c>
      <c r="Q26" s="293">
        <f t="shared" si="7"/>
        <v>0</v>
      </c>
      <c r="R26" s="293">
        <f t="shared" si="7"/>
        <v>0</v>
      </c>
      <c r="S26" s="293">
        <f t="shared" si="7"/>
        <v>0</v>
      </c>
      <c r="T26" s="293">
        <f t="shared" si="7"/>
        <v>0</v>
      </c>
      <c r="U26" s="293">
        <f t="shared" si="7"/>
        <v>0</v>
      </c>
      <c r="W26" s="450"/>
      <c r="X26" s="450"/>
    </row>
    <row r="27" spans="1:24">
      <c r="A27" s="42" t="s">
        <v>108</v>
      </c>
      <c r="B27" s="155">
        <f t="shared" ref="B27:G27" si="8">B25*$E$95*(B24-B19)/365.25</f>
        <v>3601.5543625292903</v>
      </c>
      <c r="C27" s="155">
        <f t="shared" si="8"/>
        <v>2485.3661796440351</v>
      </c>
      <c r="D27" s="155">
        <f t="shared" si="8"/>
        <v>1286.6916351358998</v>
      </c>
      <c r="E27" s="155">
        <f t="shared" si="8"/>
        <v>0</v>
      </c>
      <c r="F27" s="155">
        <f t="shared" si="8"/>
        <v>0</v>
      </c>
      <c r="G27" s="155">
        <f t="shared" si="8"/>
        <v>0</v>
      </c>
      <c r="H27" s="155">
        <f t="shared" ref="H27:U27" si="9">H25*$E$95*(H24-H19)/365.25</f>
        <v>0</v>
      </c>
      <c r="I27" s="155">
        <f t="shared" si="9"/>
        <v>0</v>
      </c>
      <c r="J27" s="155">
        <f t="shared" si="9"/>
        <v>0</v>
      </c>
      <c r="K27" s="155">
        <f t="shared" si="9"/>
        <v>0</v>
      </c>
      <c r="L27" s="155">
        <f t="shared" si="9"/>
        <v>0</v>
      </c>
      <c r="M27" s="155">
        <f t="shared" si="9"/>
        <v>0</v>
      </c>
      <c r="N27" s="155">
        <f t="shared" si="9"/>
        <v>0</v>
      </c>
      <c r="O27" s="155">
        <f t="shared" si="9"/>
        <v>0</v>
      </c>
      <c r="P27" s="155">
        <f t="shared" si="9"/>
        <v>0</v>
      </c>
      <c r="Q27" s="155">
        <f t="shared" si="9"/>
        <v>0</v>
      </c>
      <c r="R27" s="155">
        <f t="shared" si="9"/>
        <v>0</v>
      </c>
      <c r="S27" s="155">
        <f t="shared" si="9"/>
        <v>0</v>
      </c>
      <c r="T27" s="155">
        <f t="shared" si="9"/>
        <v>0</v>
      </c>
      <c r="U27" s="155">
        <f t="shared" si="9"/>
        <v>0</v>
      </c>
      <c r="W27" s="450"/>
      <c r="X27" s="450"/>
    </row>
    <row r="28" spans="1:24">
      <c r="A28" s="42" t="s">
        <v>109</v>
      </c>
      <c r="B28" s="61">
        <f>MAX(0,B25+B21+B27+B39+B45+B57+B63-B11*(B24-B19)/365.25)</f>
        <v>70353.787365940472</v>
      </c>
      <c r="C28" s="61">
        <f t="shared" ref="C28:U28" si="10">MAX(0,C25+C21+C27+C39+C45+C57+C63-C11*(C24-B30)/365.25)</f>
        <v>43749.654772806854</v>
      </c>
      <c r="D28" s="61">
        <f t="shared" si="10"/>
        <v>15215.451124138846</v>
      </c>
      <c r="E28" s="61">
        <f t="shared" si="10"/>
        <v>0</v>
      </c>
      <c r="F28" s="61">
        <f t="shared" si="10"/>
        <v>0</v>
      </c>
      <c r="G28" s="61">
        <f t="shared" si="10"/>
        <v>0</v>
      </c>
      <c r="H28" s="61">
        <f t="shared" si="10"/>
        <v>0</v>
      </c>
      <c r="I28" s="61">
        <f t="shared" si="10"/>
        <v>0</v>
      </c>
      <c r="J28" s="61">
        <f t="shared" si="10"/>
        <v>0</v>
      </c>
      <c r="K28" s="61">
        <f t="shared" si="10"/>
        <v>0</v>
      </c>
      <c r="L28" s="61">
        <f t="shared" si="10"/>
        <v>0</v>
      </c>
      <c r="M28" s="61">
        <f t="shared" si="10"/>
        <v>0</v>
      </c>
      <c r="N28" s="61">
        <f t="shared" si="10"/>
        <v>0</v>
      </c>
      <c r="O28" s="61">
        <f t="shared" si="10"/>
        <v>0</v>
      </c>
      <c r="P28" s="61">
        <f t="shared" si="10"/>
        <v>0</v>
      </c>
      <c r="Q28" s="61">
        <f t="shared" si="10"/>
        <v>0</v>
      </c>
      <c r="R28" s="61">
        <f t="shared" si="10"/>
        <v>0</v>
      </c>
      <c r="S28" s="61">
        <f t="shared" si="10"/>
        <v>0</v>
      </c>
      <c r="T28" s="61">
        <f t="shared" si="10"/>
        <v>0</v>
      </c>
      <c r="U28" s="61">
        <f t="shared" si="10"/>
        <v>0</v>
      </c>
      <c r="W28" s="450"/>
      <c r="X28" s="450"/>
    </row>
    <row r="29" spans="1:24">
      <c r="A29" s="42"/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W29" s="450"/>
      <c r="X29" s="450"/>
    </row>
    <row r="30" spans="1:24">
      <c r="A30" s="46"/>
      <c r="B30" s="350">
        <v>37256</v>
      </c>
      <c r="C30" s="350">
        <v>37621</v>
      </c>
      <c r="D30" s="350">
        <v>37986</v>
      </c>
      <c r="E30" s="350">
        <v>38352</v>
      </c>
      <c r="F30" s="350">
        <v>38717</v>
      </c>
      <c r="G30" s="350">
        <v>39082</v>
      </c>
      <c r="H30" s="350">
        <v>39447</v>
      </c>
      <c r="I30" s="350">
        <v>39813</v>
      </c>
      <c r="J30" s="350">
        <v>40178</v>
      </c>
      <c r="K30" s="350">
        <v>40543</v>
      </c>
      <c r="L30" s="350">
        <v>40908</v>
      </c>
      <c r="M30" s="350">
        <v>41274</v>
      </c>
      <c r="N30" s="350">
        <v>41639</v>
      </c>
      <c r="O30" s="350">
        <v>42004</v>
      </c>
      <c r="P30" s="350">
        <v>42369</v>
      </c>
      <c r="Q30" s="350">
        <v>42735</v>
      </c>
      <c r="R30" s="350">
        <v>43100</v>
      </c>
      <c r="S30" s="350">
        <v>43465</v>
      </c>
      <c r="T30" s="350">
        <v>43830</v>
      </c>
      <c r="U30" s="350">
        <v>44196</v>
      </c>
      <c r="W30" s="450"/>
      <c r="X30" s="450"/>
    </row>
    <row r="31" spans="1:24">
      <c r="A31" s="42" t="s">
        <v>106</v>
      </c>
      <c r="B31" s="58">
        <f t="shared" ref="B31:G31" si="11">B28</f>
        <v>70353.787365940472</v>
      </c>
      <c r="C31" s="58">
        <f t="shared" si="11"/>
        <v>43749.654772806854</v>
      </c>
      <c r="D31" s="58">
        <f t="shared" si="11"/>
        <v>15215.451124138846</v>
      </c>
      <c r="E31" s="58">
        <f t="shared" si="11"/>
        <v>0</v>
      </c>
      <c r="F31" s="58">
        <f t="shared" si="11"/>
        <v>0</v>
      </c>
      <c r="G31" s="58">
        <f t="shared" si="11"/>
        <v>0</v>
      </c>
      <c r="H31" s="58">
        <f t="shared" ref="H31:U31" si="12">H28</f>
        <v>0</v>
      </c>
      <c r="I31" s="58">
        <f t="shared" si="12"/>
        <v>0</v>
      </c>
      <c r="J31" s="58">
        <f t="shared" si="12"/>
        <v>0</v>
      </c>
      <c r="K31" s="58">
        <f t="shared" si="12"/>
        <v>0</v>
      </c>
      <c r="L31" s="58">
        <f t="shared" si="12"/>
        <v>0</v>
      </c>
      <c r="M31" s="58">
        <f t="shared" si="12"/>
        <v>0</v>
      </c>
      <c r="N31" s="58">
        <f t="shared" si="12"/>
        <v>0</v>
      </c>
      <c r="O31" s="58">
        <f t="shared" si="12"/>
        <v>0</v>
      </c>
      <c r="P31" s="58">
        <f t="shared" si="12"/>
        <v>0</v>
      </c>
      <c r="Q31" s="58">
        <f t="shared" si="12"/>
        <v>0</v>
      </c>
      <c r="R31" s="58">
        <f t="shared" si="12"/>
        <v>0</v>
      </c>
      <c r="S31" s="58">
        <f t="shared" si="12"/>
        <v>0</v>
      </c>
      <c r="T31" s="58">
        <f t="shared" si="12"/>
        <v>0</v>
      </c>
      <c r="U31" s="58">
        <f t="shared" si="12"/>
        <v>0</v>
      </c>
      <c r="W31" s="450"/>
      <c r="X31" s="450"/>
    </row>
    <row r="32" spans="1:24">
      <c r="A32" s="42" t="s">
        <v>107</v>
      </c>
      <c r="B32" s="293">
        <f t="shared" ref="B32:U32" si="13">MAX(B31-B34,0)</f>
        <v>13239.153094203713</v>
      </c>
      <c r="C32" s="293">
        <f t="shared" si="13"/>
        <v>14181.004984623425</v>
      </c>
      <c r="D32" s="293">
        <f t="shared" si="13"/>
        <v>15215.451124138846</v>
      </c>
      <c r="E32" s="293">
        <f t="shared" si="13"/>
        <v>0</v>
      </c>
      <c r="F32" s="293">
        <f t="shared" si="13"/>
        <v>0</v>
      </c>
      <c r="G32" s="293">
        <f t="shared" si="13"/>
        <v>0</v>
      </c>
      <c r="H32" s="293">
        <f t="shared" si="13"/>
        <v>0</v>
      </c>
      <c r="I32" s="293">
        <f t="shared" si="13"/>
        <v>0</v>
      </c>
      <c r="J32" s="293">
        <f t="shared" si="13"/>
        <v>0</v>
      </c>
      <c r="K32" s="293">
        <f t="shared" si="13"/>
        <v>0</v>
      </c>
      <c r="L32" s="293">
        <f t="shared" si="13"/>
        <v>0</v>
      </c>
      <c r="M32" s="293">
        <f t="shared" si="13"/>
        <v>0</v>
      </c>
      <c r="N32" s="293">
        <f t="shared" si="13"/>
        <v>0</v>
      </c>
      <c r="O32" s="293">
        <f t="shared" si="13"/>
        <v>0</v>
      </c>
      <c r="P32" s="293">
        <f t="shared" si="13"/>
        <v>0</v>
      </c>
      <c r="Q32" s="293">
        <f t="shared" si="13"/>
        <v>0</v>
      </c>
      <c r="R32" s="293">
        <f t="shared" si="13"/>
        <v>0</v>
      </c>
      <c r="S32" s="293">
        <f t="shared" si="13"/>
        <v>0</v>
      </c>
      <c r="T32" s="293">
        <f t="shared" si="13"/>
        <v>0</v>
      </c>
      <c r="U32" s="293">
        <f t="shared" si="13"/>
        <v>0</v>
      </c>
      <c r="W32" s="450"/>
      <c r="X32" s="450"/>
    </row>
    <row r="33" spans="1:25">
      <c r="A33" s="42" t="s">
        <v>108</v>
      </c>
      <c r="B33" s="155">
        <f t="shared" ref="B33:G33" si="14">B31*$E$95*(B30-B24)/365.25</f>
        <v>3129.5059660284951</v>
      </c>
      <c r="C33" s="155">
        <f t="shared" si="14"/>
        <v>1946.0900507179945</v>
      </c>
      <c r="D33" s="155">
        <f t="shared" si="14"/>
        <v>676.81992472035211</v>
      </c>
      <c r="E33" s="155">
        <f t="shared" si="14"/>
        <v>0</v>
      </c>
      <c r="F33" s="155">
        <f t="shared" si="14"/>
        <v>0</v>
      </c>
      <c r="G33" s="155">
        <f t="shared" si="14"/>
        <v>0</v>
      </c>
      <c r="H33" s="155">
        <f t="shared" ref="H33:U33" si="15">H31*$E$95*(H30-H24)/365.25</f>
        <v>0</v>
      </c>
      <c r="I33" s="155">
        <f t="shared" si="15"/>
        <v>0</v>
      </c>
      <c r="J33" s="155">
        <f t="shared" si="15"/>
        <v>0</v>
      </c>
      <c r="K33" s="155">
        <f t="shared" si="15"/>
        <v>0</v>
      </c>
      <c r="L33" s="155">
        <f t="shared" si="15"/>
        <v>0</v>
      </c>
      <c r="M33" s="155">
        <f t="shared" si="15"/>
        <v>0</v>
      </c>
      <c r="N33" s="155">
        <f t="shared" si="15"/>
        <v>0</v>
      </c>
      <c r="O33" s="155">
        <f t="shared" si="15"/>
        <v>0</v>
      </c>
      <c r="P33" s="155">
        <f t="shared" si="15"/>
        <v>0</v>
      </c>
      <c r="Q33" s="155">
        <f t="shared" si="15"/>
        <v>0</v>
      </c>
      <c r="R33" s="155">
        <f t="shared" si="15"/>
        <v>0</v>
      </c>
      <c r="S33" s="155">
        <f t="shared" si="15"/>
        <v>0</v>
      </c>
      <c r="T33" s="155">
        <f t="shared" si="15"/>
        <v>0</v>
      </c>
      <c r="U33" s="155">
        <f t="shared" si="15"/>
        <v>0</v>
      </c>
      <c r="W33" s="450"/>
      <c r="X33" s="450"/>
    </row>
    <row r="34" spans="1:25">
      <c r="A34" s="42" t="s">
        <v>109</v>
      </c>
      <c r="B34" s="61">
        <f t="shared" ref="B34:U34" si="16">MAX(0,B31+B33+B51+B69-B11*(B30-B24)/365.25)</f>
        <v>57114.634271736759</v>
      </c>
      <c r="C34" s="61">
        <f t="shared" si="16"/>
        <v>29568.649788183429</v>
      </c>
      <c r="D34" s="376">
        <f t="shared" si="16"/>
        <v>0</v>
      </c>
      <c r="E34" s="61">
        <f t="shared" si="16"/>
        <v>0</v>
      </c>
      <c r="F34" s="61">
        <f t="shared" si="16"/>
        <v>0</v>
      </c>
      <c r="G34" s="61">
        <f t="shared" si="16"/>
        <v>0</v>
      </c>
      <c r="H34" s="61">
        <f t="shared" si="16"/>
        <v>0</v>
      </c>
      <c r="I34" s="61">
        <f t="shared" si="16"/>
        <v>0</v>
      </c>
      <c r="J34" s="61">
        <f t="shared" si="16"/>
        <v>0</v>
      </c>
      <c r="K34" s="61">
        <f t="shared" si="16"/>
        <v>0</v>
      </c>
      <c r="L34" s="61">
        <f t="shared" si="16"/>
        <v>0</v>
      </c>
      <c r="M34" s="61">
        <f t="shared" si="16"/>
        <v>0</v>
      </c>
      <c r="N34" s="61">
        <f t="shared" si="16"/>
        <v>0</v>
      </c>
      <c r="O34" s="61">
        <f t="shared" si="16"/>
        <v>0</v>
      </c>
      <c r="P34" s="61">
        <f t="shared" si="16"/>
        <v>0</v>
      </c>
      <c r="Q34" s="61">
        <f t="shared" si="16"/>
        <v>0</v>
      </c>
      <c r="R34" s="61">
        <f t="shared" si="16"/>
        <v>0</v>
      </c>
      <c r="S34" s="61">
        <f t="shared" si="16"/>
        <v>0</v>
      </c>
      <c r="T34" s="61">
        <f t="shared" si="16"/>
        <v>0</v>
      </c>
      <c r="U34" s="61">
        <f t="shared" si="16"/>
        <v>0</v>
      </c>
      <c r="W34" s="450"/>
      <c r="X34" s="450"/>
    </row>
    <row r="35" spans="1:25">
      <c r="A35" s="42"/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W35" s="450"/>
      <c r="X35" s="450"/>
    </row>
    <row r="36" spans="1:25">
      <c r="A36" s="41" t="s">
        <v>25</v>
      </c>
      <c r="B36" s="6"/>
      <c r="C36" s="369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W36" s="450"/>
      <c r="X36" s="450"/>
    </row>
    <row r="37" spans="1:25">
      <c r="B37" s="350">
        <f>Assumptions!$B$19</f>
        <v>36892</v>
      </c>
      <c r="C37" s="350">
        <v>37257</v>
      </c>
      <c r="D37" s="350">
        <v>37622</v>
      </c>
      <c r="E37" s="350">
        <v>37987</v>
      </c>
      <c r="F37" s="350">
        <v>38353</v>
      </c>
      <c r="G37" s="350">
        <v>38718</v>
      </c>
      <c r="H37" s="350">
        <v>39083</v>
      </c>
      <c r="I37" s="350">
        <v>39448</v>
      </c>
      <c r="J37" s="350">
        <v>39814</v>
      </c>
      <c r="K37" s="350">
        <v>40179</v>
      </c>
      <c r="L37" s="350">
        <v>40544</v>
      </c>
      <c r="M37" s="350">
        <v>40909</v>
      </c>
      <c r="N37" s="350">
        <v>41275</v>
      </c>
      <c r="O37" s="350">
        <v>41640</v>
      </c>
      <c r="P37" s="350">
        <v>42005</v>
      </c>
      <c r="Q37" s="350">
        <v>42370</v>
      </c>
      <c r="R37" s="350">
        <v>42736</v>
      </c>
      <c r="S37" s="350">
        <v>43101</v>
      </c>
      <c r="T37" s="350">
        <v>43466</v>
      </c>
      <c r="U37" s="350">
        <v>43831</v>
      </c>
      <c r="W37" s="450"/>
      <c r="X37" s="450"/>
    </row>
    <row r="38" spans="1:25">
      <c r="A38" s="42" t="s">
        <v>106</v>
      </c>
      <c r="B38" s="58">
        <v>0</v>
      </c>
      <c r="C38" s="58">
        <f t="shared" ref="C38:U38" si="17">B52</f>
        <v>90939.291151374055</v>
      </c>
      <c r="D38" s="58">
        <f t="shared" si="17"/>
        <v>90939.291151374055</v>
      </c>
      <c r="E38" s="58">
        <f t="shared" si="17"/>
        <v>90939.291151374055</v>
      </c>
      <c r="F38" s="58">
        <f t="shared" si="17"/>
        <v>85858.800344987103</v>
      </c>
      <c r="G38" s="58">
        <f t="shared" si="17"/>
        <v>76863.224823253011</v>
      </c>
      <c r="H38" s="58">
        <f t="shared" si="17"/>
        <v>66012.696587463273</v>
      </c>
      <c r="I38" s="58">
        <f t="shared" si="17"/>
        <v>53178.514328335441</v>
      </c>
      <c r="J38" s="58">
        <f t="shared" si="17"/>
        <v>38019.454471142555</v>
      </c>
      <c r="K38" s="58">
        <f t="shared" si="17"/>
        <v>20259.417285650095</v>
      </c>
      <c r="L38" s="58">
        <f t="shared" si="17"/>
        <v>0</v>
      </c>
      <c r="M38" s="58">
        <f t="shared" si="17"/>
        <v>0</v>
      </c>
      <c r="N38" s="58">
        <f t="shared" si="17"/>
        <v>0</v>
      </c>
      <c r="O38" s="58">
        <f t="shared" si="17"/>
        <v>0</v>
      </c>
      <c r="P38" s="58">
        <f t="shared" si="17"/>
        <v>0</v>
      </c>
      <c r="Q38" s="58">
        <f t="shared" si="17"/>
        <v>0</v>
      </c>
      <c r="R38" s="58">
        <f t="shared" si="17"/>
        <v>0</v>
      </c>
      <c r="S38" s="58">
        <f t="shared" si="17"/>
        <v>0</v>
      </c>
      <c r="T38" s="58">
        <f t="shared" si="17"/>
        <v>0</v>
      </c>
      <c r="U38" s="58">
        <f t="shared" si="17"/>
        <v>0</v>
      </c>
      <c r="W38" s="450"/>
      <c r="X38" s="450"/>
    </row>
    <row r="39" spans="1:25">
      <c r="A39" s="42" t="s">
        <v>108</v>
      </c>
      <c r="B39" s="383">
        <v>0</v>
      </c>
      <c r="C39" s="155">
        <f t="shared" ref="C39:K39" si="18">C38*$J$95*(C37-B48)/365.25</f>
        <v>24.748434060086463</v>
      </c>
      <c r="D39" s="155">
        <f t="shared" si="18"/>
        <v>24.748434060086463</v>
      </c>
      <c r="E39" s="155">
        <f t="shared" si="18"/>
        <v>24.748434060086463</v>
      </c>
      <c r="F39" s="155">
        <f t="shared" si="18"/>
        <v>23.365817260210044</v>
      </c>
      <c r="G39" s="155">
        <f t="shared" si="18"/>
        <v>20.91774003403518</v>
      </c>
      <c r="H39" s="155">
        <f t="shared" si="18"/>
        <v>17.964851583282272</v>
      </c>
      <c r="I39" s="155">
        <f t="shared" si="18"/>
        <v>14.472126828847482</v>
      </c>
      <c r="J39" s="155">
        <f t="shared" si="18"/>
        <v>10.346704379004983</v>
      </c>
      <c r="K39" s="155">
        <f t="shared" si="18"/>
        <v>5.5134457992980686</v>
      </c>
      <c r="L39" s="155">
        <f t="shared" ref="L39:U39" si="19">L38*$J$95*(L37-K48)/365.25</f>
        <v>0</v>
      </c>
      <c r="M39" s="155">
        <f t="shared" si="19"/>
        <v>0</v>
      </c>
      <c r="N39" s="155">
        <f t="shared" si="19"/>
        <v>0</v>
      </c>
      <c r="O39" s="155">
        <f t="shared" si="19"/>
        <v>0</v>
      </c>
      <c r="P39" s="155">
        <f t="shared" si="19"/>
        <v>0</v>
      </c>
      <c r="Q39" s="155">
        <f t="shared" si="19"/>
        <v>0</v>
      </c>
      <c r="R39" s="155">
        <f t="shared" si="19"/>
        <v>0</v>
      </c>
      <c r="S39" s="155">
        <f t="shared" si="19"/>
        <v>0</v>
      </c>
      <c r="T39" s="155">
        <f t="shared" si="19"/>
        <v>0</v>
      </c>
      <c r="U39" s="155">
        <f t="shared" si="19"/>
        <v>0</v>
      </c>
      <c r="V39" s="6"/>
      <c r="W39" s="453"/>
      <c r="X39" s="453"/>
      <c r="Y39" s="6"/>
    </row>
    <row r="40" spans="1:25" ht="13.5">
      <c r="A40" s="42" t="s">
        <v>109</v>
      </c>
      <c r="B40" s="294">
        <v>90939.291151374055</v>
      </c>
      <c r="C40" s="61">
        <f t="shared" ref="C40:K40" si="20">C38</f>
        <v>90939.291151374055</v>
      </c>
      <c r="D40" s="61">
        <f t="shared" si="20"/>
        <v>90939.291151374055</v>
      </c>
      <c r="E40" s="61">
        <f t="shared" si="20"/>
        <v>90939.291151374055</v>
      </c>
      <c r="F40" s="61">
        <f t="shared" si="20"/>
        <v>85858.800344987103</v>
      </c>
      <c r="G40" s="61">
        <f t="shared" si="20"/>
        <v>76863.224823253011</v>
      </c>
      <c r="H40" s="61">
        <f t="shared" si="20"/>
        <v>66012.696587463273</v>
      </c>
      <c r="I40" s="61">
        <f t="shared" si="20"/>
        <v>53178.514328335441</v>
      </c>
      <c r="J40" s="61">
        <f t="shared" si="20"/>
        <v>38019.454471142555</v>
      </c>
      <c r="K40" s="61">
        <f t="shared" si="20"/>
        <v>20259.417285650095</v>
      </c>
      <c r="L40" s="61">
        <f t="shared" ref="L40:U40" si="21">L38</f>
        <v>0</v>
      </c>
      <c r="M40" s="61">
        <f t="shared" si="21"/>
        <v>0</v>
      </c>
      <c r="N40" s="61">
        <f t="shared" si="21"/>
        <v>0</v>
      </c>
      <c r="O40" s="61">
        <f t="shared" si="21"/>
        <v>0</v>
      </c>
      <c r="P40" s="61">
        <f t="shared" si="21"/>
        <v>0</v>
      </c>
      <c r="Q40" s="61">
        <f t="shared" si="21"/>
        <v>0</v>
      </c>
      <c r="R40" s="61">
        <f t="shared" si="21"/>
        <v>0</v>
      </c>
      <c r="S40" s="61">
        <f t="shared" si="21"/>
        <v>0</v>
      </c>
      <c r="T40" s="61">
        <f t="shared" si="21"/>
        <v>0</v>
      </c>
      <c r="U40" s="61">
        <f t="shared" si="21"/>
        <v>0</v>
      </c>
      <c r="V40" s="6"/>
      <c r="W40" s="451">
        <f>SUM(B44:U44,B50:U50)</f>
        <v>90939.291151374055</v>
      </c>
      <c r="X40" s="452">
        <f>B40-W40</f>
        <v>0</v>
      </c>
      <c r="Y40" s="6"/>
    </row>
    <row r="41" spans="1:25">
      <c r="B41" s="371"/>
      <c r="C41" s="369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453"/>
      <c r="X41" s="453"/>
      <c r="Y41" s="6"/>
    </row>
    <row r="42" spans="1:25">
      <c r="A42" s="46"/>
      <c r="B42" s="350">
        <v>37072</v>
      </c>
      <c r="C42" s="350">
        <v>37437</v>
      </c>
      <c r="D42" s="350">
        <v>37802</v>
      </c>
      <c r="E42" s="350">
        <v>38168</v>
      </c>
      <c r="F42" s="350">
        <v>38533</v>
      </c>
      <c r="G42" s="350">
        <v>38898</v>
      </c>
      <c r="H42" s="350">
        <v>39263</v>
      </c>
      <c r="I42" s="350">
        <v>39629</v>
      </c>
      <c r="J42" s="350">
        <v>39994</v>
      </c>
      <c r="K42" s="350">
        <v>40359</v>
      </c>
      <c r="L42" s="350">
        <v>40724</v>
      </c>
      <c r="M42" s="350">
        <v>41090</v>
      </c>
      <c r="N42" s="350">
        <v>41455</v>
      </c>
      <c r="O42" s="350">
        <v>41820</v>
      </c>
      <c r="P42" s="350">
        <v>42185</v>
      </c>
      <c r="Q42" s="350">
        <v>42551</v>
      </c>
      <c r="R42" s="350">
        <v>42916</v>
      </c>
      <c r="S42" s="350">
        <v>43281</v>
      </c>
      <c r="T42" s="350">
        <v>43646</v>
      </c>
      <c r="U42" s="350">
        <v>44012</v>
      </c>
      <c r="V42" s="6"/>
      <c r="W42" s="453"/>
      <c r="X42" s="453"/>
      <c r="Y42" s="6"/>
    </row>
    <row r="43" spans="1:25">
      <c r="A43" s="42" t="s">
        <v>106</v>
      </c>
      <c r="B43" s="58">
        <f t="shared" ref="B43:K43" si="22">B40</f>
        <v>90939.291151374055</v>
      </c>
      <c r="C43" s="58">
        <f t="shared" si="22"/>
        <v>90939.291151374055</v>
      </c>
      <c r="D43" s="58">
        <f t="shared" si="22"/>
        <v>90939.291151374055</v>
      </c>
      <c r="E43" s="58">
        <f t="shared" si="22"/>
        <v>90939.291151374055</v>
      </c>
      <c r="F43" s="58">
        <f t="shared" si="22"/>
        <v>85858.800344987103</v>
      </c>
      <c r="G43" s="58">
        <f t="shared" si="22"/>
        <v>76863.224823253011</v>
      </c>
      <c r="H43" s="58">
        <f t="shared" si="22"/>
        <v>66012.696587463273</v>
      </c>
      <c r="I43" s="58">
        <f t="shared" si="22"/>
        <v>53178.514328335441</v>
      </c>
      <c r="J43" s="58">
        <f t="shared" si="22"/>
        <v>38019.454471142555</v>
      </c>
      <c r="K43" s="58">
        <f t="shared" si="22"/>
        <v>20259.417285650095</v>
      </c>
      <c r="L43" s="58">
        <f t="shared" ref="L43:U43" si="23">L40</f>
        <v>0</v>
      </c>
      <c r="M43" s="58">
        <f t="shared" si="23"/>
        <v>0</v>
      </c>
      <c r="N43" s="58">
        <f t="shared" si="23"/>
        <v>0</v>
      </c>
      <c r="O43" s="58">
        <f t="shared" si="23"/>
        <v>0</v>
      </c>
      <c r="P43" s="58">
        <f t="shared" si="23"/>
        <v>0</v>
      </c>
      <c r="Q43" s="58">
        <f t="shared" si="23"/>
        <v>0</v>
      </c>
      <c r="R43" s="58">
        <f t="shared" si="23"/>
        <v>0</v>
      </c>
      <c r="S43" s="58">
        <f t="shared" si="23"/>
        <v>0</v>
      </c>
      <c r="T43" s="58">
        <f t="shared" si="23"/>
        <v>0</v>
      </c>
      <c r="U43" s="58">
        <f t="shared" si="23"/>
        <v>0</v>
      </c>
      <c r="V43" s="6"/>
      <c r="W43" s="453"/>
      <c r="X43" s="453"/>
      <c r="Y43" s="6"/>
    </row>
    <row r="44" spans="1:25">
      <c r="A44" s="42" t="s">
        <v>107</v>
      </c>
      <c r="B44" s="58">
        <v>0</v>
      </c>
      <c r="C44" s="58">
        <v>0</v>
      </c>
      <c r="D44" s="58">
        <v>0</v>
      </c>
      <c r="E44" s="293">
        <f>MAX(0,E43-E46)</f>
        <v>2464.9854452594009</v>
      </c>
      <c r="F44" s="293">
        <f>MAX(0,F43-F46)</f>
        <v>4352.7355023897253</v>
      </c>
      <c r="G44" s="293">
        <f>MAX(0,G43-G46)</f>
        <v>5250.3010349358519</v>
      </c>
      <c r="H44" s="293">
        <f t="shared" ref="H44:U44" si="24">MAX(0,H43-H46)</f>
        <v>6210.1419334954553</v>
      </c>
      <c r="I44" s="293">
        <f t="shared" si="24"/>
        <v>7354.9708750227001</v>
      </c>
      <c r="J44" s="293">
        <f t="shared" si="24"/>
        <v>8593.6407508646735</v>
      </c>
      <c r="K44" s="293">
        <f t="shared" si="24"/>
        <v>9810.635160736776</v>
      </c>
      <c r="L44" s="58">
        <f t="shared" si="24"/>
        <v>0</v>
      </c>
      <c r="M44" s="58">
        <f t="shared" si="24"/>
        <v>0</v>
      </c>
      <c r="N44" s="58">
        <f t="shared" si="24"/>
        <v>0</v>
      </c>
      <c r="O44" s="58">
        <f t="shared" si="24"/>
        <v>0</v>
      </c>
      <c r="P44" s="58">
        <f t="shared" si="24"/>
        <v>0</v>
      </c>
      <c r="Q44" s="58">
        <f t="shared" si="24"/>
        <v>0</v>
      </c>
      <c r="R44" s="58">
        <f t="shared" si="24"/>
        <v>0</v>
      </c>
      <c r="S44" s="58">
        <f t="shared" si="24"/>
        <v>0</v>
      </c>
      <c r="T44" s="58">
        <f t="shared" si="24"/>
        <v>0</v>
      </c>
      <c r="U44" s="58">
        <f t="shared" si="24"/>
        <v>0</v>
      </c>
      <c r="V44" s="6"/>
      <c r="W44" s="453"/>
      <c r="X44" s="453"/>
      <c r="Y44" s="6"/>
    </row>
    <row r="45" spans="1:25">
      <c r="A45" s="42" t="s">
        <v>108</v>
      </c>
      <c r="B45" s="155">
        <f t="shared" ref="B45:K45" si="25">B43*$J$95*(B42-B37)/365.25</f>
        <v>4454.7181308155632</v>
      </c>
      <c r="C45" s="155">
        <f t="shared" si="25"/>
        <v>4454.7181308155632</v>
      </c>
      <c r="D45" s="155">
        <f t="shared" si="25"/>
        <v>4454.7181308155632</v>
      </c>
      <c r="E45" s="155">
        <f t="shared" si="25"/>
        <v>4479.46656487565</v>
      </c>
      <c r="F45" s="155">
        <f t="shared" si="25"/>
        <v>4205.8471068378076</v>
      </c>
      <c r="G45" s="155">
        <f t="shared" si="25"/>
        <v>3765.1932061263319</v>
      </c>
      <c r="H45" s="155">
        <f t="shared" si="25"/>
        <v>3233.6732849908094</v>
      </c>
      <c r="I45" s="155">
        <f t="shared" si="25"/>
        <v>2619.4549560213945</v>
      </c>
      <c r="J45" s="155">
        <f t="shared" si="25"/>
        <v>1862.4067882208972</v>
      </c>
      <c r="K45" s="155">
        <f t="shared" si="25"/>
        <v>992.42024387365234</v>
      </c>
      <c r="L45" s="155">
        <f t="shared" ref="L45:U45" si="26">L43*$J$95*(L42-L37)/365.25</f>
        <v>0</v>
      </c>
      <c r="M45" s="155">
        <f t="shared" si="26"/>
        <v>0</v>
      </c>
      <c r="N45" s="155">
        <f t="shared" si="26"/>
        <v>0</v>
      </c>
      <c r="O45" s="155">
        <f t="shared" si="26"/>
        <v>0</v>
      </c>
      <c r="P45" s="155">
        <f t="shared" si="26"/>
        <v>0</v>
      </c>
      <c r="Q45" s="155">
        <f t="shared" si="26"/>
        <v>0</v>
      </c>
      <c r="R45" s="155">
        <f t="shared" si="26"/>
        <v>0</v>
      </c>
      <c r="S45" s="155">
        <f t="shared" si="26"/>
        <v>0</v>
      </c>
      <c r="T45" s="155">
        <f t="shared" si="26"/>
        <v>0</v>
      </c>
      <c r="U45" s="155">
        <f t="shared" si="26"/>
        <v>0</v>
      </c>
      <c r="V45" s="6"/>
      <c r="W45" s="453"/>
      <c r="X45" s="453"/>
      <c r="Y45" s="6"/>
    </row>
    <row r="46" spans="1:25">
      <c r="A46" s="42" t="s">
        <v>109</v>
      </c>
      <c r="B46" s="61">
        <f>B43-B44</f>
        <v>90939.291151374055</v>
      </c>
      <c r="C46" s="61">
        <f>C43-C44</f>
        <v>90939.291151374055</v>
      </c>
      <c r="D46" s="61">
        <f>D43-D44</f>
        <v>90939.291151374055</v>
      </c>
      <c r="E46" s="61">
        <f>MAX(0,E43+E45+E39+E57+E63-E11*(E42-D48)/365.25)</f>
        <v>88474.305706114654</v>
      </c>
      <c r="F46" s="61">
        <f>MAX(0,F43+F45+F39+F57+F63-F11*(F42-E48)/365.25)</f>
        <v>81506.064842597378</v>
      </c>
      <c r="G46" s="61">
        <f>MAX(0,G43+G45+G39+G57+G63-G11*(G42-F48)/365.25)</f>
        <v>71612.923788317159</v>
      </c>
      <c r="H46" s="61">
        <f t="shared" ref="H46:U46" si="27">MAX(0,H43+H45+H39+H57+H63-H11*(H42-G48)/365.25)</f>
        <v>59802.554653967818</v>
      </c>
      <c r="I46" s="61">
        <f t="shared" si="27"/>
        <v>45823.543453312741</v>
      </c>
      <c r="J46" s="61">
        <f t="shared" si="27"/>
        <v>29425.813720277882</v>
      </c>
      <c r="K46" s="61">
        <f t="shared" si="27"/>
        <v>10448.782124913319</v>
      </c>
      <c r="L46" s="61">
        <f t="shared" si="27"/>
        <v>0</v>
      </c>
      <c r="M46" s="61">
        <f t="shared" si="27"/>
        <v>0</v>
      </c>
      <c r="N46" s="61">
        <f t="shared" si="27"/>
        <v>0</v>
      </c>
      <c r="O46" s="61">
        <f t="shared" si="27"/>
        <v>0</v>
      </c>
      <c r="P46" s="61">
        <f t="shared" si="27"/>
        <v>0</v>
      </c>
      <c r="Q46" s="61">
        <f t="shared" si="27"/>
        <v>0</v>
      </c>
      <c r="R46" s="61">
        <f t="shared" si="27"/>
        <v>0</v>
      </c>
      <c r="S46" s="61">
        <f t="shared" si="27"/>
        <v>0</v>
      </c>
      <c r="T46" s="61">
        <f t="shared" si="27"/>
        <v>0</v>
      </c>
      <c r="U46" s="61">
        <f t="shared" si="27"/>
        <v>0</v>
      </c>
      <c r="V46" s="6"/>
      <c r="W46" s="453"/>
      <c r="X46" s="453"/>
      <c r="Y46" s="6"/>
    </row>
    <row r="47" spans="1:25">
      <c r="A47" s="42"/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W47" s="450"/>
      <c r="X47" s="450"/>
    </row>
    <row r="48" spans="1:25">
      <c r="A48" s="46"/>
      <c r="B48" s="350">
        <v>37256</v>
      </c>
      <c r="C48" s="350">
        <v>37621</v>
      </c>
      <c r="D48" s="350">
        <v>37986</v>
      </c>
      <c r="E48" s="350">
        <v>38352</v>
      </c>
      <c r="F48" s="350">
        <v>38717</v>
      </c>
      <c r="G48" s="350">
        <v>39082</v>
      </c>
      <c r="H48" s="350">
        <v>39447</v>
      </c>
      <c r="I48" s="350">
        <v>39813</v>
      </c>
      <c r="J48" s="350">
        <v>40178</v>
      </c>
      <c r="K48" s="350">
        <v>40543</v>
      </c>
      <c r="L48" s="350">
        <v>40908</v>
      </c>
      <c r="M48" s="350">
        <v>41274</v>
      </c>
      <c r="N48" s="350">
        <v>41639</v>
      </c>
      <c r="O48" s="350">
        <v>42004</v>
      </c>
      <c r="P48" s="350">
        <v>42369</v>
      </c>
      <c r="Q48" s="350">
        <v>42735</v>
      </c>
      <c r="R48" s="350">
        <v>43100</v>
      </c>
      <c r="S48" s="350">
        <v>43465</v>
      </c>
      <c r="T48" s="350">
        <v>43830</v>
      </c>
      <c r="U48" s="350">
        <v>44196</v>
      </c>
      <c r="W48" s="450"/>
      <c r="X48" s="450"/>
    </row>
    <row r="49" spans="1:24">
      <c r="A49" s="42" t="s">
        <v>106</v>
      </c>
      <c r="B49" s="58">
        <f>B46</f>
        <v>90939.291151374055</v>
      </c>
      <c r="C49" s="58">
        <f t="shared" ref="C49:K49" si="28">C46</f>
        <v>90939.291151374055</v>
      </c>
      <c r="D49" s="58">
        <f t="shared" si="28"/>
        <v>90939.291151374055</v>
      </c>
      <c r="E49" s="58">
        <f t="shared" si="28"/>
        <v>88474.305706114654</v>
      </c>
      <c r="F49" s="58">
        <f t="shared" si="28"/>
        <v>81506.064842597378</v>
      </c>
      <c r="G49" s="58">
        <f t="shared" si="28"/>
        <v>71612.923788317159</v>
      </c>
      <c r="H49" s="58">
        <f t="shared" si="28"/>
        <v>59802.554653967818</v>
      </c>
      <c r="I49" s="58">
        <f t="shared" si="28"/>
        <v>45823.543453312741</v>
      </c>
      <c r="J49" s="58">
        <f t="shared" si="28"/>
        <v>29425.813720277882</v>
      </c>
      <c r="K49" s="58">
        <f t="shared" si="28"/>
        <v>10448.782124913319</v>
      </c>
      <c r="L49" s="58">
        <f t="shared" ref="L49:U49" si="29">L46</f>
        <v>0</v>
      </c>
      <c r="M49" s="58">
        <f t="shared" si="29"/>
        <v>0</v>
      </c>
      <c r="N49" s="58">
        <f t="shared" si="29"/>
        <v>0</v>
      </c>
      <c r="O49" s="58">
        <f t="shared" si="29"/>
        <v>0</v>
      </c>
      <c r="P49" s="58">
        <f t="shared" si="29"/>
        <v>0</v>
      </c>
      <c r="Q49" s="58">
        <f t="shared" si="29"/>
        <v>0</v>
      </c>
      <c r="R49" s="58">
        <f t="shared" si="29"/>
        <v>0</v>
      </c>
      <c r="S49" s="58">
        <f t="shared" si="29"/>
        <v>0</v>
      </c>
      <c r="T49" s="58">
        <f t="shared" si="29"/>
        <v>0</v>
      </c>
      <c r="U49" s="58">
        <f t="shared" si="29"/>
        <v>0</v>
      </c>
      <c r="W49" s="450"/>
      <c r="X49" s="450"/>
    </row>
    <row r="50" spans="1:24">
      <c r="A50" s="42" t="s">
        <v>107</v>
      </c>
      <c r="B50" s="58">
        <v>0</v>
      </c>
      <c r="C50" s="58">
        <v>0</v>
      </c>
      <c r="D50" s="58">
        <v>0</v>
      </c>
      <c r="E50" s="293">
        <f>MAX(0,E49-E52)</f>
        <v>2615.5053611275507</v>
      </c>
      <c r="F50" s="293">
        <f>MAX(0,F49-F52)</f>
        <v>4642.8400193443667</v>
      </c>
      <c r="G50" s="293">
        <f>MAX(0,G49-G52)</f>
        <v>5600.2272008538857</v>
      </c>
      <c r="H50" s="293">
        <f t="shared" ref="H50:U50" si="30">MAX(0,H49-H52)</f>
        <v>6624.0403256323771</v>
      </c>
      <c r="I50" s="293">
        <f t="shared" si="30"/>
        <v>7804.0889821701858</v>
      </c>
      <c r="J50" s="293">
        <f t="shared" si="30"/>
        <v>9166.3964346277862</v>
      </c>
      <c r="K50" s="293">
        <f t="shared" si="30"/>
        <v>10448.782124913319</v>
      </c>
      <c r="L50" s="58">
        <f t="shared" si="30"/>
        <v>0</v>
      </c>
      <c r="M50" s="58">
        <f t="shared" si="30"/>
        <v>0</v>
      </c>
      <c r="N50" s="58">
        <f t="shared" si="30"/>
        <v>0</v>
      </c>
      <c r="O50" s="58">
        <f t="shared" si="30"/>
        <v>0</v>
      </c>
      <c r="P50" s="58">
        <f t="shared" si="30"/>
        <v>0</v>
      </c>
      <c r="Q50" s="58">
        <f t="shared" si="30"/>
        <v>0</v>
      </c>
      <c r="R50" s="58">
        <f t="shared" si="30"/>
        <v>0</v>
      </c>
      <c r="S50" s="58">
        <f t="shared" si="30"/>
        <v>0</v>
      </c>
      <c r="T50" s="58">
        <f t="shared" si="30"/>
        <v>0</v>
      </c>
      <c r="U50" s="58">
        <f t="shared" si="30"/>
        <v>0</v>
      </c>
      <c r="W50" s="450"/>
      <c r="X50" s="450"/>
    </row>
    <row r="51" spans="1:24">
      <c r="A51" s="42" t="s">
        <v>108</v>
      </c>
      <c r="B51" s="155">
        <f>B49*$J$95*(B48-B42)/365.25</f>
        <v>4553.7118670559094</v>
      </c>
      <c r="C51" s="155">
        <f t="shared" ref="C51:K51" si="31">C49*$J$95*(C48-C42)/365.25</f>
        <v>4553.7118670559094</v>
      </c>
      <c r="D51" s="155">
        <f t="shared" si="31"/>
        <v>4553.7118670559094</v>
      </c>
      <c r="E51" s="155">
        <f t="shared" si="31"/>
        <v>4430.2797033334828</v>
      </c>
      <c r="F51" s="155">
        <f t="shared" si="31"/>
        <v>4081.3506462564519</v>
      </c>
      <c r="G51" s="155">
        <f t="shared" si="31"/>
        <v>3585.9595644594265</v>
      </c>
      <c r="H51" s="155">
        <f t="shared" si="31"/>
        <v>2994.5648284714853</v>
      </c>
      <c r="I51" s="155">
        <f t="shared" si="31"/>
        <v>2294.5770851299349</v>
      </c>
      <c r="J51" s="155">
        <f t="shared" si="31"/>
        <v>1473.4739565185334</v>
      </c>
      <c r="K51" s="155">
        <f t="shared" si="31"/>
        <v>523.21436153816467</v>
      </c>
      <c r="L51" s="155">
        <f t="shared" ref="L51:U51" si="32">L49*$J$95*(L48-L42)/365.25</f>
        <v>0</v>
      </c>
      <c r="M51" s="155">
        <f t="shared" si="32"/>
        <v>0</v>
      </c>
      <c r="N51" s="155">
        <f t="shared" si="32"/>
        <v>0</v>
      </c>
      <c r="O51" s="155">
        <f t="shared" si="32"/>
        <v>0</v>
      </c>
      <c r="P51" s="155">
        <f t="shared" si="32"/>
        <v>0</v>
      </c>
      <c r="Q51" s="155">
        <f t="shared" si="32"/>
        <v>0</v>
      </c>
      <c r="R51" s="155">
        <f t="shared" si="32"/>
        <v>0</v>
      </c>
      <c r="S51" s="155">
        <f t="shared" si="32"/>
        <v>0</v>
      </c>
      <c r="T51" s="155">
        <f t="shared" si="32"/>
        <v>0</v>
      </c>
      <c r="U51" s="155">
        <f t="shared" si="32"/>
        <v>0</v>
      </c>
      <c r="W51" s="450"/>
      <c r="X51" s="450"/>
    </row>
    <row r="52" spans="1:24">
      <c r="A52" s="42" t="s">
        <v>109</v>
      </c>
      <c r="B52" s="61">
        <f>B49</f>
        <v>90939.291151374055</v>
      </c>
      <c r="C52" s="61">
        <f>C49</f>
        <v>90939.291151374055</v>
      </c>
      <c r="D52" s="61">
        <f>D49</f>
        <v>90939.291151374055</v>
      </c>
      <c r="E52" s="61">
        <f>MAX(0,E49+E51+E69-E11*(E48-E42)/365.25)</f>
        <v>85858.800344987103</v>
      </c>
      <c r="F52" s="61">
        <f>MAX(0,F49+F51+F69-F11*(F48-F42)/365.25)</f>
        <v>76863.224823253011</v>
      </c>
      <c r="G52" s="61">
        <f>MAX(0,G49+G51+G69-G11*(G48-G42)/365.25)</f>
        <v>66012.696587463273</v>
      </c>
      <c r="H52" s="61">
        <f t="shared" ref="H52:U52" si="33">MAX(0,H49+H51+H69-H11*(H48-H42)/365.25)</f>
        <v>53178.514328335441</v>
      </c>
      <c r="I52" s="61">
        <f t="shared" si="33"/>
        <v>38019.454471142555</v>
      </c>
      <c r="J52" s="61">
        <f t="shared" si="33"/>
        <v>20259.417285650095</v>
      </c>
      <c r="K52" s="376">
        <f t="shared" si="33"/>
        <v>0</v>
      </c>
      <c r="L52" s="61">
        <f t="shared" si="33"/>
        <v>0</v>
      </c>
      <c r="M52" s="61">
        <f t="shared" si="33"/>
        <v>0</v>
      </c>
      <c r="N52" s="61">
        <f t="shared" si="33"/>
        <v>0</v>
      </c>
      <c r="O52" s="61">
        <f t="shared" si="33"/>
        <v>0</v>
      </c>
      <c r="P52" s="61">
        <f t="shared" si="33"/>
        <v>0</v>
      </c>
      <c r="Q52" s="61">
        <f t="shared" si="33"/>
        <v>0</v>
      </c>
      <c r="R52" s="61">
        <f t="shared" si="33"/>
        <v>0</v>
      </c>
      <c r="S52" s="61">
        <f t="shared" si="33"/>
        <v>0</v>
      </c>
      <c r="T52" s="61">
        <f t="shared" si="33"/>
        <v>0</v>
      </c>
      <c r="U52" s="61">
        <f t="shared" si="33"/>
        <v>0</v>
      </c>
      <c r="W52" s="450"/>
      <c r="X52" s="450"/>
    </row>
    <row r="53" spans="1:24">
      <c r="A53" s="42"/>
      <c r="B53" s="371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1"/>
      <c r="N53" s="371"/>
      <c r="O53" s="371"/>
      <c r="P53" s="371"/>
      <c r="Q53" s="371"/>
      <c r="R53" s="371"/>
      <c r="S53" s="371"/>
      <c r="T53" s="371"/>
      <c r="U53" s="371"/>
      <c r="W53" s="450"/>
      <c r="X53" s="450"/>
    </row>
    <row r="54" spans="1:24">
      <c r="A54" s="41" t="s">
        <v>26</v>
      </c>
      <c r="B54" s="6"/>
      <c r="C54" s="369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W54" s="450"/>
      <c r="X54" s="450"/>
    </row>
    <row r="55" spans="1:24">
      <c r="B55" s="350">
        <f>Assumptions!$B$19</f>
        <v>36892</v>
      </c>
      <c r="C55" s="350">
        <v>37257</v>
      </c>
      <c r="D55" s="350">
        <v>37622</v>
      </c>
      <c r="E55" s="350">
        <v>37987</v>
      </c>
      <c r="F55" s="350">
        <v>38353</v>
      </c>
      <c r="G55" s="350">
        <v>38718</v>
      </c>
      <c r="H55" s="350">
        <v>39083</v>
      </c>
      <c r="I55" s="350">
        <v>39448</v>
      </c>
      <c r="J55" s="350">
        <v>39814</v>
      </c>
      <c r="K55" s="350">
        <v>40179</v>
      </c>
      <c r="L55" s="350">
        <v>40544</v>
      </c>
      <c r="M55" s="350">
        <v>40909</v>
      </c>
      <c r="N55" s="350">
        <v>41275</v>
      </c>
      <c r="O55" s="350">
        <v>41640</v>
      </c>
      <c r="P55" s="350">
        <v>42005</v>
      </c>
      <c r="Q55" s="350">
        <v>42370</v>
      </c>
      <c r="R55" s="350">
        <v>42736</v>
      </c>
      <c r="S55" s="350">
        <v>43101</v>
      </c>
      <c r="T55" s="350">
        <v>43466</v>
      </c>
      <c r="U55" s="350">
        <v>43831</v>
      </c>
      <c r="W55" s="450"/>
      <c r="X55" s="450"/>
    </row>
    <row r="56" spans="1:24">
      <c r="A56" s="42" t="s">
        <v>106</v>
      </c>
      <c r="B56" s="58">
        <v>0</v>
      </c>
      <c r="C56" s="58">
        <f>B70</f>
        <v>465237.82943859056</v>
      </c>
      <c r="D56" s="58">
        <f t="shared" ref="D56:U56" si="34">C70</f>
        <v>465237.82943859056</v>
      </c>
      <c r="E56" s="58">
        <f t="shared" si="34"/>
        <v>465237.82943859056</v>
      </c>
      <c r="F56" s="58">
        <f t="shared" si="34"/>
        <v>465237.82943859056</v>
      </c>
      <c r="G56" s="58">
        <f t="shared" si="34"/>
        <v>465237.82943859056</v>
      </c>
      <c r="H56" s="58">
        <f t="shared" si="34"/>
        <v>465237.82943859056</v>
      </c>
      <c r="I56" s="58">
        <f t="shared" si="34"/>
        <v>465237.82943859056</v>
      </c>
      <c r="J56" s="58">
        <f t="shared" si="34"/>
        <v>465237.82943859056</v>
      </c>
      <c r="K56" s="58">
        <f t="shared" si="34"/>
        <v>465237.82943859056</v>
      </c>
      <c r="L56" s="58">
        <f t="shared" si="34"/>
        <v>465237.82943859056</v>
      </c>
      <c r="M56" s="58">
        <f t="shared" si="34"/>
        <v>441496.4583030747</v>
      </c>
      <c r="N56" s="58">
        <f t="shared" si="34"/>
        <v>413714.08514331898</v>
      </c>
      <c r="O56" s="58">
        <f t="shared" si="34"/>
        <v>381779.07236980542</v>
      </c>
      <c r="P56" s="58">
        <f t="shared" si="34"/>
        <v>345132.35966879717</v>
      </c>
      <c r="Q56" s="58">
        <f t="shared" si="34"/>
        <v>303434.54118127236</v>
      </c>
      <c r="R56" s="58">
        <f t="shared" si="34"/>
        <v>255989.12397854158</v>
      </c>
      <c r="S56" s="58">
        <f t="shared" si="34"/>
        <v>202692.67777232802</v>
      </c>
      <c r="T56" s="58">
        <f t="shared" si="34"/>
        <v>142772.92596492107</v>
      </c>
      <c r="U56" s="58">
        <f t="shared" si="34"/>
        <v>75514.807098861871</v>
      </c>
      <c r="W56" s="450"/>
      <c r="X56" s="450"/>
    </row>
    <row r="57" spans="1:24">
      <c r="A57" s="287" t="s">
        <v>108</v>
      </c>
      <c r="B57" s="383">
        <v>0</v>
      </c>
      <c r="C57" s="155">
        <f t="shared" ref="C57:U57" si="35">C56*$O$95*(C55-B66)/365.25</f>
        <v>130.62324273491433</v>
      </c>
      <c r="D57" s="155">
        <f t="shared" si="35"/>
        <v>130.62324273491433</v>
      </c>
      <c r="E57" s="155">
        <f t="shared" si="35"/>
        <v>130.62324273491433</v>
      </c>
      <c r="F57" s="155">
        <f t="shared" si="35"/>
        <v>130.62324273491433</v>
      </c>
      <c r="G57" s="155">
        <f t="shared" si="35"/>
        <v>130.62324273491433</v>
      </c>
      <c r="H57" s="155">
        <f t="shared" si="35"/>
        <v>130.62324273491433</v>
      </c>
      <c r="I57" s="155">
        <f t="shared" si="35"/>
        <v>130.62324273491433</v>
      </c>
      <c r="J57" s="155">
        <f t="shared" si="35"/>
        <v>130.62324273491433</v>
      </c>
      <c r="K57" s="155">
        <f t="shared" si="35"/>
        <v>130.62324273491433</v>
      </c>
      <c r="L57" s="155">
        <f t="shared" si="35"/>
        <v>130.62324273491433</v>
      </c>
      <c r="M57" s="155">
        <f t="shared" si="35"/>
        <v>123.95745872410762</v>
      </c>
      <c r="N57" s="155">
        <f t="shared" si="35"/>
        <v>116.15709632155335</v>
      </c>
      <c r="O57" s="155">
        <f t="shared" si="35"/>
        <v>107.19081142100902</v>
      </c>
      <c r="P57" s="155">
        <f t="shared" si="35"/>
        <v>96.901638559986722</v>
      </c>
      <c r="Q57" s="155">
        <f t="shared" si="35"/>
        <v>85.194283910032809</v>
      </c>
      <c r="R57" s="155">
        <f t="shared" si="35"/>
        <v>71.873195520874575</v>
      </c>
      <c r="S57" s="155">
        <f t="shared" si="35"/>
        <v>56.909333622319615</v>
      </c>
      <c r="T57" s="155">
        <f t="shared" si="35"/>
        <v>40.085868741143479</v>
      </c>
      <c r="U57" s="155">
        <f t="shared" si="35"/>
        <v>21.202035504416934</v>
      </c>
      <c r="W57" s="450"/>
      <c r="X57" s="450"/>
    </row>
    <row r="58" spans="1:24" ht="13.5">
      <c r="A58" s="287" t="s">
        <v>109</v>
      </c>
      <c r="B58" s="294">
        <v>465237.82943859056</v>
      </c>
      <c r="C58" s="61">
        <f>C56</f>
        <v>465237.82943859056</v>
      </c>
      <c r="D58" s="61">
        <f t="shared" ref="D58:U58" si="36">D56</f>
        <v>465237.82943859056</v>
      </c>
      <c r="E58" s="61">
        <f t="shared" si="36"/>
        <v>465237.82943859056</v>
      </c>
      <c r="F58" s="61">
        <f t="shared" si="36"/>
        <v>465237.82943859056</v>
      </c>
      <c r="G58" s="61">
        <f t="shared" si="36"/>
        <v>465237.82943859056</v>
      </c>
      <c r="H58" s="61">
        <f t="shared" si="36"/>
        <v>465237.82943859056</v>
      </c>
      <c r="I58" s="61">
        <f t="shared" si="36"/>
        <v>465237.82943859056</v>
      </c>
      <c r="J58" s="61">
        <f t="shared" si="36"/>
        <v>465237.82943859056</v>
      </c>
      <c r="K58" s="61">
        <f t="shared" si="36"/>
        <v>465237.82943859056</v>
      </c>
      <c r="L58" s="61">
        <f t="shared" si="36"/>
        <v>465237.82943859056</v>
      </c>
      <c r="M58" s="61">
        <f t="shared" si="36"/>
        <v>441496.4583030747</v>
      </c>
      <c r="N58" s="61">
        <f t="shared" si="36"/>
        <v>413714.08514331898</v>
      </c>
      <c r="O58" s="61">
        <f t="shared" si="36"/>
        <v>381779.07236980542</v>
      </c>
      <c r="P58" s="61">
        <f t="shared" si="36"/>
        <v>345132.35966879717</v>
      </c>
      <c r="Q58" s="61">
        <f t="shared" si="36"/>
        <v>303434.54118127236</v>
      </c>
      <c r="R58" s="61">
        <f t="shared" si="36"/>
        <v>255989.12397854158</v>
      </c>
      <c r="S58" s="61">
        <f t="shared" si="36"/>
        <v>202692.67777232802</v>
      </c>
      <c r="T58" s="61">
        <f t="shared" si="36"/>
        <v>142772.92596492107</v>
      </c>
      <c r="U58" s="61">
        <f t="shared" si="36"/>
        <v>75514.807098861871</v>
      </c>
      <c r="W58" s="451">
        <f>SUM(B62:U62,B68:U68)</f>
        <v>465237.82943859056</v>
      </c>
      <c r="X58" s="452">
        <f>B58-W58</f>
        <v>0</v>
      </c>
    </row>
    <row r="59" spans="1:24">
      <c r="B59" s="371"/>
      <c r="C59" s="369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W59" s="450"/>
      <c r="X59" s="450"/>
    </row>
    <row r="60" spans="1:24">
      <c r="A60" s="369"/>
      <c r="B60" s="350">
        <v>37072</v>
      </c>
      <c r="C60" s="350">
        <v>37437</v>
      </c>
      <c r="D60" s="350">
        <v>37802</v>
      </c>
      <c r="E60" s="350">
        <v>38168</v>
      </c>
      <c r="F60" s="350">
        <v>38533</v>
      </c>
      <c r="G60" s="350">
        <v>38898</v>
      </c>
      <c r="H60" s="350">
        <v>39263</v>
      </c>
      <c r="I60" s="350">
        <v>39629</v>
      </c>
      <c r="J60" s="350">
        <v>39994</v>
      </c>
      <c r="K60" s="350">
        <v>40359</v>
      </c>
      <c r="L60" s="350">
        <v>40724</v>
      </c>
      <c r="M60" s="350">
        <v>41090</v>
      </c>
      <c r="N60" s="350">
        <v>41455</v>
      </c>
      <c r="O60" s="350">
        <v>41820</v>
      </c>
      <c r="P60" s="350">
        <v>42185</v>
      </c>
      <c r="Q60" s="350">
        <v>42551</v>
      </c>
      <c r="R60" s="350">
        <v>42916</v>
      </c>
      <c r="S60" s="350">
        <v>43281</v>
      </c>
      <c r="T60" s="350">
        <v>43646</v>
      </c>
      <c r="U60" s="350">
        <v>44012</v>
      </c>
      <c r="W60" s="450"/>
      <c r="X60" s="450"/>
    </row>
    <row r="61" spans="1:24">
      <c r="A61" s="287" t="s">
        <v>106</v>
      </c>
      <c r="B61" s="58">
        <f>B58</f>
        <v>465237.82943859056</v>
      </c>
      <c r="C61" s="58">
        <f>C58</f>
        <v>465237.82943859056</v>
      </c>
      <c r="D61" s="58">
        <f t="shared" ref="D61:U61" si="37">D58</f>
        <v>465237.82943859056</v>
      </c>
      <c r="E61" s="58">
        <f t="shared" si="37"/>
        <v>465237.82943859056</v>
      </c>
      <c r="F61" s="58">
        <f t="shared" si="37"/>
        <v>465237.82943859056</v>
      </c>
      <c r="G61" s="58">
        <f t="shared" si="37"/>
        <v>465237.82943859056</v>
      </c>
      <c r="H61" s="58">
        <f t="shared" si="37"/>
        <v>465237.82943859056</v>
      </c>
      <c r="I61" s="58">
        <f t="shared" si="37"/>
        <v>465237.82943859056</v>
      </c>
      <c r="J61" s="58">
        <f t="shared" si="37"/>
        <v>465237.82943859056</v>
      </c>
      <c r="K61" s="58">
        <f t="shared" si="37"/>
        <v>465237.82943859056</v>
      </c>
      <c r="L61" s="58">
        <f t="shared" si="37"/>
        <v>465237.82943859056</v>
      </c>
      <c r="M61" s="58">
        <f t="shared" si="37"/>
        <v>441496.4583030747</v>
      </c>
      <c r="N61" s="58">
        <f t="shared" si="37"/>
        <v>413714.08514331898</v>
      </c>
      <c r="O61" s="58">
        <f t="shared" si="37"/>
        <v>381779.07236980542</v>
      </c>
      <c r="P61" s="58">
        <f t="shared" si="37"/>
        <v>345132.35966879717</v>
      </c>
      <c r="Q61" s="58">
        <f t="shared" si="37"/>
        <v>303434.54118127236</v>
      </c>
      <c r="R61" s="58">
        <f t="shared" si="37"/>
        <v>255989.12397854158</v>
      </c>
      <c r="S61" s="58">
        <f t="shared" si="37"/>
        <v>202692.67777232802</v>
      </c>
      <c r="T61" s="58">
        <f t="shared" si="37"/>
        <v>142772.92596492107</v>
      </c>
      <c r="U61" s="58">
        <f t="shared" si="37"/>
        <v>75514.807098861871</v>
      </c>
      <c r="W61" s="450"/>
      <c r="X61" s="450"/>
    </row>
    <row r="62" spans="1:24">
      <c r="A62" s="287" t="s">
        <v>107</v>
      </c>
      <c r="B62" s="58">
        <v>0</v>
      </c>
      <c r="C62" s="58">
        <v>0</v>
      </c>
      <c r="D62" s="58">
        <v>0</v>
      </c>
      <c r="E62" s="58">
        <v>0</v>
      </c>
      <c r="F62" s="58">
        <v>0</v>
      </c>
      <c r="G62" s="58">
        <v>0</v>
      </c>
      <c r="H62" s="58">
        <v>0</v>
      </c>
      <c r="I62" s="58">
        <v>0</v>
      </c>
      <c r="J62" s="58">
        <v>0</v>
      </c>
      <c r="K62" s="58">
        <v>0</v>
      </c>
      <c r="L62" s="293">
        <f>MAX(L61-L64,0)</f>
        <v>11479.045559271355</v>
      </c>
      <c r="M62" s="293">
        <f t="shared" ref="M62:U62" si="38">MAX(M61-M64,0)</f>
        <v>13469.26152445859</v>
      </c>
      <c r="N62" s="293">
        <f t="shared" si="38"/>
        <v>15440.703254694701</v>
      </c>
      <c r="O62" s="293">
        <f t="shared" si="38"/>
        <v>17718.828550011676</v>
      </c>
      <c r="P62" s="293">
        <f t="shared" si="38"/>
        <v>20161.05790219031</v>
      </c>
      <c r="Q62" s="293">
        <f t="shared" si="38"/>
        <v>23002.165033415251</v>
      </c>
      <c r="R62" s="293">
        <f t="shared" si="38"/>
        <v>25769.039650501509</v>
      </c>
      <c r="S62" s="293">
        <f t="shared" si="38"/>
        <v>28971.433746238501</v>
      </c>
      <c r="T62" s="293">
        <f t="shared" si="38"/>
        <v>32519.562846116401</v>
      </c>
      <c r="U62" s="293">
        <f t="shared" si="38"/>
        <v>36623.637083709364</v>
      </c>
      <c r="W62" s="40"/>
      <c r="X62" s="40"/>
    </row>
    <row r="63" spans="1:24">
      <c r="A63" s="42" t="s">
        <v>108</v>
      </c>
      <c r="B63" s="155">
        <f t="shared" ref="B63:U63" si="39">B61*$O$95*(B60-B55)/365.25</f>
        <v>23512.18369228458</v>
      </c>
      <c r="C63" s="155">
        <f t="shared" si="39"/>
        <v>23512.18369228458</v>
      </c>
      <c r="D63" s="155">
        <f t="shared" si="39"/>
        <v>23512.18369228458</v>
      </c>
      <c r="E63" s="155">
        <f t="shared" si="39"/>
        <v>23642.806935019496</v>
      </c>
      <c r="F63" s="155">
        <f t="shared" si="39"/>
        <v>23512.18369228458</v>
      </c>
      <c r="G63" s="155">
        <f t="shared" si="39"/>
        <v>23512.18369228458</v>
      </c>
      <c r="H63" s="155">
        <f t="shared" si="39"/>
        <v>23512.18369228458</v>
      </c>
      <c r="I63" s="155">
        <f t="shared" si="39"/>
        <v>23642.806935019496</v>
      </c>
      <c r="J63" s="155">
        <f t="shared" si="39"/>
        <v>23512.18369228458</v>
      </c>
      <c r="K63" s="155">
        <f t="shared" si="39"/>
        <v>23512.18369228458</v>
      </c>
      <c r="L63" s="155">
        <f t="shared" si="39"/>
        <v>23512.18369228458</v>
      </c>
      <c r="M63" s="155">
        <f t="shared" si="39"/>
        <v>22436.300029063477</v>
      </c>
      <c r="N63" s="155">
        <f t="shared" si="39"/>
        <v>20908.277337879605</v>
      </c>
      <c r="O63" s="155">
        <f t="shared" si="39"/>
        <v>19294.346055781622</v>
      </c>
      <c r="P63" s="155">
        <f t="shared" si="39"/>
        <v>17442.294940797612</v>
      </c>
      <c r="Q63" s="155">
        <f t="shared" si="39"/>
        <v>15420.165387715937</v>
      </c>
      <c r="R63" s="155">
        <f t="shared" si="39"/>
        <v>12937.175193757423</v>
      </c>
      <c r="S63" s="155">
        <f t="shared" si="39"/>
        <v>10243.680052017531</v>
      </c>
      <c r="T63" s="155">
        <f t="shared" si="39"/>
        <v>7215.4563734058274</v>
      </c>
      <c r="U63" s="155">
        <f t="shared" si="39"/>
        <v>3837.5684262994646</v>
      </c>
      <c r="W63" s="40"/>
      <c r="X63" s="40"/>
    </row>
    <row r="64" spans="1:24">
      <c r="A64" s="42" t="s">
        <v>109</v>
      </c>
      <c r="B64" s="61">
        <f>B61-B62</f>
        <v>465237.82943859056</v>
      </c>
      <c r="C64" s="61">
        <f t="shared" ref="C64:K64" si="40">C61-C62</f>
        <v>465237.82943859056</v>
      </c>
      <c r="D64" s="61">
        <f t="shared" si="40"/>
        <v>465237.82943859056</v>
      </c>
      <c r="E64" s="61">
        <f t="shared" si="40"/>
        <v>465237.82943859056</v>
      </c>
      <c r="F64" s="61">
        <f t="shared" si="40"/>
        <v>465237.82943859056</v>
      </c>
      <c r="G64" s="61">
        <f t="shared" si="40"/>
        <v>465237.82943859056</v>
      </c>
      <c r="H64" s="61">
        <f t="shared" si="40"/>
        <v>465237.82943859056</v>
      </c>
      <c r="I64" s="61">
        <f t="shared" si="40"/>
        <v>465237.82943859056</v>
      </c>
      <c r="J64" s="61">
        <f t="shared" si="40"/>
        <v>465237.82943859056</v>
      </c>
      <c r="K64" s="61">
        <f t="shared" si="40"/>
        <v>465237.82943859056</v>
      </c>
      <c r="L64" s="61">
        <f>MAX(L61+L63+L57-L11*(L60-K66)/365.25,0)</f>
        <v>453758.78387931921</v>
      </c>
      <c r="M64" s="61">
        <f t="shared" ref="M64:U64" si="41">MAX(M61+M63+M57-M11*(M60-L66)/365.25,0)</f>
        <v>428027.19677861611</v>
      </c>
      <c r="N64" s="61">
        <f t="shared" si="41"/>
        <v>398273.38188862428</v>
      </c>
      <c r="O64" s="61">
        <f t="shared" si="41"/>
        <v>364060.24381979374</v>
      </c>
      <c r="P64" s="61">
        <f t="shared" si="41"/>
        <v>324971.30176660686</v>
      </c>
      <c r="Q64" s="61">
        <f t="shared" si="41"/>
        <v>280432.37614785711</v>
      </c>
      <c r="R64" s="61">
        <f t="shared" si="41"/>
        <v>230220.08432804007</v>
      </c>
      <c r="S64" s="61">
        <f t="shared" si="41"/>
        <v>173721.24402608952</v>
      </c>
      <c r="T64" s="61">
        <f t="shared" si="41"/>
        <v>110253.36311880467</v>
      </c>
      <c r="U64" s="61">
        <f t="shared" si="41"/>
        <v>38891.170015152507</v>
      </c>
      <c r="W64" s="40"/>
      <c r="X64" s="40"/>
    </row>
    <row r="65" spans="1:26">
      <c r="A65" s="42"/>
      <c r="B65" s="156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W65" s="40"/>
      <c r="X65" s="40"/>
    </row>
    <row r="66" spans="1:26">
      <c r="A66" s="46"/>
      <c r="B66" s="350">
        <v>37256</v>
      </c>
      <c r="C66" s="350">
        <v>37621</v>
      </c>
      <c r="D66" s="350">
        <v>37986</v>
      </c>
      <c r="E66" s="350">
        <v>38352</v>
      </c>
      <c r="F66" s="350">
        <v>38717</v>
      </c>
      <c r="G66" s="350">
        <v>39082</v>
      </c>
      <c r="H66" s="350">
        <v>39447</v>
      </c>
      <c r="I66" s="350">
        <v>39813</v>
      </c>
      <c r="J66" s="350">
        <v>40178</v>
      </c>
      <c r="K66" s="350">
        <v>40543</v>
      </c>
      <c r="L66" s="350">
        <v>40908</v>
      </c>
      <c r="M66" s="350">
        <v>41274</v>
      </c>
      <c r="N66" s="350">
        <v>41639</v>
      </c>
      <c r="O66" s="350">
        <v>42004</v>
      </c>
      <c r="P66" s="350">
        <v>42369</v>
      </c>
      <c r="Q66" s="350">
        <v>42735</v>
      </c>
      <c r="R66" s="350">
        <v>43100</v>
      </c>
      <c r="S66" s="350">
        <v>43465</v>
      </c>
      <c r="T66" s="350">
        <v>43830</v>
      </c>
      <c r="U66" s="350">
        <v>44196</v>
      </c>
      <c r="W66" s="40"/>
      <c r="X66" s="40"/>
    </row>
    <row r="67" spans="1:26">
      <c r="A67" s="42" t="s">
        <v>106</v>
      </c>
      <c r="B67" s="58">
        <f>B64</f>
        <v>465237.82943859056</v>
      </c>
      <c r="C67" s="58">
        <f t="shared" ref="C67:U67" si="42">C64</f>
        <v>465237.82943859056</v>
      </c>
      <c r="D67" s="58">
        <f t="shared" si="42"/>
        <v>465237.82943859056</v>
      </c>
      <c r="E67" s="58">
        <f t="shared" si="42"/>
        <v>465237.82943859056</v>
      </c>
      <c r="F67" s="58">
        <f t="shared" si="42"/>
        <v>465237.82943859056</v>
      </c>
      <c r="G67" s="58">
        <f t="shared" si="42"/>
        <v>465237.82943859056</v>
      </c>
      <c r="H67" s="58">
        <f t="shared" si="42"/>
        <v>465237.82943859056</v>
      </c>
      <c r="I67" s="58">
        <f t="shared" si="42"/>
        <v>465237.82943859056</v>
      </c>
      <c r="J67" s="58">
        <f t="shared" si="42"/>
        <v>465237.82943859056</v>
      </c>
      <c r="K67" s="58">
        <f t="shared" si="42"/>
        <v>465237.82943859056</v>
      </c>
      <c r="L67" s="58">
        <f t="shared" si="42"/>
        <v>453758.78387931921</v>
      </c>
      <c r="M67" s="58">
        <f t="shared" si="42"/>
        <v>428027.19677861611</v>
      </c>
      <c r="N67" s="58">
        <f t="shared" si="42"/>
        <v>398273.38188862428</v>
      </c>
      <c r="O67" s="58">
        <f t="shared" si="42"/>
        <v>364060.24381979374</v>
      </c>
      <c r="P67" s="58">
        <f t="shared" si="42"/>
        <v>324971.30176660686</v>
      </c>
      <c r="Q67" s="58">
        <f t="shared" si="42"/>
        <v>280432.37614785711</v>
      </c>
      <c r="R67" s="58">
        <f t="shared" si="42"/>
        <v>230220.08432804007</v>
      </c>
      <c r="S67" s="58">
        <f t="shared" si="42"/>
        <v>173721.24402608952</v>
      </c>
      <c r="T67" s="58">
        <f t="shared" si="42"/>
        <v>110253.36311880467</v>
      </c>
      <c r="U67" s="58">
        <f t="shared" si="42"/>
        <v>38891.170015152507</v>
      </c>
      <c r="W67" s="40"/>
      <c r="X67" s="40"/>
    </row>
    <row r="68" spans="1:26">
      <c r="A68" s="287" t="s">
        <v>107</v>
      </c>
      <c r="B68" s="58">
        <v>0</v>
      </c>
      <c r="C68" s="58">
        <v>0</v>
      </c>
      <c r="D68" s="58">
        <v>0</v>
      </c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58">
        <v>0</v>
      </c>
      <c r="K68" s="58">
        <v>0</v>
      </c>
      <c r="L68" s="293">
        <f t="shared" ref="L68:U68" si="43">MAX(L67-L70,0)</f>
        <v>12262.325576244504</v>
      </c>
      <c r="M68" s="293">
        <f t="shared" si="43"/>
        <v>14313.111635297129</v>
      </c>
      <c r="N68" s="293">
        <f t="shared" si="43"/>
        <v>16494.30951881886</v>
      </c>
      <c r="O68" s="293">
        <f t="shared" si="43"/>
        <v>18927.884150996571</v>
      </c>
      <c r="P68" s="293">
        <f t="shared" si="43"/>
        <v>21536.760585334501</v>
      </c>
      <c r="Q68" s="293">
        <f t="shared" si="43"/>
        <v>24443.252169315529</v>
      </c>
      <c r="R68" s="293">
        <f t="shared" si="43"/>
        <v>27527.406555712048</v>
      </c>
      <c r="S68" s="293">
        <f t="shared" si="43"/>
        <v>30948.318061168451</v>
      </c>
      <c r="T68" s="293">
        <f t="shared" si="43"/>
        <v>34738.5560199428</v>
      </c>
      <c r="U68" s="293">
        <f t="shared" si="43"/>
        <v>38891.170015152507</v>
      </c>
      <c r="W68" s="40"/>
      <c r="X68" s="40"/>
    </row>
    <row r="69" spans="1:26">
      <c r="A69" s="42" t="s">
        <v>108</v>
      </c>
      <c r="B69" s="155">
        <f>B67*$O$95*(B66-B60)/365.25</f>
        <v>24034.67666322424</v>
      </c>
      <c r="C69" s="155">
        <f t="shared" ref="C69:U69" si="44">C67*$O$95*(C66-C60)/365.25</f>
        <v>24034.67666322424</v>
      </c>
      <c r="D69" s="155">
        <f t="shared" si="44"/>
        <v>24034.67666322424</v>
      </c>
      <c r="E69" s="155">
        <f t="shared" si="44"/>
        <v>24034.67666322424</v>
      </c>
      <c r="F69" s="155">
        <f t="shared" si="44"/>
        <v>24034.67666322424</v>
      </c>
      <c r="G69" s="155">
        <f t="shared" si="44"/>
        <v>24034.67666322424</v>
      </c>
      <c r="H69" s="155">
        <f t="shared" si="44"/>
        <v>24034.67666322424</v>
      </c>
      <c r="I69" s="155">
        <f t="shared" si="44"/>
        <v>24034.67666322424</v>
      </c>
      <c r="J69" s="155">
        <f t="shared" si="44"/>
        <v>24034.67666322424</v>
      </c>
      <c r="K69" s="155">
        <f t="shared" si="44"/>
        <v>24034.67666322424</v>
      </c>
      <c r="L69" s="155">
        <f t="shared" si="44"/>
        <v>23441.657069885419</v>
      </c>
      <c r="M69" s="155">
        <f t="shared" si="44"/>
        <v>22112.336157303391</v>
      </c>
      <c r="N69" s="155">
        <f t="shared" si="44"/>
        <v>20575.222717406788</v>
      </c>
      <c r="O69" s="155">
        <f t="shared" si="44"/>
        <v>18807.735941641211</v>
      </c>
      <c r="P69" s="155">
        <f t="shared" si="44"/>
        <v>16788.359992592632</v>
      </c>
      <c r="Q69" s="155">
        <f t="shared" si="44"/>
        <v>14487.432147868982</v>
      </c>
      <c r="R69" s="155">
        <f t="shared" si="44"/>
        <v>11893.412225058602</v>
      </c>
      <c r="S69" s="155">
        <f t="shared" si="44"/>
        <v>8974.6225811829954</v>
      </c>
      <c r="T69" s="155">
        <f t="shared" si="44"/>
        <v>5695.8049537613933</v>
      </c>
      <c r="U69" s="155">
        <f t="shared" si="44"/>
        <v>2009.1588370976472</v>
      </c>
      <c r="W69" s="40"/>
      <c r="X69" s="40"/>
    </row>
    <row r="70" spans="1:26">
      <c r="A70" s="42" t="s">
        <v>109</v>
      </c>
      <c r="B70" s="61">
        <f>B67</f>
        <v>465237.82943859056</v>
      </c>
      <c r="C70" s="61">
        <f t="shared" ref="C70:K70" si="45">C67</f>
        <v>465237.82943859056</v>
      </c>
      <c r="D70" s="61">
        <f t="shared" si="45"/>
        <v>465237.82943859056</v>
      </c>
      <c r="E70" s="61">
        <f t="shared" si="45"/>
        <v>465237.82943859056</v>
      </c>
      <c r="F70" s="61">
        <f t="shared" si="45"/>
        <v>465237.82943859056</v>
      </c>
      <c r="G70" s="61">
        <f t="shared" si="45"/>
        <v>465237.82943859056</v>
      </c>
      <c r="H70" s="61">
        <f t="shared" si="45"/>
        <v>465237.82943859056</v>
      </c>
      <c r="I70" s="61">
        <f t="shared" si="45"/>
        <v>465237.82943859056</v>
      </c>
      <c r="J70" s="61">
        <f t="shared" si="45"/>
        <v>465237.82943859056</v>
      </c>
      <c r="K70" s="61">
        <f t="shared" si="45"/>
        <v>465237.82943859056</v>
      </c>
      <c r="L70" s="61">
        <f>MAX(0,L67+L69-L11*(L66-L60)/365.25)</f>
        <v>441496.4583030747</v>
      </c>
      <c r="M70" s="61">
        <f t="shared" ref="M70:U70" si="46">MAX(0,M67+M69-M11*(M66-M60)/365.25)</f>
        <v>413714.08514331898</v>
      </c>
      <c r="N70" s="61">
        <f t="shared" si="46"/>
        <v>381779.07236980542</v>
      </c>
      <c r="O70" s="61">
        <f t="shared" si="46"/>
        <v>345132.35966879717</v>
      </c>
      <c r="P70" s="61">
        <f t="shared" si="46"/>
        <v>303434.54118127236</v>
      </c>
      <c r="Q70" s="61">
        <f t="shared" si="46"/>
        <v>255989.12397854158</v>
      </c>
      <c r="R70" s="61">
        <f t="shared" si="46"/>
        <v>202692.67777232802</v>
      </c>
      <c r="S70" s="61">
        <f t="shared" si="46"/>
        <v>142772.92596492107</v>
      </c>
      <c r="T70" s="61">
        <f t="shared" si="46"/>
        <v>75514.807098861871</v>
      </c>
      <c r="U70" s="376">
        <f t="shared" si="46"/>
        <v>0</v>
      </c>
      <c r="W70" s="40"/>
      <c r="X70" s="40"/>
    </row>
    <row r="71" spans="1:26">
      <c r="A71" s="42"/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</row>
    <row r="72" spans="1:26">
      <c r="A72" s="373" t="s">
        <v>99</v>
      </c>
      <c r="B72" s="371"/>
      <c r="C72" s="371"/>
      <c r="D72" s="371"/>
      <c r="E72" s="371"/>
      <c r="F72" s="371"/>
      <c r="G72" s="371"/>
      <c r="H72" s="371"/>
      <c r="I72" s="371"/>
      <c r="J72" s="371"/>
      <c r="K72" s="371"/>
      <c r="L72" s="371"/>
      <c r="M72" s="371"/>
      <c r="N72" s="371"/>
      <c r="O72" s="371"/>
      <c r="P72" s="371"/>
      <c r="Q72" s="371"/>
      <c r="R72" s="371"/>
      <c r="S72" s="371"/>
      <c r="T72" s="371"/>
      <c r="U72" s="371"/>
      <c r="V72" s="43"/>
      <c r="W72" s="43"/>
      <c r="X72" s="43"/>
      <c r="Y72" s="43"/>
      <c r="Z72" s="43"/>
    </row>
    <row r="73" spans="1:26">
      <c r="A73" s="42" t="s">
        <v>172</v>
      </c>
      <c r="B73" s="156">
        <f>SUM(B68,B62,B50,B44,B32,B26)</f>
        <v>25650.417377553757</v>
      </c>
      <c r="C73" s="156">
        <f t="shared" ref="C73:U73" si="47">SUM(C68,C62,C50,C44,C32,C26)</f>
        <v>27545.984483553329</v>
      </c>
      <c r="D73" s="156">
        <f t="shared" si="47"/>
        <v>29568.649788183429</v>
      </c>
      <c r="E73" s="156">
        <f t="shared" si="47"/>
        <v>5080.4908063869516</v>
      </c>
      <c r="F73" s="156">
        <f t="shared" si="47"/>
        <v>8995.575521734092</v>
      </c>
      <c r="G73" s="156">
        <f t="shared" si="47"/>
        <v>10850.528235789738</v>
      </c>
      <c r="H73" s="156">
        <f t="shared" si="47"/>
        <v>12834.182259127832</v>
      </c>
      <c r="I73" s="156">
        <f t="shared" si="47"/>
        <v>15159.059857192886</v>
      </c>
      <c r="J73" s="156">
        <f t="shared" si="47"/>
        <v>17760.03718549246</v>
      </c>
      <c r="K73" s="156">
        <f t="shared" si="47"/>
        <v>20259.417285650095</v>
      </c>
      <c r="L73" s="156">
        <f t="shared" si="47"/>
        <v>23741.371135515859</v>
      </c>
      <c r="M73" s="156">
        <f t="shared" si="47"/>
        <v>27782.37315975572</v>
      </c>
      <c r="N73" s="156">
        <f t="shared" si="47"/>
        <v>31935.012773513561</v>
      </c>
      <c r="O73" s="156">
        <f t="shared" si="47"/>
        <v>36646.712701008248</v>
      </c>
      <c r="P73" s="156">
        <f t="shared" si="47"/>
        <v>41697.818487524812</v>
      </c>
      <c r="Q73" s="156">
        <f t="shared" si="47"/>
        <v>47445.41720273078</v>
      </c>
      <c r="R73" s="156">
        <f t="shared" si="47"/>
        <v>53296.446206213557</v>
      </c>
      <c r="S73" s="156">
        <f t="shared" si="47"/>
        <v>59919.751807406952</v>
      </c>
      <c r="T73" s="156">
        <f t="shared" si="47"/>
        <v>67258.118866059202</v>
      </c>
      <c r="U73" s="156">
        <f t="shared" si="47"/>
        <v>75514.807098861871</v>
      </c>
      <c r="V73" s="43"/>
      <c r="W73" s="43"/>
      <c r="X73" s="43"/>
      <c r="Y73" s="43"/>
      <c r="Z73" s="43"/>
    </row>
    <row r="74" spans="1:26">
      <c r="A74" s="351" t="s">
        <v>94</v>
      </c>
      <c r="B74" s="370">
        <f t="shared" ref="B74:U74" si="48">SUM(B21,B27,B39,B45,B57,B63,B69,B51,B33)</f>
        <v>63286.350681938071</v>
      </c>
      <c r="C74" s="370">
        <f t="shared" si="48"/>
        <v>61155.925850424232</v>
      </c>
      <c r="D74" s="370">
        <f t="shared" si="48"/>
        <v>58681.321876893402</v>
      </c>
      <c r="E74" s="370">
        <f t="shared" si="48"/>
        <v>56742.601543247874</v>
      </c>
      <c r="F74" s="370">
        <f t="shared" si="48"/>
        <v>55988.047168598205</v>
      </c>
      <c r="G74" s="370">
        <f t="shared" si="48"/>
        <v>55049.554108863522</v>
      </c>
      <c r="H74" s="370">
        <f t="shared" si="48"/>
        <v>53923.68656328931</v>
      </c>
      <c r="I74" s="370">
        <f t="shared" si="48"/>
        <v>52736.611008958818</v>
      </c>
      <c r="J74" s="370">
        <f t="shared" si="48"/>
        <v>51023.711047362165</v>
      </c>
      <c r="K74" s="370">
        <f t="shared" si="48"/>
        <v>49198.631649454852</v>
      </c>
      <c r="L74" s="370">
        <f t="shared" si="48"/>
        <v>47084.464004904912</v>
      </c>
      <c r="M74" s="370">
        <f t="shared" si="48"/>
        <v>44672.593645090979</v>
      </c>
      <c r="N74" s="370">
        <f t="shared" si="48"/>
        <v>41599.657151607942</v>
      </c>
      <c r="O74" s="370">
        <f t="shared" si="48"/>
        <v>38209.272808843845</v>
      </c>
      <c r="P74" s="370">
        <f t="shared" si="48"/>
        <v>34327.556571950234</v>
      </c>
      <c r="Q74" s="370">
        <f t="shared" si="48"/>
        <v>29992.791819494953</v>
      </c>
      <c r="R74" s="370">
        <f t="shared" si="48"/>
        <v>24902.460614336902</v>
      </c>
      <c r="S74" s="370">
        <f t="shared" si="48"/>
        <v>19275.211966822848</v>
      </c>
      <c r="T74" s="370">
        <f t="shared" si="48"/>
        <v>12951.347195908365</v>
      </c>
      <c r="U74" s="370">
        <f t="shared" si="48"/>
        <v>5867.9292989015285</v>
      </c>
      <c r="V74" s="43"/>
      <c r="W74" s="43"/>
      <c r="X74" s="43"/>
      <c r="Y74" s="43"/>
      <c r="Z74" s="43"/>
    </row>
    <row r="75" spans="1:26">
      <c r="A75" s="43" t="s">
        <v>110</v>
      </c>
      <c r="B75" s="43">
        <f t="shared" ref="B75:U75" si="49">SUM(B73:B74)</f>
        <v>88936.76805949182</v>
      </c>
      <c r="C75" s="43">
        <f t="shared" si="49"/>
        <v>88701.910333977561</v>
      </c>
      <c r="D75" s="43">
        <f t="shared" si="49"/>
        <v>88249.971665076824</v>
      </c>
      <c r="E75" s="43">
        <f t="shared" si="49"/>
        <v>61823.092349634826</v>
      </c>
      <c r="F75" s="43">
        <f t="shared" si="49"/>
        <v>64983.622690332297</v>
      </c>
      <c r="G75" s="43">
        <f t="shared" si="49"/>
        <v>65900.082344653259</v>
      </c>
      <c r="H75" s="43">
        <f t="shared" si="49"/>
        <v>66757.868822417135</v>
      </c>
      <c r="I75" s="43">
        <f t="shared" si="49"/>
        <v>67895.670866151704</v>
      </c>
      <c r="J75" s="43">
        <f t="shared" si="49"/>
        <v>68783.748232854618</v>
      </c>
      <c r="K75" s="43">
        <f t="shared" si="49"/>
        <v>69458.048935104947</v>
      </c>
      <c r="L75" s="43">
        <f t="shared" si="49"/>
        <v>70825.835140420764</v>
      </c>
      <c r="M75" s="43">
        <f t="shared" si="49"/>
        <v>72454.966804846699</v>
      </c>
      <c r="N75" s="43">
        <f t="shared" si="49"/>
        <v>73534.669925121503</v>
      </c>
      <c r="O75" s="43">
        <f t="shared" si="49"/>
        <v>74855.985509852093</v>
      </c>
      <c r="P75" s="43">
        <f t="shared" si="49"/>
        <v>76025.375059475045</v>
      </c>
      <c r="Q75" s="43">
        <f t="shared" si="49"/>
        <v>77438.209022225725</v>
      </c>
      <c r="R75" s="43">
        <f t="shared" si="49"/>
        <v>78198.906820550459</v>
      </c>
      <c r="S75" s="43">
        <f t="shared" si="49"/>
        <v>79194.963774229807</v>
      </c>
      <c r="T75" s="43">
        <f t="shared" si="49"/>
        <v>80209.466061967571</v>
      </c>
      <c r="U75" s="43">
        <f t="shared" si="49"/>
        <v>81382.736397763394</v>
      </c>
      <c r="V75" s="43"/>
      <c r="W75" s="43"/>
      <c r="X75" s="43"/>
      <c r="Y75" s="43"/>
      <c r="Z75" s="43"/>
    </row>
    <row r="76" spans="1:26" ht="13.5" thickBo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3.5" thickBot="1">
      <c r="A77" s="374" t="s">
        <v>173</v>
      </c>
      <c r="B77" s="379">
        <f t="shared" ref="B77:U77" si="50">IF(B75&gt;0.1,B9/B75," ")</f>
        <v>1.3546359890109891</v>
      </c>
      <c r="C77" s="379">
        <f t="shared" si="50"/>
        <v>1.3509246575342468</v>
      </c>
      <c r="D77" s="379">
        <f t="shared" si="50"/>
        <v>1.3511406634631784</v>
      </c>
      <c r="E77" s="380">
        <f t="shared" si="50"/>
        <v>2.9938524590163942</v>
      </c>
      <c r="F77" s="380">
        <f t="shared" si="50"/>
        <v>3.0020547945205491</v>
      </c>
      <c r="G77" s="380">
        <f t="shared" si="50"/>
        <v>3.0020547945205491</v>
      </c>
      <c r="H77" s="380">
        <f t="shared" si="50"/>
        <v>3.0020547945205487</v>
      </c>
      <c r="I77" s="380">
        <f t="shared" si="50"/>
        <v>2.9938524590163933</v>
      </c>
      <c r="J77" s="380">
        <f t="shared" si="50"/>
        <v>3.0020547945205487</v>
      </c>
      <c r="K77" s="380">
        <f t="shared" si="50"/>
        <v>3.002734226837056</v>
      </c>
      <c r="L77" s="380">
        <f t="shared" si="50"/>
        <v>3.0020547945205478</v>
      </c>
      <c r="M77" s="380">
        <f t="shared" si="50"/>
        <v>2.9938524590163929</v>
      </c>
      <c r="N77" s="380">
        <f t="shared" si="50"/>
        <v>3.0020547945205496</v>
      </c>
      <c r="O77" s="380">
        <f t="shared" si="50"/>
        <v>3.0020547945205509</v>
      </c>
      <c r="P77" s="380">
        <f t="shared" si="50"/>
        <v>3.0020547945205491</v>
      </c>
      <c r="Q77" s="380">
        <f t="shared" si="50"/>
        <v>2.9938524590163915</v>
      </c>
      <c r="R77" s="380">
        <f t="shared" si="50"/>
        <v>3.0020547945205474</v>
      </c>
      <c r="S77" s="380">
        <f t="shared" si="50"/>
        <v>3.0020547945205482</v>
      </c>
      <c r="T77" s="380">
        <f t="shared" si="50"/>
        <v>3.0020547945205478</v>
      </c>
      <c r="U77" s="381">
        <f t="shared" si="50"/>
        <v>2.994843520890309</v>
      </c>
      <c r="V77" s="44"/>
      <c r="W77" s="44"/>
      <c r="X77" s="44"/>
      <c r="Y77" s="44"/>
      <c r="Z77" s="44"/>
    </row>
    <row r="78" spans="1:26">
      <c r="A78" s="45"/>
      <c r="B78" s="352"/>
      <c r="C78" s="353"/>
      <c r="D78" s="353"/>
      <c r="E78" s="353"/>
      <c r="F78" s="353"/>
      <c r="G78" s="353"/>
      <c r="H78" s="353"/>
      <c r="I78" s="353"/>
      <c r="J78" s="353"/>
      <c r="K78" s="353"/>
      <c r="L78" s="353"/>
      <c r="M78" s="353"/>
      <c r="N78" s="353"/>
      <c r="O78" s="353"/>
      <c r="P78" s="353"/>
      <c r="Q78" s="353"/>
      <c r="R78" s="353"/>
      <c r="S78" s="353"/>
      <c r="T78" s="353"/>
      <c r="U78" s="353"/>
      <c r="V78" s="44"/>
      <c r="W78" s="44"/>
      <c r="X78" s="44"/>
      <c r="Y78" s="44"/>
      <c r="Z78" s="44"/>
    </row>
    <row r="79" spans="1:26">
      <c r="A79" s="45"/>
      <c r="B79" s="354"/>
      <c r="C79" s="354"/>
      <c r="D79" s="354"/>
      <c r="E79" s="354"/>
      <c r="F79" s="354"/>
      <c r="G79" s="354"/>
      <c r="H79" s="354"/>
      <c r="I79" s="354"/>
      <c r="J79" s="354"/>
      <c r="K79" s="354"/>
      <c r="L79" s="354"/>
      <c r="M79" s="354"/>
      <c r="N79" s="354"/>
      <c r="O79" s="354"/>
      <c r="P79" s="354"/>
      <c r="Q79" s="354"/>
      <c r="R79" s="354"/>
      <c r="S79" s="354"/>
      <c r="T79" s="354"/>
      <c r="U79" s="354"/>
      <c r="V79" s="44"/>
      <c r="W79" s="44"/>
      <c r="X79" s="44"/>
      <c r="Y79" s="44"/>
      <c r="Z79" s="44"/>
    </row>
    <row r="80" spans="1:26">
      <c r="A80" s="45"/>
      <c r="B80" s="560" t="s">
        <v>0</v>
      </c>
      <c r="C80" s="561"/>
      <c r="D80" s="561"/>
      <c r="E80" s="561"/>
      <c r="F80" s="561"/>
      <c r="G80" s="562"/>
      <c r="H80" s="354"/>
      <c r="I80" s="354"/>
      <c r="J80" s="354"/>
      <c r="K80" s="354"/>
      <c r="L80" s="354"/>
      <c r="M80" s="354"/>
      <c r="N80" s="354"/>
      <c r="O80" s="354"/>
      <c r="P80" s="354"/>
      <c r="Q80" s="354"/>
      <c r="R80" s="354"/>
      <c r="S80" s="354"/>
      <c r="T80" s="354"/>
      <c r="U80" s="354"/>
      <c r="V80" s="44"/>
      <c r="W80" s="44"/>
      <c r="X80" s="44"/>
      <c r="Y80" s="44"/>
      <c r="Z80" s="44"/>
    </row>
    <row r="81" spans="1:26">
      <c r="A81" s="45"/>
      <c r="B81" s="340" t="s">
        <v>198</v>
      </c>
      <c r="C81" s="386"/>
      <c r="D81" s="387"/>
      <c r="E81" s="340" t="s">
        <v>199</v>
      </c>
      <c r="F81" s="386"/>
      <c r="G81" s="387"/>
      <c r="H81" s="354"/>
      <c r="I81" s="354"/>
      <c r="J81" s="354"/>
      <c r="K81" s="354"/>
      <c r="L81" s="354"/>
      <c r="M81" s="354"/>
      <c r="N81" s="354"/>
      <c r="O81" s="354"/>
      <c r="P81" s="354"/>
      <c r="Q81" s="354"/>
      <c r="R81" s="354"/>
      <c r="S81" s="354"/>
      <c r="T81" s="354"/>
      <c r="U81" s="354"/>
      <c r="V81" s="44"/>
      <c r="W81" s="44"/>
      <c r="X81" s="44"/>
      <c r="Y81" s="44"/>
      <c r="Z81" s="44"/>
    </row>
    <row r="82" spans="1:26">
      <c r="A82" s="45"/>
      <c r="B82" s="388" t="s">
        <v>178</v>
      </c>
      <c r="C82" s="34"/>
      <c r="D82" s="389">
        <f>MIN(B77:D77)</f>
        <v>1.3509246575342468</v>
      </c>
      <c r="E82" s="388" t="s">
        <v>178</v>
      </c>
      <c r="F82" s="34"/>
      <c r="G82" s="389">
        <f>MIN(E77:U77)</f>
        <v>2.9938524590163915</v>
      </c>
      <c r="H82" s="354"/>
      <c r="I82" s="354"/>
      <c r="J82" s="354"/>
      <c r="K82" s="354"/>
      <c r="L82" s="354"/>
      <c r="M82" s="354"/>
      <c r="N82" s="354"/>
      <c r="O82" s="354"/>
      <c r="P82" s="354"/>
      <c r="Q82" s="354"/>
      <c r="R82" s="354"/>
      <c r="S82" s="354"/>
      <c r="T82" s="354"/>
      <c r="U82" s="354"/>
      <c r="V82" s="44"/>
      <c r="W82" s="44"/>
      <c r="X82" s="44"/>
      <c r="Y82" s="44"/>
      <c r="Z82" s="44"/>
    </row>
    <row r="83" spans="1:26">
      <c r="A83" s="45"/>
      <c r="B83" s="390" t="s">
        <v>177</v>
      </c>
      <c r="C83" s="391"/>
      <c r="D83" s="392">
        <f>AVERAGE(B77:D77)</f>
        <v>1.3522337700028049</v>
      </c>
      <c r="E83" s="390" t="s">
        <v>177</v>
      </c>
      <c r="F83" s="391"/>
      <c r="G83" s="392">
        <f>AVERAGE(E77:U77)</f>
        <v>2.9997406072658213</v>
      </c>
      <c r="H83" s="354"/>
      <c r="I83" s="354"/>
      <c r="J83" s="354"/>
      <c r="K83" s="354"/>
      <c r="L83" s="354"/>
      <c r="M83" s="354"/>
      <c r="N83" s="354"/>
      <c r="O83" s="354"/>
      <c r="P83" s="354"/>
      <c r="Q83" s="354"/>
      <c r="R83" s="354"/>
      <c r="S83" s="354"/>
      <c r="T83" s="354"/>
      <c r="U83" s="354"/>
      <c r="V83" s="44"/>
      <c r="W83" s="44"/>
      <c r="X83" s="44"/>
      <c r="Y83" s="44"/>
      <c r="Z83" s="44"/>
    </row>
    <row r="84" spans="1:26">
      <c r="A84" s="45"/>
      <c r="F84" s="354"/>
      <c r="G84" s="354"/>
      <c r="H84" s="354"/>
      <c r="I84" s="354"/>
      <c r="J84" s="354"/>
      <c r="K84" s="354"/>
      <c r="L84" s="354"/>
      <c r="M84" s="354"/>
      <c r="N84" s="354"/>
      <c r="O84" s="354"/>
      <c r="P84" s="354"/>
      <c r="Q84" s="354"/>
      <c r="R84" s="354"/>
      <c r="S84" s="354"/>
      <c r="T84" s="354"/>
      <c r="U84" s="354"/>
      <c r="V84" s="44"/>
      <c r="W84" s="44"/>
      <c r="X84" s="44"/>
      <c r="Y84" s="44"/>
      <c r="Z84" s="44"/>
    </row>
    <row r="85" spans="1:26">
      <c r="A85" s="45"/>
      <c r="F85" s="354"/>
      <c r="G85" s="354"/>
      <c r="H85" s="354"/>
      <c r="I85" s="354"/>
      <c r="J85" s="354"/>
      <c r="K85" s="354"/>
      <c r="L85" s="354"/>
      <c r="M85" s="354"/>
      <c r="N85" s="354"/>
      <c r="O85" s="354"/>
      <c r="P85" s="354"/>
      <c r="Q85" s="354"/>
      <c r="R85" s="354"/>
      <c r="S85" s="354"/>
      <c r="T85" s="354"/>
      <c r="U85" s="354"/>
      <c r="V85" s="44"/>
      <c r="W85" s="44"/>
      <c r="X85" s="44"/>
      <c r="Y85" s="44"/>
      <c r="Z85" s="44"/>
    </row>
    <row r="86" spans="1:26">
      <c r="A86" s="45"/>
      <c r="F86" s="354"/>
      <c r="G86" s="354"/>
      <c r="H86" s="354"/>
      <c r="I86" s="354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44"/>
      <c r="W86" s="44"/>
      <c r="X86" s="44"/>
      <c r="Y86" s="44"/>
      <c r="Z86" s="44"/>
    </row>
    <row r="87" spans="1:26">
      <c r="A87" s="45"/>
      <c r="B87" s="50"/>
      <c r="C87" s="19"/>
      <c r="D87" s="19"/>
      <c r="E87" s="263"/>
      <c r="F87" s="354"/>
      <c r="G87" s="354"/>
      <c r="H87" s="354"/>
      <c r="I87" s="354"/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44"/>
      <c r="W87" s="44"/>
      <c r="X87" s="44"/>
      <c r="Y87" s="44"/>
      <c r="Z87" s="44"/>
    </row>
    <row r="88" spans="1:26">
      <c r="A88" s="45"/>
      <c r="B88" s="50"/>
      <c r="C88" s="19"/>
      <c r="D88" s="19"/>
      <c r="E88" s="263"/>
      <c r="F88" s="354"/>
      <c r="G88" s="354"/>
      <c r="H88" s="354"/>
      <c r="I88" s="354"/>
      <c r="J88" s="354"/>
      <c r="K88" s="354"/>
      <c r="L88" s="354"/>
      <c r="M88" s="354"/>
      <c r="N88" s="354"/>
      <c r="O88" s="354"/>
      <c r="P88" s="354"/>
      <c r="Q88" s="354"/>
      <c r="R88" s="354"/>
      <c r="S88" s="354"/>
      <c r="T88" s="354"/>
      <c r="U88" s="354"/>
      <c r="V88" s="44"/>
      <c r="W88" s="44"/>
      <c r="X88" s="44"/>
      <c r="Y88" s="44"/>
      <c r="Z88" s="44"/>
    </row>
    <row r="89" spans="1:26">
      <c r="A89" s="45" t="s">
        <v>200</v>
      </c>
      <c r="B89" s="375">
        <f t="shared" ref="B89:U89" si="51">SUM(B21,B27,B33,B39,B45,B51,B57,B63,B69)</f>
        <v>63286.350681938071</v>
      </c>
      <c r="C89" s="375">
        <f t="shared" si="51"/>
        <v>61155.925850424232</v>
      </c>
      <c r="D89" s="375">
        <f t="shared" si="51"/>
        <v>58681.321876893417</v>
      </c>
      <c r="E89" s="375">
        <f t="shared" si="51"/>
        <v>56742.601543247874</v>
      </c>
      <c r="F89" s="375">
        <f t="shared" si="51"/>
        <v>55988.047168598205</v>
      </c>
      <c r="G89" s="375">
        <f t="shared" si="51"/>
        <v>55049.554108863522</v>
      </c>
      <c r="H89" s="375">
        <f t="shared" si="51"/>
        <v>53923.68656328931</v>
      </c>
      <c r="I89" s="375">
        <f t="shared" si="51"/>
        <v>52736.611008958833</v>
      </c>
      <c r="J89" s="375">
        <f t="shared" si="51"/>
        <v>51023.711047362172</v>
      </c>
      <c r="K89" s="375">
        <f t="shared" si="51"/>
        <v>49198.631649454852</v>
      </c>
      <c r="L89" s="375">
        <f t="shared" si="51"/>
        <v>47084.464004904912</v>
      </c>
      <c r="M89" s="375">
        <f t="shared" si="51"/>
        <v>44672.593645090979</v>
      </c>
      <c r="N89" s="375">
        <f t="shared" si="51"/>
        <v>41599.657151607942</v>
      </c>
      <c r="O89" s="375">
        <f t="shared" si="51"/>
        <v>38209.272808843845</v>
      </c>
      <c r="P89" s="375">
        <f t="shared" si="51"/>
        <v>34327.556571950234</v>
      </c>
      <c r="Q89" s="375">
        <f t="shared" si="51"/>
        <v>29992.791819494953</v>
      </c>
      <c r="R89" s="375">
        <f t="shared" si="51"/>
        <v>24902.460614336902</v>
      </c>
      <c r="S89" s="375">
        <f t="shared" si="51"/>
        <v>19275.211966822848</v>
      </c>
      <c r="T89" s="375">
        <f t="shared" si="51"/>
        <v>12951.347195908365</v>
      </c>
      <c r="U89" s="375">
        <f t="shared" si="51"/>
        <v>5867.9292989015285</v>
      </c>
      <c r="V89" s="44"/>
      <c r="W89" s="44"/>
      <c r="X89" s="44"/>
      <c r="Y89" s="44"/>
      <c r="Z89" s="44"/>
    </row>
    <row r="90" spans="1:26">
      <c r="A90" s="45"/>
      <c r="B90" s="50"/>
      <c r="C90" s="19"/>
      <c r="D90" s="19"/>
      <c r="E90" s="263"/>
      <c r="F90" s="354"/>
      <c r="G90" s="354"/>
      <c r="H90" s="354"/>
      <c r="I90" s="354"/>
      <c r="J90" s="354"/>
      <c r="K90" s="354"/>
      <c r="L90" s="354"/>
      <c r="M90" s="354"/>
      <c r="N90" s="354"/>
      <c r="O90" s="354"/>
      <c r="P90" s="354"/>
      <c r="Q90" s="354"/>
      <c r="R90" s="354"/>
      <c r="S90" s="354"/>
      <c r="T90" s="354"/>
      <c r="U90" s="354"/>
      <c r="V90" s="44"/>
      <c r="W90" s="44"/>
      <c r="X90" s="44"/>
      <c r="Y90" s="44"/>
      <c r="Z90" s="44"/>
    </row>
    <row r="91" spans="1:26">
      <c r="A91" s="45"/>
      <c r="B91" s="50"/>
      <c r="C91" s="19"/>
      <c r="D91" s="19"/>
      <c r="E91" s="263"/>
      <c r="F91" s="354"/>
      <c r="G91" s="354"/>
      <c r="H91" s="354"/>
      <c r="I91" s="354"/>
      <c r="J91" s="354"/>
      <c r="K91" s="354"/>
      <c r="L91" s="354"/>
      <c r="M91" s="354"/>
      <c r="N91" s="354"/>
      <c r="O91" s="354"/>
      <c r="P91" s="354"/>
      <c r="Q91" s="354"/>
      <c r="R91" s="354"/>
      <c r="S91" s="354"/>
      <c r="T91" s="354"/>
      <c r="U91" s="354"/>
      <c r="V91" s="44"/>
      <c r="W91" s="44"/>
      <c r="X91" s="44"/>
      <c r="Y91" s="44"/>
      <c r="Z91" s="44"/>
    </row>
    <row r="92" spans="1:26">
      <c r="B92" s="557" t="s">
        <v>24</v>
      </c>
      <c r="C92" s="558"/>
      <c r="D92" s="558"/>
      <c r="E92" s="559"/>
      <c r="F92" s="44"/>
      <c r="G92" s="557" t="s">
        <v>25</v>
      </c>
      <c r="H92" s="558"/>
      <c r="I92" s="558"/>
      <c r="J92" s="559"/>
      <c r="K92" s="44"/>
      <c r="L92" s="557" t="s">
        <v>26</v>
      </c>
      <c r="M92" s="558"/>
      <c r="N92" s="558"/>
      <c r="O92" s="559"/>
      <c r="P92" s="46"/>
      <c r="Q92" s="46"/>
      <c r="R92" s="46"/>
      <c r="S92" s="44"/>
      <c r="T92" s="44"/>
      <c r="U92" s="44"/>
      <c r="V92" s="44"/>
      <c r="W92" s="44"/>
      <c r="X92" s="44"/>
      <c r="Y92" s="44"/>
      <c r="Z92" s="44"/>
    </row>
    <row r="93" spans="1:26">
      <c r="B93" s="355" t="s">
        <v>174</v>
      </c>
      <c r="C93" s="51"/>
      <c r="D93" s="51"/>
      <c r="E93" s="356">
        <f>Assumptions!B26</f>
        <v>6.5799999999999997E-2</v>
      </c>
      <c r="F93" s="45"/>
      <c r="G93" s="355" t="s">
        <v>174</v>
      </c>
      <c r="H93" s="51"/>
      <c r="I93" s="51"/>
      <c r="J93" s="356">
        <f>Assumptions!C26</f>
        <v>6.4399999999999999E-2</v>
      </c>
      <c r="K93" s="45"/>
      <c r="L93" s="355" t="s">
        <v>174</v>
      </c>
      <c r="M93" s="51"/>
      <c r="N93" s="51"/>
      <c r="O93" s="356">
        <f>Assumptions!D26</f>
        <v>6.13E-2</v>
      </c>
      <c r="P93" s="46"/>
      <c r="Q93" s="46"/>
      <c r="R93" s="46"/>
      <c r="S93" s="44"/>
      <c r="T93" s="44"/>
      <c r="U93" s="44"/>
      <c r="V93" s="44"/>
      <c r="W93" s="44"/>
      <c r="X93" s="44"/>
      <c r="Y93" s="44"/>
      <c r="Z93" s="44"/>
    </row>
    <row r="94" spans="1:26">
      <c r="B94" s="49" t="s">
        <v>35</v>
      </c>
      <c r="C94" s="19"/>
      <c r="D94" s="19"/>
      <c r="E94" s="357">
        <f>Assumptions!B27</f>
        <v>2.2499999999999999E-2</v>
      </c>
      <c r="G94" s="49" t="s">
        <v>35</v>
      </c>
      <c r="H94" s="19"/>
      <c r="I94" s="19"/>
      <c r="J94" s="357">
        <f>Assumptions!C27</f>
        <v>3.5000000000000003E-2</v>
      </c>
      <c r="L94" s="49" t="s">
        <v>35</v>
      </c>
      <c r="M94" s="19"/>
      <c r="N94" s="19"/>
      <c r="O94" s="357">
        <f>Assumptions!D27</f>
        <v>4.1250000000000002E-2</v>
      </c>
    </row>
    <row r="95" spans="1:26">
      <c r="A95" s="42"/>
      <c r="B95" s="358" t="s">
        <v>36</v>
      </c>
      <c r="C95" s="52"/>
      <c r="D95" s="52"/>
      <c r="E95" s="359">
        <f>E94+E93</f>
        <v>8.829999999999999E-2</v>
      </c>
      <c r="G95" s="358" t="s">
        <v>36</v>
      </c>
      <c r="H95" s="52"/>
      <c r="I95" s="52"/>
      <c r="J95" s="359">
        <f>J94+J93</f>
        <v>9.9400000000000002E-2</v>
      </c>
      <c r="L95" s="358" t="s">
        <v>36</v>
      </c>
      <c r="M95" s="52"/>
      <c r="N95" s="52"/>
      <c r="O95" s="359">
        <f>O94+O93</f>
        <v>0.10255</v>
      </c>
    </row>
    <row r="96" spans="1:26">
      <c r="B96" s="360" t="s">
        <v>175</v>
      </c>
      <c r="C96" s="51"/>
      <c r="D96" s="51"/>
      <c r="E96" s="361">
        <f>(Assumptions!B22-Assumptions!$B$19)/365.25</f>
        <v>2.9952087611225187</v>
      </c>
      <c r="G96" s="360" t="s">
        <v>175</v>
      </c>
      <c r="H96" s="51"/>
      <c r="I96" s="51"/>
      <c r="J96" s="361">
        <f>(Assumptions!C22-Assumptions!$B$19)/365.25</f>
        <v>9.9958932238193015</v>
      </c>
      <c r="L96" s="360" t="s">
        <v>175</v>
      </c>
      <c r="M96" s="51"/>
      <c r="N96" s="51"/>
      <c r="O96" s="361">
        <f>(Assumptions!D22-Assumptions!$B$19)/365.25</f>
        <v>19.997262149212869</v>
      </c>
    </row>
    <row r="97" spans="1:30">
      <c r="B97" s="362" t="s">
        <v>176</v>
      </c>
      <c r="C97" s="19"/>
      <c r="D97" s="19"/>
      <c r="E97" s="363">
        <f>B107</f>
        <v>1.7989472972860778</v>
      </c>
      <c r="G97" s="362" t="s">
        <v>176</v>
      </c>
      <c r="H97" s="19"/>
      <c r="I97" s="19"/>
      <c r="J97" s="363">
        <f>B108</f>
        <v>7.4932248259303211</v>
      </c>
      <c r="L97" s="362" t="s">
        <v>176</v>
      </c>
      <c r="M97" s="19"/>
      <c r="N97" s="19"/>
      <c r="O97" s="363">
        <f>B109</f>
        <v>16.26045855061723</v>
      </c>
    </row>
    <row r="98" spans="1:30">
      <c r="B98" s="358" t="s">
        <v>105</v>
      </c>
      <c r="C98" s="52"/>
      <c r="D98" s="52"/>
      <c r="E98" s="364">
        <f>B22</f>
        <v>82765.051649290515</v>
      </c>
      <c r="G98" s="358" t="s">
        <v>105</v>
      </c>
      <c r="H98" s="52"/>
      <c r="I98" s="52"/>
      <c r="J98" s="364">
        <f>B40</f>
        <v>90939.291151374055</v>
      </c>
      <c r="L98" s="358" t="s">
        <v>105</v>
      </c>
      <c r="M98" s="52"/>
      <c r="N98" s="52"/>
      <c r="O98" s="364">
        <f>B58</f>
        <v>465237.82943859056</v>
      </c>
    </row>
    <row r="99" spans="1:30">
      <c r="B99" s="42"/>
    </row>
    <row r="100" spans="1:30">
      <c r="B100" s="42"/>
    </row>
    <row r="101" spans="1:30" ht="13.5" thickBo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</row>
    <row r="103" spans="1:30">
      <c r="A103" s="17" t="s">
        <v>179</v>
      </c>
      <c r="B103" s="152">
        <f>(B24-$B$19)/365.25</f>
        <v>0.49281314168377821</v>
      </c>
      <c r="C103" s="152">
        <f t="shared" ref="C103:U103" si="52">(C24-$B$19)/365.25</f>
        <v>1.4921286789869952</v>
      </c>
      <c r="D103" s="152">
        <f t="shared" si="52"/>
        <v>2.4914442162902124</v>
      </c>
      <c r="E103" s="152">
        <f t="shared" si="52"/>
        <v>3.4934976043805612</v>
      </c>
      <c r="F103" s="152">
        <f t="shared" si="52"/>
        <v>4.4928131416837784</v>
      </c>
      <c r="G103" s="152">
        <f t="shared" si="52"/>
        <v>5.4921286789869956</v>
      </c>
      <c r="H103" s="152">
        <f t="shared" si="52"/>
        <v>6.491444216290212</v>
      </c>
      <c r="I103" s="152">
        <f t="shared" si="52"/>
        <v>7.4934976043805612</v>
      </c>
      <c r="J103" s="152">
        <f t="shared" si="52"/>
        <v>8.4928131416837775</v>
      </c>
      <c r="K103" s="152">
        <f t="shared" si="52"/>
        <v>9.4921286789869956</v>
      </c>
      <c r="L103" s="152">
        <f t="shared" si="52"/>
        <v>10.491444216290212</v>
      </c>
      <c r="M103" s="152">
        <f t="shared" si="52"/>
        <v>11.493497604380561</v>
      </c>
      <c r="N103" s="152">
        <f t="shared" si="52"/>
        <v>12.492813141683778</v>
      </c>
      <c r="O103" s="152">
        <f t="shared" si="52"/>
        <v>13.492128678986996</v>
      </c>
      <c r="P103" s="152">
        <f t="shared" si="52"/>
        <v>14.491444216290212</v>
      </c>
      <c r="Q103" s="152">
        <f t="shared" si="52"/>
        <v>15.493497604380561</v>
      </c>
      <c r="R103" s="152">
        <f t="shared" si="52"/>
        <v>16.492813141683779</v>
      </c>
      <c r="S103" s="152">
        <f t="shared" si="52"/>
        <v>17.492128678986994</v>
      </c>
      <c r="T103" s="152">
        <f t="shared" si="52"/>
        <v>18.491444216290212</v>
      </c>
      <c r="U103" s="152">
        <f t="shared" si="52"/>
        <v>19.493497604380561</v>
      </c>
      <c r="V103" s="365"/>
      <c r="W103" s="365"/>
      <c r="X103" s="365"/>
      <c r="Y103" s="365"/>
      <c r="Z103" s="365"/>
      <c r="AA103" s="365"/>
      <c r="AB103" s="365"/>
      <c r="AC103" s="365"/>
      <c r="AD103" s="365"/>
    </row>
    <row r="104" spans="1:30">
      <c r="B104" s="152">
        <f>(B30-$B$19)/365.25</f>
        <v>0.99657768651608492</v>
      </c>
      <c r="C104" s="152">
        <f t="shared" ref="C104:U104" si="53">(C30-$B$19)/365.25</f>
        <v>1.9958932238193019</v>
      </c>
      <c r="D104" s="152">
        <f t="shared" si="53"/>
        <v>2.9952087611225187</v>
      </c>
      <c r="E104" s="152">
        <f t="shared" si="53"/>
        <v>3.9972621492128679</v>
      </c>
      <c r="F104" s="152">
        <f t="shared" si="53"/>
        <v>4.9965776865160851</v>
      </c>
      <c r="G104" s="152">
        <f t="shared" si="53"/>
        <v>5.9958932238193015</v>
      </c>
      <c r="H104" s="152">
        <f t="shared" si="53"/>
        <v>6.9952087611225187</v>
      </c>
      <c r="I104" s="152">
        <f t="shared" si="53"/>
        <v>7.9972621492128679</v>
      </c>
      <c r="J104" s="152">
        <f t="shared" si="53"/>
        <v>8.9965776865160851</v>
      </c>
      <c r="K104" s="152">
        <f t="shared" si="53"/>
        <v>9.9958932238193015</v>
      </c>
      <c r="L104" s="152">
        <f t="shared" si="53"/>
        <v>10.99520876112252</v>
      </c>
      <c r="M104" s="152">
        <f t="shared" si="53"/>
        <v>11.997262149212867</v>
      </c>
      <c r="N104" s="152">
        <f t="shared" si="53"/>
        <v>12.996577686516085</v>
      </c>
      <c r="O104" s="152">
        <f t="shared" si="53"/>
        <v>13.995893223819301</v>
      </c>
      <c r="P104" s="152">
        <f t="shared" si="53"/>
        <v>14.99520876112252</v>
      </c>
      <c r="Q104" s="152">
        <f t="shared" si="53"/>
        <v>15.997262149212867</v>
      </c>
      <c r="R104" s="152">
        <f t="shared" si="53"/>
        <v>16.996577686516083</v>
      </c>
      <c r="S104" s="152">
        <f t="shared" si="53"/>
        <v>17.995893223819301</v>
      </c>
      <c r="T104" s="152">
        <f t="shared" si="53"/>
        <v>18.99520876112252</v>
      </c>
      <c r="U104" s="152">
        <f t="shared" si="53"/>
        <v>19.997262149212869</v>
      </c>
      <c r="V104" s="152"/>
      <c r="W104" s="152"/>
      <c r="X104" s="152"/>
      <c r="Y104" s="152"/>
      <c r="Z104" s="152"/>
      <c r="AA104" s="152"/>
      <c r="AB104" s="42"/>
      <c r="AC104" s="42"/>
    </row>
    <row r="105" spans="1:30">
      <c r="B105" s="152"/>
      <c r="C105" s="152"/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  <c r="AA105" s="152"/>
      <c r="AB105" s="42"/>
      <c r="AC105" s="42"/>
    </row>
    <row r="106" spans="1:30">
      <c r="A106" s="17" t="s">
        <v>135</v>
      </c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</row>
    <row r="107" spans="1:30">
      <c r="A107" s="18" t="s">
        <v>24</v>
      </c>
      <c r="B107" s="335">
        <f>(SUMPRODUCT($B$103:$U$103,B26:U26)+SUMPRODUCT($B$104:$U$104,B32:U32))/E98</f>
        <v>1.7989472972860778</v>
      </c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</row>
    <row r="108" spans="1:30">
      <c r="A108" s="18" t="s">
        <v>25</v>
      </c>
      <c r="B108" s="335">
        <f>(SUMPRODUCT($B$103:$U$103,B44:U44)+SUMPRODUCT($B$104:$U$104,B50:U50))/J98</f>
        <v>7.4932248259303211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</row>
    <row r="109" spans="1:30">
      <c r="A109" s="18" t="s">
        <v>26</v>
      </c>
      <c r="B109" s="335">
        <f>(SUMPRODUCT($B$103:$U$103,B62:U62)+SUMPRODUCT($B$104:$U$104,B68:U68))/O98</f>
        <v>16.26045855061723</v>
      </c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</row>
    <row r="110" spans="1:30" ht="13.5" thickBo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</row>
    <row r="111" spans="1:30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</row>
  </sheetData>
  <mergeCells count="4">
    <mergeCell ref="B92:E92"/>
    <mergeCell ref="G92:J92"/>
    <mergeCell ref="L92:O92"/>
    <mergeCell ref="B80:G80"/>
  </mergeCells>
  <pageMargins left="0.18" right="0.17" top="0.37" bottom="0.4" header="0.17" footer="0.21"/>
  <pageSetup scale="42" orientation="landscape" r:id="rId1"/>
  <headerFooter alignWithMargins="0">
    <oddHeader>&amp;L&amp;12Enron Generation Company</oddHeader>
    <oddFooter>&amp;L&amp;T, &amp;D&amp;C&amp;F&amp;RPage &amp;P</oddFooter>
  </headerFooter>
  <rowBreaks count="1" manualBreakCount="1">
    <brk id="87" max="31" man="1"/>
  </rowBreaks>
  <colBreaks count="1" manualBreakCount="1">
    <brk id="11" max="8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Button 1">
              <controlPr defaultSize="0" print="0" autoFill="0" autoPict="0" macro="[0]!Debt">
                <anchor moveWithCells="1" sizeWithCells="1">
                  <from>
                    <xdr:col>0</xdr:col>
                    <xdr:colOff>342900</xdr:colOff>
                    <xdr:row>13</xdr:row>
                    <xdr:rowOff>28575</xdr:rowOff>
                  </from>
                  <to>
                    <xdr:col>0</xdr:col>
                    <xdr:colOff>1933575</xdr:colOff>
                    <xdr:row>15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BC49"/>
  <sheetViews>
    <sheetView zoomScale="75" zoomScaleNormal="75" workbookViewId="0"/>
  </sheetViews>
  <sheetFormatPr defaultRowHeight="12.75" outlineLevelRow="1"/>
  <cols>
    <col min="1" max="1" width="39.5703125" style="18" customWidth="1"/>
    <col min="2" max="2" width="12" style="18" bestFit="1" customWidth="1"/>
    <col min="3" max="5" width="11.140625" style="18" customWidth="1"/>
    <col min="6" max="7" width="12" style="18" customWidth="1"/>
    <col min="8" max="8" width="12.7109375" style="18" customWidth="1"/>
    <col min="9" max="9" width="12.5703125" style="18" customWidth="1"/>
    <col min="10" max="10" width="12.7109375" style="18" customWidth="1"/>
    <col min="11" max="13" width="11.28515625" style="18" customWidth="1"/>
    <col min="14" max="14" width="11.85546875" style="18" customWidth="1"/>
    <col min="15" max="15" width="11.140625" style="18" customWidth="1"/>
    <col min="16" max="16" width="11.85546875" style="18" customWidth="1"/>
    <col min="17" max="17" width="11.140625" style="18" customWidth="1"/>
    <col min="18" max="18" width="11.5703125" style="18" customWidth="1"/>
    <col min="19" max="19" width="11.28515625" style="18" customWidth="1"/>
    <col min="20" max="21" width="11.5703125" style="18" customWidth="1"/>
    <col min="22" max="22" width="12.5703125" style="18" customWidth="1"/>
    <col min="23" max="23" width="12.7109375" style="7" customWidth="1"/>
    <col min="24" max="24" width="12.28515625" style="7" customWidth="1"/>
    <col min="25" max="25" width="13.85546875" style="7" bestFit="1" customWidth="1"/>
    <col min="26" max="27" width="9.85546875" style="18" customWidth="1"/>
    <col min="28" max="28" width="9.140625" style="18"/>
    <col min="29" max="29" width="9.42578125" style="18" customWidth="1"/>
    <col min="30" max="30" width="9.85546875" style="18" customWidth="1"/>
    <col min="31" max="31" width="9.140625" style="18"/>
    <col min="32" max="32" width="9.42578125" style="18" customWidth="1"/>
    <col min="33" max="34" width="9.85546875" style="18" customWidth="1"/>
    <col min="35" max="36" width="9.140625" style="18"/>
    <col min="37" max="38" width="9.85546875" style="18" customWidth="1"/>
    <col min="39" max="80" width="9.140625" style="18"/>
    <col min="81" max="82" width="9.85546875" style="18" customWidth="1"/>
    <col min="83" max="16384" width="9.140625" style="18"/>
  </cols>
  <sheetData>
    <row r="2" spans="1:55" ht="18.75">
      <c r="A2" s="54" t="s">
        <v>139</v>
      </c>
      <c r="B2" s="54"/>
    </row>
    <row r="5" spans="1:55" ht="18.75">
      <c r="A5" s="153" t="s">
        <v>211</v>
      </c>
      <c r="B5" s="153"/>
    </row>
    <row r="6" spans="1:55">
      <c r="W6" s="154"/>
      <c r="X6" s="154"/>
    </row>
    <row r="7" spans="1:55" ht="13.5" outlineLevel="1" thickBot="1">
      <c r="A7" s="202" t="s">
        <v>83</v>
      </c>
      <c r="B7" s="337" t="s">
        <v>168</v>
      </c>
      <c r="C7" s="8">
        <v>2001</v>
      </c>
      <c r="D7" s="8">
        <f t="shared" ref="D7:V7" si="0">C7+1</f>
        <v>2002</v>
      </c>
      <c r="E7" s="8">
        <f t="shared" si="0"/>
        <v>2003</v>
      </c>
      <c r="F7" s="8">
        <f>E7+1</f>
        <v>2004</v>
      </c>
      <c r="G7" s="8">
        <f t="shared" si="0"/>
        <v>2005</v>
      </c>
      <c r="H7" s="8">
        <f t="shared" si="0"/>
        <v>2006</v>
      </c>
      <c r="I7" s="8">
        <f t="shared" si="0"/>
        <v>2007</v>
      </c>
      <c r="J7" s="8">
        <f t="shared" si="0"/>
        <v>2008</v>
      </c>
      <c r="K7" s="8">
        <f t="shared" si="0"/>
        <v>2009</v>
      </c>
      <c r="L7" s="8">
        <f>K7+1</f>
        <v>2010</v>
      </c>
      <c r="M7" s="8">
        <f t="shared" si="0"/>
        <v>2011</v>
      </c>
      <c r="N7" s="8">
        <f t="shared" si="0"/>
        <v>2012</v>
      </c>
      <c r="O7" s="8">
        <f t="shared" si="0"/>
        <v>2013</v>
      </c>
      <c r="P7" s="8">
        <f t="shared" si="0"/>
        <v>2014</v>
      </c>
      <c r="Q7" s="8">
        <f t="shared" si="0"/>
        <v>2015</v>
      </c>
      <c r="R7" s="8">
        <f t="shared" si="0"/>
        <v>2016</v>
      </c>
      <c r="S7" s="8">
        <f t="shared" si="0"/>
        <v>2017</v>
      </c>
      <c r="T7" s="8">
        <f t="shared" si="0"/>
        <v>2018</v>
      </c>
      <c r="U7" s="8">
        <f t="shared" si="0"/>
        <v>2019</v>
      </c>
      <c r="V7" s="8">
        <f t="shared" si="0"/>
        <v>2020</v>
      </c>
      <c r="W7" s="291" t="s">
        <v>27</v>
      </c>
      <c r="X7" s="563" t="s">
        <v>231</v>
      </c>
      <c r="Y7" s="563"/>
    </row>
    <row r="8" spans="1:55" outlineLevel="1">
      <c r="A8" s="236"/>
      <c r="B8" s="278">
        <f>Assumptions!B35</f>
        <v>36892</v>
      </c>
      <c r="C8" s="278">
        <v>37256</v>
      </c>
      <c r="D8" s="278">
        <v>37621</v>
      </c>
      <c r="E8" s="278">
        <v>37986</v>
      </c>
      <c r="F8" s="278">
        <v>38352</v>
      </c>
      <c r="G8" s="278">
        <v>38717</v>
      </c>
      <c r="H8" s="278">
        <v>39082</v>
      </c>
      <c r="I8" s="278">
        <v>39447</v>
      </c>
      <c r="J8" s="278">
        <v>39813</v>
      </c>
      <c r="K8" s="278">
        <v>40178</v>
      </c>
      <c r="L8" s="278">
        <v>40543</v>
      </c>
      <c r="M8" s="278">
        <v>40908</v>
      </c>
      <c r="N8" s="278">
        <v>41274</v>
      </c>
      <c r="O8" s="278">
        <v>41639</v>
      </c>
      <c r="P8" s="278">
        <v>42004</v>
      </c>
      <c r="Q8" s="278">
        <v>42369</v>
      </c>
      <c r="R8" s="278">
        <v>42735</v>
      </c>
      <c r="S8" s="278">
        <v>43100</v>
      </c>
      <c r="T8" s="278">
        <v>43465</v>
      </c>
      <c r="U8" s="278">
        <v>43830</v>
      </c>
      <c r="V8" s="278">
        <v>44196</v>
      </c>
      <c r="W8" s="292"/>
      <c r="X8" s="459"/>
      <c r="Y8" s="458"/>
    </row>
    <row r="9" spans="1:55" outlineLevel="1">
      <c r="A9" s="2"/>
      <c r="B9" s="2"/>
      <c r="C9" s="9"/>
      <c r="D9" s="9"/>
      <c r="E9" s="9"/>
      <c r="F9" s="9"/>
      <c r="G9" s="289"/>
      <c r="H9" s="289"/>
      <c r="I9" s="290"/>
      <c r="J9" s="290"/>
      <c r="K9" s="289"/>
      <c r="L9" s="289"/>
      <c r="M9" s="9"/>
      <c r="N9" s="9"/>
      <c r="O9" s="9"/>
      <c r="P9" s="9"/>
      <c r="Q9" s="9"/>
      <c r="R9" s="9"/>
      <c r="S9" s="9"/>
      <c r="T9" s="9"/>
      <c r="U9" s="9"/>
      <c r="V9" s="9"/>
      <c r="W9" s="292"/>
      <c r="X9" s="459"/>
      <c r="Y9" s="458"/>
    </row>
    <row r="10" spans="1:55">
      <c r="A10" s="12" t="s">
        <v>91</v>
      </c>
      <c r="B10" s="21">
        <v>0</v>
      </c>
      <c r="C10" s="21">
        <f>IS!B36</f>
        <v>120476.94675971066</v>
      </c>
      <c r="D10" s="21">
        <f>IS!C36</f>
        <v>119829.5978405621</v>
      </c>
      <c r="E10" s="21">
        <f>IS!D36</f>
        <v>119238.1252661586</v>
      </c>
      <c r="F10" s="21">
        <f>IS!E36</f>
        <v>185089.21705495185</v>
      </c>
      <c r="G10" s="21">
        <f>IS!F36</f>
        <v>195084.39606282642</v>
      </c>
      <c r="H10" s="21">
        <f>IS!G36</f>
        <v>197835.65816206532</v>
      </c>
      <c r="I10" s="21">
        <f>IS!H36</f>
        <v>200410.78017031122</v>
      </c>
      <c r="J10" s="21">
        <f>IS!I36</f>
        <v>203269.62117919596</v>
      </c>
      <c r="K10" s="21">
        <f>IS!J36</f>
        <v>206492.58116753554</v>
      </c>
      <c r="L10" s="21">
        <f>IS!K36</f>
        <v>208564.06086676277</v>
      </c>
      <c r="M10" s="21">
        <f>IS!L36</f>
        <v>212623.03795922204</v>
      </c>
      <c r="N10" s="21">
        <f>IS!M36</f>
        <v>216919.48053664141</v>
      </c>
      <c r="O10" s="21">
        <f>IS!N36</f>
        <v>220755.10841219706</v>
      </c>
      <c r="P10" s="21">
        <f>IS!O36</f>
        <v>224721.77019841236</v>
      </c>
      <c r="Q10" s="21">
        <f>IS!P36</f>
        <v>228232.34170252003</v>
      </c>
      <c r="R10" s="21">
        <f>IS!Q36</f>
        <v>231838.57250301581</v>
      </c>
      <c r="S10" s="21">
        <f>IS!R36</f>
        <v>234757.40314689904</v>
      </c>
      <c r="T10" s="21">
        <f>IS!S36</f>
        <v>237747.62070030771</v>
      </c>
      <c r="U10" s="21">
        <f>IS!T36</f>
        <v>240793.2121572629</v>
      </c>
      <c r="V10" s="21">
        <f>IS!U36</f>
        <v>243728.56081316562</v>
      </c>
      <c r="W10" s="293">
        <f>SUM(C10:V10)</f>
        <v>4048408.0926597239</v>
      </c>
      <c r="X10" s="460">
        <f>SUM(Caledonia!W59,'New Albany'!W59,Wheatland!W59,Wilton!W59,Brownsville!W59,Gleason!W59)</f>
        <v>4048408.0926597244</v>
      </c>
      <c r="Y10" s="461">
        <f>W10-X10</f>
        <v>0</v>
      </c>
    </row>
    <row r="11" spans="1:55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61"/>
      <c r="X11" s="458"/>
      <c r="Y11" s="458"/>
    </row>
    <row r="12" spans="1:55" s="7" customFormat="1" ht="12" customHeight="1">
      <c r="A12" s="13" t="s">
        <v>255</v>
      </c>
      <c r="B12" s="24">
        <v>0</v>
      </c>
      <c r="C12" s="69">
        <f>IS!B28</f>
        <v>2138.7599999999998</v>
      </c>
      <c r="D12" s="69">
        <f>IS!C28</f>
        <v>2485.4070000000002</v>
      </c>
      <c r="E12" s="69">
        <f>IS!D28</f>
        <v>2675.4930000000004</v>
      </c>
      <c r="F12" s="69">
        <f>IS!E28</f>
        <v>2752.7350000000001</v>
      </c>
      <c r="G12" s="69">
        <f>IS!F28</f>
        <v>2800.4010000000003</v>
      </c>
      <c r="H12" s="69">
        <f>IS!G28</f>
        <v>3000.837</v>
      </c>
      <c r="I12" s="69">
        <f>IS!H28</f>
        <v>3133.239</v>
      </c>
      <c r="J12" s="69">
        <f>IS!I28</f>
        <v>3204.1120000000001</v>
      </c>
      <c r="K12" s="69">
        <f>IS!J28</f>
        <v>3150.1800000000003</v>
      </c>
      <c r="L12" s="69">
        <f>IS!K28</f>
        <v>3985.1379999999999</v>
      </c>
      <c r="M12" s="69">
        <f>IS!L28</f>
        <v>3774.3130000000001</v>
      </c>
      <c r="N12" s="69">
        <f>IS!M28</f>
        <v>3371.88</v>
      </c>
      <c r="O12" s="69">
        <f>IS!N28</f>
        <v>3464.7</v>
      </c>
      <c r="P12" s="69">
        <f>IS!O28</f>
        <v>3464.7</v>
      </c>
      <c r="Q12" s="69">
        <f>IS!P28</f>
        <v>3953.498301179623</v>
      </c>
      <c r="R12" s="69">
        <f>IS!Q28</f>
        <v>3397.5323122032155</v>
      </c>
      <c r="S12" s="69">
        <f>IS!R28</f>
        <v>3421.1349584472796</v>
      </c>
      <c r="T12" s="69">
        <f>IS!S28</f>
        <v>3445.2096576162253</v>
      </c>
      <c r="U12" s="69">
        <f>IS!T28</f>
        <v>3469.7658507685501</v>
      </c>
      <c r="V12" s="69">
        <f>IS!U28</f>
        <v>3485.5551622965972</v>
      </c>
      <c r="W12" s="293">
        <f>SUM(C12:V12)</f>
        <v>64574.591242511466</v>
      </c>
      <c r="X12" s="460">
        <f>SUM(IS!B28:U28)</f>
        <v>64574.591242511466</v>
      </c>
      <c r="Y12" s="461">
        <f>W12-X12</f>
        <v>0</v>
      </c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</row>
    <row r="13" spans="1:55" s="7" customFormat="1">
      <c r="A13" s="13" t="s">
        <v>256</v>
      </c>
      <c r="B13" s="24">
        <v>0</v>
      </c>
      <c r="C13" s="69">
        <v>-1959.1981014</v>
      </c>
      <c r="D13" s="69">
        <f>-C12</f>
        <v>-2138.7599999999998</v>
      </c>
      <c r="E13" s="69">
        <f t="shared" ref="E13:V13" si="1">-D12</f>
        <v>-2485.4070000000002</v>
      </c>
      <c r="F13" s="69">
        <f t="shared" si="1"/>
        <v>-2675.4930000000004</v>
      </c>
      <c r="G13" s="69">
        <f t="shared" si="1"/>
        <v>-2752.7350000000001</v>
      </c>
      <c r="H13" s="69">
        <f t="shared" si="1"/>
        <v>-2800.4010000000003</v>
      </c>
      <c r="I13" s="69">
        <f t="shared" si="1"/>
        <v>-3000.837</v>
      </c>
      <c r="J13" s="69">
        <f t="shared" si="1"/>
        <v>-3133.239</v>
      </c>
      <c r="K13" s="69">
        <f t="shared" si="1"/>
        <v>-3204.1120000000001</v>
      </c>
      <c r="L13" s="69">
        <f t="shared" si="1"/>
        <v>-3150.1800000000003</v>
      </c>
      <c r="M13" s="69">
        <f t="shared" si="1"/>
        <v>-3985.1379999999999</v>
      </c>
      <c r="N13" s="69">
        <f t="shared" si="1"/>
        <v>-3774.3130000000001</v>
      </c>
      <c r="O13" s="69">
        <f t="shared" si="1"/>
        <v>-3371.88</v>
      </c>
      <c r="P13" s="69">
        <f t="shared" si="1"/>
        <v>-3464.7</v>
      </c>
      <c r="Q13" s="69">
        <f t="shared" si="1"/>
        <v>-3464.7</v>
      </c>
      <c r="R13" s="69">
        <f t="shared" si="1"/>
        <v>-3953.498301179623</v>
      </c>
      <c r="S13" s="69">
        <f t="shared" si="1"/>
        <v>-3397.5323122032155</v>
      </c>
      <c r="T13" s="69">
        <f t="shared" si="1"/>
        <v>-3421.1349584472796</v>
      </c>
      <c r="U13" s="69">
        <f t="shared" si="1"/>
        <v>-3445.2096576162253</v>
      </c>
      <c r="V13" s="69">
        <f t="shared" si="1"/>
        <v>-3469.7658507685501</v>
      </c>
      <c r="W13" s="293">
        <f>SUM(C13:V13)</f>
        <v>-63048.234181614876</v>
      </c>
      <c r="X13" s="460">
        <f>SUM(Caledonia!W61,'New Albany'!W61,Wheatland!W61,Wilton!W61,Brownsville!W61,Gleason!W61)</f>
        <v>-63048.234181614891</v>
      </c>
      <c r="Y13" s="461">
        <f>W13-X13</f>
        <v>0</v>
      </c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</row>
    <row r="14" spans="1:55">
      <c r="A14" s="13" t="s">
        <v>134</v>
      </c>
      <c r="B14" s="24">
        <v>0</v>
      </c>
      <c r="C14" s="24">
        <f>-Debt!B73</f>
        <v>-25650.417377553757</v>
      </c>
      <c r="D14" s="24">
        <f>-Debt!C73</f>
        <v>-27545.984483553329</v>
      </c>
      <c r="E14" s="24">
        <f>-Debt!D73</f>
        <v>-29568.649788183429</v>
      </c>
      <c r="F14" s="24">
        <f>-Debt!E73</f>
        <v>-5080.4908063869516</v>
      </c>
      <c r="G14" s="24">
        <f>-Debt!F73</f>
        <v>-8995.575521734092</v>
      </c>
      <c r="H14" s="24">
        <f>-Debt!G73</f>
        <v>-10850.528235789738</v>
      </c>
      <c r="I14" s="24">
        <f>-Debt!H73</f>
        <v>-12834.182259127832</v>
      </c>
      <c r="J14" s="24">
        <f>-Debt!I73</f>
        <v>-15159.059857192886</v>
      </c>
      <c r="K14" s="24">
        <f>-Debt!J73</f>
        <v>-17760.03718549246</v>
      </c>
      <c r="L14" s="24">
        <f>-Debt!K73</f>
        <v>-20259.417285650095</v>
      </c>
      <c r="M14" s="24">
        <f>-Debt!L73</f>
        <v>-23741.371135515859</v>
      </c>
      <c r="N14" s="24">
        <f>-Debt!M73</f>
        <v>-27782.37315975572</v>
      </c>
      <c r="O14" s="24">
        <f>-Debt!N73</f>
        <v>-31935.012773513561</v>
      </c>
      <c r="P14" s="24">
        <f>-Debt!O73</f>
        <v>-36646.712701008248</v>
      </c>
      <c r="Q14" s="24">
        <f>-Debt!P73</f>
        <v>-41697.818487524812</v>
      </c>
      <c r="R14" s="24">
        <f>-Debt!Q73</f>
        <v>-47445.41720273078</v>
      </c>
      <c r="S14" s="24">
        <f>-Debt!R73</f>
        <v>-53296.446206213557</v>
      </c>
      <c r="T14" s="24">
        <f>-Debt!S73</f>
        <v>-59919.751807406952</v>
      </c>
      <c r="U14" s="24">
        <f>-Debt!T73</f>
        <v>-67258.118866059202</v>
      </c>
      <c r="V14" s="24">
        <f>-Debt!U73</f>
        <v>-75514.807098861871</v>
      </c>
      <c r="W14" s="293">
        <f>SUM(C14:V14)</f>
        <v>-638942.17223925516</v>
      </c>
      <c r="X14" s="460">
        <f>SUM(Debt!B73:U73)</f>
        <v>638942.17223925516</v>
      </c>
      <c r="Y14" s="461">
        <f>W14+X14</f>
        <v>0</v>
      </c>
    </row>
    <row r="15" spans="1:55">
      <c r="A15" s="13" t="s">
        <v>133</v>
      </c>
      <c r="B15" s="368">
        <v>0</v>
      </c>
      <c r="C15" s="368">
        <f>-Debt!B74</f>
        <v>-63286.350681938071</v>
      </c>
      <c r="D15" s="368">
        <f>-Debt!C74</f>
        <v>-61155.925850424232</v>
      </c>
      <c r="E15" s="368">
        <f>-Debt!D74</f>
        <v>-58681.321876893402</v>
      </c>
      <c r="F15" s="368">
        <f>-Debt!E74</f>
        <v>-56742.601543247874</v>
      </c>
      <c r="G15" s="368">
        <f>-Debt!F74</f>
        <v>-55988.047168598205</v>
      </c>
      <c r="H15" s="368">
        <f>-Debt!G74</f>
        <v>-55049.554108863522</v>
      </c>
      <c r="I15" s="368">
        <f>-Debt!H74</f>
        <v>-53923.68656328931</v>
      </c>
      <c r="J15" s="368">
        <f>-Debt!I74</f>
        <v>-52736.611008958818</v>
      </c>
      <c r="K15" s="368">
        <f>-Debt!J74</f>
        <v>-51023.711047362165</v>
      </c>
      <c r="L15" s="368">
        <f>-Debt!K74</f>
        <v>-49198.631649454852</v>
      </c>
      <c r="M15" s="368">
        <f>-Debt!L74</f>
        <v>-47084.464004904912</v>
      </c>
      <c r="N15" s="368">
        <f>-Debt!M74</f>
        <v>-44672.593645090979</v>
      </c>
      <c r="O15" s="368">
        <f>-Debt!N74</f>
        <v>-41599.657151607942</v>
      </c>
      <c r="P15" s="368">
        <f>-Debt!O74</f>
        <v>-38209.272808843845</v>
      </c>
      <c r="Q15" s="368">
        <f>-Debt!P74</f>
        <v>-34327.556571950234</v>
      </c>
      <c r="R15" s="368">
        <f>-Debt!Q74</f>
        <v>-29992.791819494953</v>
      </c>
      <c r="S15" s="368">
        <f>-Debt!R74</f>
        <v>-24902.460614336902</v>
      </c>
      <c r="T15" s="368">
        <f>-Debt!S74</f>
        <v>-19275.211966822848</v>
      </c>
      <c r="U15" s="368">
        <f>-Debt!T74</f>
        <v>-12951.347195908365</v>
      </c>
      <c r="V15" s="368">
        <f>-Debt!U74</f>
        <v>-5867.9292989015285</v>
      </c>
      <c r="W15" s="295">
        <f>SUM(C15:V15)</f>
        <v>-856669.72657689289</v>
      </c>
      <c r="X15" s="460">
        <f>SUM(Debt!B74:U74)</f>
        <v>856669.72657689289</v>
      </c>
      <c r="Y15" s="461">
        <f>W15+X15</f>
        <v>0</v>
      </c>
    </row>
    <row r="16" spans="1:55">
      <c r="A16" s="13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58"/>
      <c r="X16" s="460"/>
      <c r="Y16" s="46"/>
    </row>
    <row r="17" spans="1:27">
      <c r="A17" s="12" t="s">
        <v>100</v>
      </c>
      <c r="B17" s="35">
        <f>SUM(B10:B15)</f>
        <v>0</v>
      </c>
      <c r="C17" s="35">
        <f>SUM(C10:C15)</f>
        <v>31719.740598818826</v>
      </c>
      <c r="D17" s="35">
        <f t="shared" ref="D17:V17" si="2">SUM(D10:D15)</f>
        <v>31474.33450658455</v>
      </c>
      <c r="E17" s="35">
        <f t="shared" si="2"/>
        <v>31178.239601081761</v>
      </c>
      <c r="F17" s="35">
        <f t="shared" si="2"/>
        <v>123343.36670531702</v>
      </c>
      <c r="G17" s="35">
        <f t="shared" si="2"/>
        <v>130148.43937249413</v>
      </c>
      <c r="H17" s="35">
        <f t="shared" si="2"/>
        <v>132136.01181741204</v>
      </c>
      <c r="I17" s="35">
        <f t="shared" si="2"/>
        <v>133785.31334789406</v>
      </c>
      <c r="J17" s="35">
        <f t="shared" si="2"/>
        <v>135444.82331304427</v>
      </c>
      <c r="K17" s="35">
        <f t="shared" si="2"/>
        <v>137654.90093468092</v>
      </c>
      <c r="L17" s="35">
        <f t="shared" si="2"/>
        <v>139940.96993165783</v>
      </c>
      <c r="M17" s="35">
        <f t="shared" si="2"/>
        <v>141586.37781880127</v>
      </c>
      <c r="N17" s="35">
        <f t="shared" si="2"/>
        <v>144062.0807317947</v>
      </c>
      <c r="O17" s="35">
        <f t="shared" si="2"/>
        <v>147313.25848707557</v>
      </c>
      <c r="P17" s="35">
        <f t="shared" si="2"/>
        <v>149865.78468856026</v>
      </c>
      <c r="Q17" s="35">
        <f t="shared" si="2"/>
        <v>152695.76494422459</v>
      </c>
      <c r="R17" s="35">
        <f t="shared" si="2"/>
        <v>153844.3974918137</v>
      </c>
      <c r="S17" s="35">
        <f t="shared" si="2"/>
        <v>156582.09897259262</v>
      </c>
      <c r="T17" s="35">
        <f t="shared" si="2"/>
        <v>158576.73162524684</v>
      </c>
      <c r="U17" s="35">
        <f t="shared" si="2"/>
        <v>160608.30228844765</v>
      </c>
      <c r="V17" s="35">
        <f t="shared" si="2"/>
        <v>162361.61372693029</v>
      </c>
      <c r="W17" s="293">
        <f>SUM(C17:V17)</f>
        <v>2554322.5509044728</v>
      </c>
      <c r="X17" s="460">
        <f>SUM(Caledonia!W64,'New Albany'!W64,Wheatland!W64,Wilton!W64,Brownsville!W64,Gleason!W64)</f>
        <v>2554322.5509044728</v>
      </c>
      <c r="Y17" s="46"/>
    </row>
    <row r="18" spans="1:27">
      <c r="A18" s="12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58"/>
      <c r="X18" s="458"/>
      <c r="Y18" s="46"/>
    </row>
    <row r="19" spans="1:27">
      <c r="A19" s="3" t="s">
        <v>207</v>
      </c>
      <c r="B19" s="21">
        <v>0</v>
      </c>
      <c r="C19" s="21">
        <f>-Tax!B8</f>
        <v>-400.79141118266904</v>
      </c>
      <c r="D19" s="21">
        <f>-Tax!C8</f>
        <v>-295.61650492623687</v>
      </c>
      <c r="E19" s="21">
        <f>-Tax!D8</f>
        <v>-296.2491704690438</v>
      </c>
      <c r="F19" s="21">
        <f>-Tax!E8</f>
        <v>-547.93141162124391</v>
      </c>
      <c r="G19" s="21">
        <f>-Tax!F8</f>
        <v>-1481.5747500520624</v>
      </c>
      <c r="H19" s="21">
        <f>-Tax!G8</f>
        <v>-3236.4619641617546</v>
      </c>
      <c r="I19" s="21">
        <f>-Tax!H8</f>
        <v>-3999.3571134898302</v>
      </c>
      <c r="J19" s="21">
        <f>-Tax!I8</f>
        <v>-5150.6960158670981</v>
      </c>
      <c r="K19" s="21">
        <f>-Tax!J8</f>
        <v>-5477.2948272496169</v>
      </c>
      <c r="L19" s="21">
        <f>-Tax!K8</f>
        <v>-5738.365783981777</v>
      </c>
      <c r="M19" s="21">
        <f>-Tax!L8</f>
        <v>-6126.8308927819562</v>
      </c>
      <c r="N19" s="21">
        <f>-Tax!M8</f>
        <v>-6536.8676194698237</v>
      </c>
      <c r="O19" s="21">
        <f>-Tax!N8</f>
        <v>-6976.5570562164203</v>
      </c>
      <c r="P19" s="21">
        <f>-Tax!O8</f>
        <v>-7432.6696721362614</v>
      </c>
      <c r="Q19" s="21">
        <f>-Tax!P8</f>
        <v>-7906.5152135289263</v>
      </c>
      <c r="R19" s="21">
        <f>-Tax!Q8</f>
        <v>-10481.94143360851</v>
      </c>
      <c r="S19" s="21">
        <f>-Tax!R8</f>
        <v>-13062.076985405738</v>
      </c>
      <c r="T19" s="21">
        <f>-Tax!S8</f>
        <v>-13604.787765611323</v>
      </c>
      <c r="U19" s="21">
        <f>-Tax!T8</f>
        <v>-14196.216216426894</v>
      </c>
      <c r="V19" s="21">
        <f>-Tax!U8</f>
        <v>-14827.127454638132</v>
      </c>
      <c r="W19" s="293">
        <f>SUM(C19:V19)</f>
        <v>-127775.92926282533</v>
      </c>
      <c r="X19" s="460">
        <f>SUM(Caledonia!W66,'New Albany'!W66,Wheatland!W66,Wilton!W66,Brownsville!W66,Gleason!W66)</f>
        <v>-127775.92926282532</v>
      </c>
      <c r="Y19" s="461">
        <f>W19-X19</f>
        <v>0</v>
      </c>
    </row>
    <row r="20" spans="1:27">
      <c r="A20" s="3" t="s">
        <v>208</v>
      </c>
      <c r="B20" s="206">
        <v>0</v>
      </c>
      <c r="C20" s="206">
        <f>-Tax!B19</f>
        <v>1490.799464750281</v>
      </c>
      <c r="D20" s="206">
        <f>-Tax!C19</f>
        <v>20165.419666483758</v>
      </c>
      <c r="E20" s="206">
        <f>-Tax!D19</f>
        <v>15446.771201098394</v>
      </c>
      <c r="F20" s="206">
        <f>-Tax!E19</f>
        <v>-11824.003544021565</v>
      </c>
      <c r="G20" s="206">
        <f>-Tax!F19</f>
        <v>-18550.188648555006</v>
      </c>
      <c r="H20" s="206">
        <f>-Tax!G19</f>
        <v>-22218.804782985302</v>
      </c>
      <c r="I20" s="206">
        <f>-Tax!H19</f>
        <v>-24657.375077029265</v>
      </c>
      <c r="J20" s="206">
        <f>-Tax!I19</f>
        <v>-25627.742796126433</v>
      </c>
      <c r="K20" s="206">
        <f>-Tax!J19</f>
        <v>-27283.718656816352</v>
      </c>
      <c r="L20" s="206">
        <f>-Tax!K19</f>
        <v>-28513.405043761071</v>
      </c>
      <c r="M20" s="206">
        <f>-Tax!L19</f>
        <v>-30580.777375830348</v>
      </c>
      <c r="N20" s="206">
        <f>-Tax!M19</f>
        <v>-32742.439587325131</v>
      </c>
      <c r="O20" s="206">
        <f>-Tax!N19</f>
        <v>-35049.280275823483</v>
      </c>
      <c r="P20" s="206">
        <f>-Tax!O19</f>
        <v>-37421.872543198209</v>
      </c>
      <c r="Q20" s="206">
        <f>-Tax!P19</f>
        <v>-39886.061775257338</v>
      </c>
      <c r="R20" s="206">
        <f>-Tax!Q19</f>
        <v>-54370.677389615841</v>
      </c>
      <c r="S20" s="206">
        <f>-Tax!R19</f>
        <v>-68877.502941504747</v>
      </c>
      <c r="T20" s="206">
        <f>-Tax!S19</f>
        <v>-71703.667338755738</v>
      </c>
      <c r="U20" s="206">
        <f>-Tax!T19</f>
        <v>-74775.977060724661</v>
      </c>
      <c r="V20" s="206">
        <f>-Tax!U19</f>
        <v>-78061.726420869076</v>
      </c>
      <c r="W20" s="295">
        <f>SUM(C20:V20)</f>
        <v>-645042.23092586722</v>
      </c>
      <c r="X20" s="460">
        <f>SUM(Caledonia!W67,'New Albany'!W67,Wheatland!W67,Wilton!W67,Brownsville!W67,Gleason!W67)</f>
        <v>-645042.23092586698</v>
      </c>
      <c r="Y20" s="461">
        <f>W20-X20</f>
        <v>0</v>
      </c>
    </row>
    <row r="21" spans="1:27">
      <c r="A21" s="1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383"/>
      <c r="X21" s="462"/>
      <c r="Y21" s="46"/>
    </row>
    <row r="22" spans="1:27" s="17" customFormat="1">
      <c r="A22" s="12" t="s">
        <v>101</v>
      </c>
      <c r="B22" s="35">
        <f t="shared" ref="B22:W22" si="3">SUM(B20,B19,B17)</f>
        <v>0</v>
      </c>
      <c r="C22" s="35">
        <f t="shared" si="3"/>
        <v>32809.748652386435</v>
      </c>
      <c r="D22" s="35">
        <f t="shared" si="3"/>
        <v>51344.137668142066</v>
      </c>
      <c r="E22" s="35">
        <f t="shared" si="3"/>
        <v>46328.76163171111</v>
      </c>
      <c r="F22" s="35">
        <f t="shared" si="3"/>
        <v>110971.43174967422</v>
      </c>
      <c r="G22" s="35">
        <f t="shared" si="3"/>
        <v>110116.67597388706</v>
      </c>
      <c r="H22" s="35">
        <f t="shared" si="3"/>
        <v>106680.74507026499</v>
      </c>
      <c r="I22" s="35">
        <f t="shared" si="3"/>
        <v>105128.58115737497</v>
      </c>
      <c r="J22" s="35">
        <f t="shared" si="3"/>
        <v>104666.38450105074</v>
      </c>
      <c r="K22" s="35">
        <f t="shared" si="3"/>
        <v>104893.88745061494</v>
      </c>
      <c r="L22" s="35">
        <f t="shared" si="3"/>
        <v>105689.19910391499</v>
      </c>
      <c r="M22" s="35">
        <f t="shared" si="3"/>
        <v>104878.76955018897</v>
      </c>
      <c r="N22" s="35">
        <f t="shared" si="3"/>
        <v>104782.77352499975</v>
      </c>
      <c r="O22" s="35">
        <f t="shared" si="3"/>
        <v>105287.42115503567</v>
      </c>
      <c r="P22" s="35">
        <f t="shared" si="3"/>
        <v>105011.24247322579</v>
      </c>
      <c r="Q22" s="35">
        <f t="shared" si="3"/>
        <v>104903.18795543833</v>
      </c>
      <c r="R22" s="35">
        <f t="shared" si="3"/>
        <v>88991.778668589337</v>
      </c>
      <c r="S22" s="35">
        <f t="shared" si="3"/>
        <v>74642.519045682129</v>
      </c>
      <c r="T22" s="35">
        <f t="shared" si="3"/>
        <v>73268.276520879779</v>
      </c>
      <c r="U22" s="35">
        <f t="shared" si="3"/>
        <v>71636.109011296096</v>
      </c>
      <c r="V22" s="35">
        <f t="shared" si="3"/>
        <v>69472.759851423078</v>
      </c>
      <c r="W22" s="294">
        <f t="shared" si="3"/>
        <v>1781504.3907157802</v>
      </c>
      <c r="X22" s="460">
        <f>SUM(Caledonia!W69,'New Albany'!W69,Wheatland!W69,Wilton!W69,Brownsville!W69,Gleason!W69)</f>
        <v>1781504.3907157807</v>
      </c>
      <c r="Y22" s="461">
        <f>W22-X22</f>
        <v>0</v>
      </c>
      <c r="Z22" s="18"/>
      <c r="AA22" s="18"/>
    </row>
    <row r="23" spans="1:27">
      <c r="A23" s="13"/>
      <c r="B23" s="53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383"/>
      <c r="X23" s="155"/>
      <c r="Y23" s="18"/>
    </row>
    <row r="24" spans="1:27">
      <c r="A24" s="13"/>
      <c r="B24" s="147"/>
      <c r="C24" s="147"/>
      <c r="D24" s="147"/>
      <c r="E24" s="147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155"/>
    </row>
    <row r="25" spans="1:27" ht="18.75">
      <c r="A25" s="153" t="s">
        <v>102</v>
      </c>
    </row>
    <row r="26" spans="1:27" ht="12" customHeight="1">
      <c r="A26" s="153"/>
    </row>
    <row r="27" spans="1:27" ht="13.5" thickBot="1">
      <c r="A27" s="202" t="s">
        <v>83</v>
      </c>
      <c r="B27" s="337" t="s">
        <v>168</v>
      </c>
      <c r="C27" s="8">
        <v>2001</v>
      </c>
      <c r="D27" s="8">
        <f t="shared" ref="D27:V27" si="4">C27+1</f>
        <v>2002</v>
      </c>
      <c r="E27" s="8">
        <f t="shared" si="4"/>
        <v>2003</v>
      </c>
      <c r="F27" s="8">
        <f t="shared" si="4"/>
        <v>2004</v>
      </c>
      <c r="G27" s="8">
        <f t="shared" si="4"/>
        <v>2005</v>
      </c>
      <c r="H27" s="8">
        <f t="shared" si="4"/>
        <v>2006</v>
      </c>
      <c r="I27" s="8">
        <f t="shared" si="4"/>
        <v>2007</v>
      </c>
      <c r="J27" s="8">
        <f t="shared" si="4"/>
        <v>2008</v>
      </c>
      <c r="K27" s="8">
        <f t="shared" si="4"/>
        <v>2009</v>
      </c>
      <c r="L27" s="8">
        <f t="shared" si="4"/>
        <v>2010</v>
      </c>
      <c r="M27" s="8">
        <f t="shared" si="4"/>
        <v>2011</v>
      </c>
      <c r="N27" s="8">
        <f t="shared" si="4"/>
        <v>2012</v>
      </c>
      <c r="O27" s="8">
        <f t="shared" si="4"/>
        <v>2013</v>
      </c>
      <c r="P27" s="8">
        <f t="shared" si="4"/>
        <v>2014</v>
      </c>
      <c r="Q27" s="8">
        <f t="shared" si="4"/>
        <v>2015</v>
      </c>
      <c r="R27" s="8">
        <f t="shared" si="4"/>
        <v>2016</v>
      </c>
      <c r="S27" s="8">
        <f t="shared" si="4"/>
        <v>2017</v>
      </c>
      <c r="T27" s="8">
        <f t="shared" si="4"/>
        <v>2018</v>
      </c>
      <c r="U27" s="8">
        <f t="shared" si="4"/>
        <v>2019</v>
      </c>
      <c r="V27" s="8">
        <f t="shared" si="4"/>
        <v>2020</v>
      </c>
      <c r="X27" s="18"/>
    </row>
    <row r="28" spans="1:27">
      <c r="V28" s="7"/>
      <c r="X28" s="18"/>
    </row>
    <row r="29" spans="1:27">
      <c r="A29" s="18" t="s">
        <v>195</v>
      </c>
      <c r="B29" s="21">
        <f>-Assumptions!C13</f>
        <v>-582042.46193541633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61">
        <v>0</v>
      </c>
      <c r="X29" s="18"/>
    </row>
    <row r="30" spans="1:27">
      <c r="A30" s="18" t="s">
        <v>103</v>
      </c>
      <c r="B30" s="206">
        <f>B22</f>
        <v>0</v>
      </c>
      <c r="C30" s="206">
        <f t="shared" ref="C30:V30" si="5">C22</f>
        <v>32809.748652386435</v>
      </c>
      <c r="D30" s="206">
        <f t="shared" si="5"/>
        <v>51344.137668142066</v>
      </c>
      <c r="E30" s="206">
        <f t="shared" si="5"/>
        <v>46328.76163171111</v>
      </c>
      <c r="F30" s="206">
        <f t="shared" si="5"/>
        <v>110971.43174967422</v>
      </c>
      <c r="G30" s="206">
        <f t="shared" si="5"/>
        <v>110116.67597388706</v>
      </c>
      <c r="H30" s="206">
        <f t="shared" si="5"/>
        <v>106680.74507026499</v>
      </c>
      <c r="I30" s="206">
        <f t="shared" si="5"/>
        <v>105128.58115737497</v>
      </c>
      <c r="J30" s="206">
        <f t="shared" si="5"/>
        <v>104666.38450105074</v>
      </c>
      <c r="K30" s="206">
        <f t="shared" si="5"/>
        <v>104893.88745061494</v>
      </c>
      <c r="L30" s="206">
        <f t="shared" si="5"/>
        <v>105689.19910391499</v>
      </c>
      <c r="M30" s="206">
        <f t="shared" si="5"/>
        <v>104878.76955018897</v>
      </c>
      <c r="N30" s="206">
        <f t="shared" si="5"/>
        <v>104782.77352499975</v>
      </c>
      <c r="O30" s="206">
        <f t="shared" si="5"/>
        <v>105287.42115503567</v>
      </c>
      <c r="P30" s="206">
        <f t="shared" si="5"/>
        <v>105011.24247322579</v>
      </c>
      <c r="Q30" s="206">
        <f t="shared" si="5"/>
        <v>104903.18795543833</v>
      </c>
      <c r="R30" s="206">
        <f t="shared" si="5"/>
        <v>88991.778668589337</v>
      </c>
      <c r="S30" s="206">
        <f t="shared" si="5"/>
        <v>74642.519045682129</v>
      </c>
      <c r="T30" s="206">
        <f t="shared" si="5"/>
        <v>73268.276520879779</v>
      </c>
      <c r="U30" s="206">
        <f t="shared" si="5"/>
        <v>71636.109011296096</v>
      </c>
      <c r="V30" s="206">
        <f t="shared" si="5"/>
        <v>69472.759851423078</v>
      </c>
      <c r="X30" s="18"/>
    </row>
    <row r="31" spans="1:27">
      <c r="A31" s="18" t="s">
        <v>196</v>
      </c>
      <c r="B31" s="21">
        <f>SUM(B29:B30)</f>
        <v>-582042.46193541633</v>
      </c>
      <c r="C31" s="21">
        <f t="shared" ref="C31:V31" si="6">SUM(C29:C30)</f>
        <v>32809.748652386435</v>
      </c>
      <c r="D31" s="21">
        <f t="shared" si="6"/>
        <v>51344.137668142066</v>
      </c>
      <c r="E31" s="21">
        <f t="shared" si="6"/>
        <v>46328.76163171111</v>
      </c>
      <c r="F31" s="21">
        <f t="shared" si="6"/>
        <v>110971.43174967422</v>
      </c>
      <c r="G31" s="21">
        <f t="shared" si="6"/>
        <v>110116.67597388706</v>
      </c>
      <c r="H31" s="21">
        <f t="shared" si="6"/>
        <v>106680.74507026499</v>
      </c>
      <c r="I31" s="21">
        <f t="shared" si="6"/>
        <v>105128.58115737497</v>
      </c>
      <c r="J31" s="21">
        <f t="shared" si="6"/>
        <v>104666.38450105074</v>
      </c>
      <c r="K31" s="21">
        <f t="shared" si="6"/>
        <v>104893.88745061494</v>
      </c>
      <c r="L31" s="21">
        <f t="shared" si="6"/>
        <v>105689.19910391499</v>
      </c>
      <c r="M31" s="21">
        <f t="shared" si="6"/>
        <v>104878.76955018897</v>
      </c>
      <c r="N31" s="21">
        <f t="shared" si="6"/>
        <v>104782.77352499975</v>
      </c>
      <c r="O31" s="21">
        <f t="shared" si="6"/>
        <v>105287.42115503567</v>
      </c>
      <c r="P31" s="21">
        <f t="shared" si="6"/>
        <v>105011.24247322579</v>
      </c>
      <c r="Q31" s="21">
        <f t="shared" si="6"/>
        <v>104903.18795543833</v>
      </c>
      <c r="R31" s="21">
        <f t="shared" si="6"/>
        <v>88991.778668589337</v>
      </c>
      <c r="S31" s="21">
        <f t="shared" si="6"/>
        <v>74642.519045682129</v>
      </c>
      <c r="T31" s="21">
        <f t="shared" si="6"/>
        <v>73268.276520879779</v>
      </c>
      <c r="U31" s="21">
        <f t="shared" si="6"/>
        <v>71636.109011296096</v>
      </c>
      <c r="V31" s="21">
        <f t="shared" si="6"/>
        <v>69472.759851423078</v>
      </c>
      <c r="X31" s="18"/>
    </row>
    <row r="32" spans="1:27">
      <c r="A32" s="18" t="s">
        <v>104</v>
      </c>
      <c r="B32" s="382">
        <f>[7]!_xludf.xirr(B31:V31,B8:V8)</f>
        <v>0.13006251454353332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61"/>
      <c r="X32" s="18"/>
    </row>
    <row r="33" spans="1:24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61"/>
      <c r="X33" s="18"/>
    </row>
    <row r="34" spans="1:24">
      <c r="A34" s="18" t="s">
        <v>195</v>
      </c>
      <c r="B34" s="21">
        <f>B29</f>
        <v>-582042.46193541633</v>
      </c>
      <c r="C34" s="21">
        <f t="shared" ref="C34:V34" si="7">C29</f>
        <v>0</v>
      </c>
      <c r="D34" s="21">
        <f t="shared" si="7"/>
        <v>0</v>
      </c>
      <c r="E34" s="21">
        <f t="shared" si="7"/>
        <v>0</v>
      </c>
      <c r="F34" s="21">
        <f t="shared" si="7"/>
        <v>0</v>
      </c>
      <c r="G34" s="21">
        <f t="shared" si="7"/>
        <v>0</v>
      </c>
      <c r="H34" s="21">
        <f t="shared" si="7"/>
        <v>0</v>
      </c>
      <c r="I34" s="21">
        <f t="shared" si="7"/>
        <v>0</v>
      </c>
      <c r="J34" s="21">
        <f t="shared" si="7"/>
        <v>0</v>
      </c>
      <c r="K34" s="21">
        <f t="shared" si="7"/>
        <v>0</v>
      </c>
      <c r="L34" s="21">
        <f t="shared" si="7"/>
        <v>0</v>
      </c>
      <c r="M34" s="21">
        <f t="shared" si="7"/>
        <v>0</v>
      </c>
      <c r="N34" s="21">
        <f t="shared" si="7"/>
        <v>0</v>
      </c>
      <c r="O34" s="21">
        <f t="shared" si="7"/>
        <v>0</v>
      </c>
      <c r="P34" s="21">
        <f t="shared" si="7"/>
        <v>0</v>
      </c>
      <c r="Q34" s="21">
        <f t="shared" si="7"/>
        <v>0</v>
      </c>
      <c r="R34" s="21">
        <f t="shared" si="7"/>
        <v>0</v>
      </c>
      <c r="S34" s="21">
        <f t="shared" si="7"/>
        <v>0</v>
      </c>
      <c r="T34" s="21">
        <f t="shared" si="7"/>
        <v>0</v>
      </c>
      <c r="U34" s="21">
        <f t="shared" si="7"/>
        <v>0</v>
      </c>
      <c r="V34" s="21">
        <f t="shared" si="7"/>
        <v>0</v>
      </c>
    </row>
    <row r="35" spans="1:24">
      <c r="A35" s="18" t="s">
        <v>201</v>
      </c>
      <c r="B35" s="21">
        <f t="shared" ref="B35:V35" si="8">B30</f>
        <v>0</v>
      </c>
      <c r="C35" s="21">
        <f t="shared" si="8"/>
        <v>32809.748652386435</v>
      </c>
      <c r="D35" s="21">
        <f t="shared" si="8"/>
        <v>51344.137668142066</v>
      </c>
      <c r="E35" s="21">
        <f t="shared" si="8"/>
        <v>46328.76163171111</v>
      </c>
      <c r="F35" s="21">
        <f t="shared" si="8"/>
        <v>110971.43174967422</v>
      </c>
      <c r="G35" s="21">
        <f t="shared" si="8"/>
        <v>110116.67597388706</v>
      </c>
      <c r="H35" s="21">
        <f t="shared" si="8"/>
        <v>106680.74507026499</v>
      </c>
      <c r="I35" s="21">
        <f t="shared" si="8"/>
        <v>105128.58115737497</v>
      </c>
      <c r="J35" s="21">
        <f t="shared" si="8"/>
        <v>104666.38450105074</v>
      </c>
      <c r="K35" s="21">
        <f t="shared" si="8"/>
        <v>104893.88745061494</v>
      </c>
      <c r="L35" s="21">
        <f t="shared" si="8"/>
        <v>105689.19910391499</v>
      </c>
      <c r="M35" s="21">
        <f t="shared" si="8"/>
        <v>104878.76955018897</v>
      </c>
      <c r="N35" s="21">
        <f t="shared" si="8"/>
        <v>104782.77352499975</v>
      </c>
      <c r="O35" s="21">
        <f t="shared" si="8"/>
        <v>105287.42115503567</v>
      </c>
      <c r="P35" s="21">
        <f t="shared" si="8"/>
        <v>105011.24247322579</v>
      </c>
      <c r="Q35" s="21">
        <f t="shared" si="8"/>
        <v>104903.18795543833</v>
      </c>
      <c r="R35" s="21">
        <f t="shared" si="8"/>
        <v>88991.778668589337</v>
      </c>
      <c r="S35" s="21">
        <f t="shared" si="8"/>
        <v>74642.519045682129</v>
      </c>
      <c r="T35" s="21">
        <f t="shared" si="8"/>
        <v>73268.276520879779</v>
      </c>
      <c r="U35" s="21">
        <f t="shared" si="8"/>
        <v>71636.109011296096</v>
      </c>
      <c r="V35" s="21">
        <f t="shared" si="8"/>
        <v>69472.759851423078</v>
      </c>
    </row>
    <row r="36" spans="1:24">
      <c r="A36" s="18" t="s">
        <v>202</v>
      </c>
      <c r="B36" s="206">
        <v>0</v>
      </c>
      <c r="C36" s="206">
        <v>0</v>
      </c>
      <c r="D36" s="206">
        <v>0</v>
      </c>
      <c r="E36" s="206">
        <v>0</v>
      </c>
      <c r="F36" s="206">
        <v>0</v>
      </c>
      <c r="G36" s="206">
        <v>0</v>
      </c>
      <c r="H36" s="206">
        <v>0</v>
      </c>
      <c r="I36" s="206">
        <v>0</v>
      </c>
      <c r="J36" s="206">
        <v>0</v>
      </c>
      <c r="K36" s="206">
        <v>0</v>
      </c>
      <c r="L36" s="206">
        <v>0</v>
      </c>
      <c r="M36" s="206">
        <v>0</v>
      </c>
      <c r="N36" s="206">
        <v>0</v>
      </c>
      <c r="O36" s="206">
        <v>0</v>
      </c>
      <c r="P36" s="206">
        <v>0</v>
      </c>
      <c r="Q36" s="206">
        <v>0</v>
      </c>
      <c r="R36" s="206">
        <v>0</v>
      </c>
      <c r="S36" s="206">
        <v>0</v>
      </c>
      <c r="T36" s="206">
        <v>0</v>
      </c>
      <c r="U36" s="206">
        <v>0</v>
      </c>
      <c r="V36" s="206">
        <f>Assumptions!D64*Assumptions!B13*Summary!K10</f>
        <v>488393.85366986896</v>
      </c>
    </row>
    <row r="37" spans="1:24">
      <c r="A37" s="18" t="s">
        <v>196</v>
      </c>
      <c r="B37" s="21">
        <f>SUM(B34:B36)</f>
        <v>-582042.46193541633</v>
      </c>
      <c r="C37" s="21">
        <f t="shared" ref="C37:V37" si="9">SUM(C34:C36)</f>
        <v>32809.748652386435</v>
      </c>
      <c r="D37" s="21">
        <f t="shared" si="9"/>
        <v>51344.137668142066</v>
      </c>
      <c r="E37" s="21">
        <f t="shared" si="9"/>
        <v>46328.76163171111</v>
      </c>
      <c r="F37" s="21">
        <f t="shared" si="9"/>
        <v>110971.43174967422</v>
      </c>
      <c r="G37" s="21">
        <f t="shared" si="9"/>
        <v>110116.67597388706</v>
      </c>
      <c r="H37" s="21">
        <f t="shared" si="9"/>
        <v>106680.74507026499</v>
      </c>
      <c r="I37" s="21">
        <f t="shared" si="9"/>
        <v>105128.58115737497</v>
      </c>
      <c r="J37" s="21">
        <f t="shared" si="9"/>
        <v>104666.38450105074</v>
      </c>
      <c r="K37" s="21">
        <f t="shared" si="9"/>
        <v>104893.88745061494</v>
      </c>
      <c r="L37" s="21">
        <f t="shared" si="9"/>
        <v>105689.19910391499</v>
      </c>
      <c r="M37" s="21">
        <f t="shared" si="9"/>
        <v>104878.76955018897</v>
      </c>
      <c r="N37" s="21">
        <f t="shared" si="9"/>
        <v>104782.77352499975</v>
      </c>
      <c r="O37" s="21">
        <f t="shared" si="9"/>
        <v>105287.42115503567</v>
      </c>
      <c r="P37" s="21">
        <f t="shared" si="9"/>
        <v>105011.24247322579</v>
      </c>
      <c r="Q37" s="21">
        <f t="shared" si="9"/>
        <v>104903.18795543833</v>
      </c>
      <c r="R37" s="21">
        <f t="shared" si="9"/>
        <v>88991.778668589337</v>
      </c>
      <c r="S37" s="21">
        <f t="shared" si="9"/>
        <v>74642.519045682129</v>
      </c>
      <c r="T37" s="21">
        <f t="shared" si="9"/>
        <v>73268.276520879779</v>
      </c>
      <c r="U37" s="21">
        <f t="shared" si="9"/>
        <v>71636.109011296096</v>
      </c>
      <c r="V37" s="21">
        <f t="shared" si="9"/>
        <v>557866.61352129199</v>
      </c>
    </row>
    <row r="38" spans="1:24">
      <c r="A38" s="18" t="s">
        <v>104</v>
      </c>
      <c r="B38" s="382">
        <f>[7]!_xludf.xirr(B37:V37,B8:V8)</f>
        <v>0.13952128291130067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61"/>
    </row>
    <row r="40" spans="1:24"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</row>
    <row r="41" spans="1:24">
      <c r="A41" s="17" t="s">
        <v>219</v>
      </c>
    </row>
    <row r="42" spans="1:24">
      <c r="A42" s="18" t="s">
        <v>91</v>
      </c>
      <c r="B42" s="125">
        <f t="shared" ref="B42:V42" si="10">B10</f>
        <v>0</v>
      </c>
      <c r="C42" s="125">
        <f t="shared" si="10"/>
        <v>120476.94675971066</v>
      </c>
      <c r="D42" s="125">
        <f t="shared" si="10"/>
        <v>119829.5978405621</v>
      </c>
      <c r="E42" s="125">
        <f t="shared" si="10"/>
        <v>119238.1252661586</v>
      </c>
      <c r="F42" s="125">
        <f t="shared" si="10"/>
        <v>185089.21705495185</v>
      </c>
      <c r="G42" s="125">
        <f t="shared" si="10"/>
        <v>195084.39606282642</v>
      </c>
      <c r="H42" s="125">
        <f t="shared" si="10"/>
        <v>197835.65816206532</v>
      </c>
      <c r="I42" s="125">
        <f t="shared" si="10"/>
        <v>200410.78017031122</v>
      </c>
      <c r="J42" s="125">
        <f t="shared" si="10"/>
        <v>203269.62117919596</v>
      </c>
      <c r="K42" s="125">
        <f t="shared" si="10"/>
        <v>206492.58116753554</v>
      </c>
      <c r="L42" s="125">
        <f t="shared" si="10"/>
        <v>208564.06086676277</v>
      </c>
      <c r="M42" s="125">
        <f t="shared" si="10"/>
        <v>212623.03795922204</v>
      </c>
      <c r="N42" s="125">
        <f t="shared" si="10"/>
        <v>216919.48053664141</v>
      </c>
      <c r="O42" s="125">
        <f t="shared" si="10"/>
        <v>220755.10841219706</v>
      </c>
      <c r="P42" s="125">
        <f t="shared" si="10"/>
        <v>224721.77019841236</v>
      </c>
      <c r="Q42" s="125">
        <f t="shared" si="10"/>
        <v>228232.34170252003</v>
      </c>
      <c r="R42" s="125">
        <f t="shared" si="10"/>
        <v>231838.57250301581</v>
      </c>
      <c r="S42" s="125">
        <f t="shared" si="10"/>
        <v>234757.40314689904</v>
      </c>
      <c r="T42" s="125">
        <f t="shared" si="10"/>
        <v>237747.62070030771</v>
      </c>
      <c r="U42" s="125">
        <f t="shared" si="10"/>
        <v>240793.2121572629</v>
      </c>
      <c r="V42" s="125">
        <f t="shared" si="10"/>
        <v>243728.56081316562</v>
      </c>
      <c r="X42" s="18"/>
    </row>
    <row r="43" spans="1:24">
      <c r="A43" s="18" t="s">
        <v>217</v>
      </c>
      <c r="B43" s="465">
        <f>Assumptions!B39</f>
        <v>0.11443483820421446</v>
      </c>
      <c r="V43" s="7"/>
      <c r="X43" s="18"/>
    </row>
    <row r="44" spans="1:24">
      <c r="A44" s="18" t="s">
        <v>218</v>
      </c>
      <c r="B44" s="466">
        <f>[7]!_xludf.xnpv(B43,B42:V42,B8:V8)</f>
        <v>1397490.338391192</v>
      </c>
      <c r="V44" s="7"/>
      <c r="X44" s="18"/>
    </row>
    <row r="45" spans="1:24">
      <c r="B45" s="21"/>
    </row>
    <row r="46" spans="1:24">
      <c r="A46" s="479" t="s">
        <v>231</v>
      </c>
      <c r="B46" s="480">
        <f>SUM(Caledonia!C73,'New Albany'!C73,Wheatland!C73,Wilton!C73,Brownsville!C73,Gleason!C73)</f>
        <v>1397490.338391192</v>
      </c>
      <c r="C46"/>
    </row>
    <row r="47" spans="1:24">
      <c r="A47"/>
      <c r="B47" s="480">
        <f>B44-B46</f>
        <v>0</v>
      </c>
      <c r="C47"/>
    </row>
    <row r="48" spans="1:24">
      <c r="A48"/>
      <c r="B48"/>
      <c r="C48"/>
    </row>
    <row r="49" spans="1:3">
      <c r="A49"/>
      <c r="B49"/>
      <c r="C49"/>
    </row>
  </sheetData>
  <mergeCells count="1">
    <mergeCell ref="X7:Y7"/>
  </mergeCells>
  <pageMargins left="0.18" right="0.17" top="0.37" bottom="0.4" header="0.17" footer="0.21"/>
  <pageSetup scale="48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2" max="4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119"/>
  <sheetViews>
    <sheetView zoomScale="75" zoomScaleNormal="75" workbookViewId="0"/>
  </sheetViews>
  <sheetFormatPr defaultRowHeight="12.75"/>
  <cols>
    <col min="1" max="1" width="33.5703125" style="18" customWidth="1"/>
    <col min="2" max="4" width="11.7109375" style="25" customWidth="1"/>
    <col min="5" max="23" width="11.7109375" style="18" customWidth="1"/>
    <col min="24" max="38" width="15.85546875" style="18" customWidth="1"/>
    <col min="39" max="16384" width="9.140625" style="18"/>
  </cols>
  <sheetData>
    <row r="1" spans="1:22">
      <c r="B1" s="18"/>
      <c r="C1" s="18"/>
      <c r="D1" s="18"/>
    </row>
    <row r="2" spans="1:22" ht="18.75">
      <c r="A2" s="54" t="s">
        <v>163</v>
      </c>
      <c r="C2" s="482"/>
    </row>
    <row r="3" spans="1:22"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spans="1:22" s="26" customFormat="1" ht="13.5" thickBot="1">
      <c r="A4" s="202" t="s">
        <v>83</v>
      </c>
      <c r="B4" s="202" t="s">
        <v>146</v>
      </c>
      <c r="C4" s="279">
        <v>37256</v>
      </c>
      <c r="D4" s="279">
        <v>37621</v>
      </c>
      <c r="E4" s="279">
        <v>37986</v>
      </c>
      <c r="F4" s="279">
        <v>38352</v>
      </c>
      <c r="G4" s="279">
        <v>38717</v>
      </c>
      <c r="H4" s="279">
        <v>39082</v>
      </c>
      <c r="I4" s="279">
        <v>39447</v>
      </c>
      <c r="J4" s="279">
        <v>39813</v>
      </c>
      <c r="K4" s="279">
        <v>40178</v>
      </c>
      <c r="L4" s="279">
        <v>40543</v>
      </c>
      <c r="M4" s="279">
        <v>40908</v>
      </c>
      <c r="N4" s="279">
        <v>41274</v>
      </c>
      <c r="O4" s="279">
        <v>41639</v>
      </c>
      <c r="P4" s="279">
        <v>42004</v>
      </c>
      <c r="Q4" s="279">
        <v>42369</v>
      </c>
      <c r="R4" s="279">
        <v>42735</v>
      </c>
      <c r="S4" s="279">
        <v>43100</v>
      </c>
      <c r="T4" s="279">
        <v>43465</v>
      </c>
      <c r="U4" s="279">
        <v>43830</v>
      </c>
      <c r="V4" s="279">
        <v>44196</v>
      </c>
    </row>
    <row r="5" spans="1:22">
      <c r="B5" s="331">
        <v>0</v>
      </c>
      <c r="C5" s="331">
        <v>1</v>
      </c>
      <c r="D5" s="331">
        <v>2</v>
      </c>
      <c r="E5" s="331">
        <f>D5+1</f>
        <v>3</v>
      </c>
      <c r="F5" s="331">
        <f t="shared" ref="F5:V5" si="0">E5+1</f>
        <v>4</v>
      </c>
      <c r="G5" s="331">
        <f t="shared" si="0"/>
        <v>5</v>
      </c>
      <c r="H5" s="331">
        <f t="shared" si="0"/>
        <v>6</v>
      </c>
      <c r="I5" s="331">
        <f t="shared" si="0"/>
        <v>7</v>
      </c>
      <c r="J5" s="331">
        <f t="shared" si="0"/>
        <v>8</v>
      </c>
      <c r="K5" s="331">
        <f t="shared" si="0"/>
        <v>9</v>
      </c>
      <c r="L5" s="331">
        <f t="shared" si="0"/>
        <v>10</v>
      </c>
      <c r="M5" s="331">
        <f t="shared" si="0"/>
        <v>11</v>
      </c>
      <c r="N5" s="331">
        <f t="shared" si="0"/>
        <v>12</v>
      </c>
      <c r="O5" s="331">
        <f t="shared" si="0"/>
        <v>13</v>
      </c>
      <c r="P5" s="331">
        <f t="shared" si="0"/>
        <v>14</v>
      </c>
      <c r="Q5" s="331">
        <f t="shared" si="0"/>
        <v>15</v>
      </c>
      <c r="R5" s="331">
        <f t="shared" si="0"/>
        <v>16</v>
      </c>
      <c r="S5" s="331">
        <f t="shared" si="0"/>
        <v>17</v>
      </c>
      <c r="T5" s="331">
        <f t="shared" si="0"/>
        <v>18</v>
      </c>
      <c r="U5" s="331">
        <f t="shared" si="0"/>
        <v>19</v>
      </c>
      <c r="V5" s="331">
        <f t="shared" si="0"/>
        <v>20</v>
      </c>
    </row>
    <row r="6" spans="1:22" s="16" customFormat="1">
      <c r="A6" s="330" t="s">
        <v>51</v>
      </c>
      <c r="B6" s="331">
        <v>0</v>
      </c>
      <c r="C6" s="331">
        <v>1</v>
      </c>
      <c r="D6" s="331">
        <v>2</v>
      </c>
      <c r="E6" s="331">
        <f>D6+1</f>
        <v>3</v>
      </c>
      <c r="F6" s="331">
        <f t="shared" ref="F6:V6" si="1">E6+1</f>
        <v>4</v>
      </c>
      <c r="G6" s="331">
        <f t="shared" si="1"/>
        <v>5</v>
      </c>
      <c r="H6" s="331">
        <f t="shared" si="1"/>
        <v>6</v>
      </c>
      <c r="I6" s="331">
        <f t="shared" si="1"/>
        <v>7</v>
      </c>
      <c r="J6" s="331">
        <f t="shared" si="1"/>
        <v>8</v>
      </c>
      <c r="K6" s="331">
        <f t="shared" si="1"/>
        <v>9</v>
      </c>
      <c r="L6" s="331">
        <f t="shared" si="1"/>
        <v>10</v>
      </c>
      <c r="M6" s="331">
        <f t="shared" si="1"/>
        <v>11</v>
      </c>
      <c r="N6" s="331">
        <f t="shared" si="1"/>
        <v>12</v>
      </c>
      <c r="O6" s="331">
        <f t="shared" si="1"/>
        <v>13</v>
      </c>
      <c r="P6" s="331">
        <f t="shared" si="1"/>
        <v>14</v>
      </c>
      <c r="Q6" s="331">
        <f t="shared" si="1"/>
        <v>15</v>
      </c>
      <c r="R6" s="331">
        <f t="shared" si="1"/>
        <v>16</v>
      </c>
      <c r="S6" s="331">
        <f t="shared" si="1"/>
        <v>17</v>
      </c>
      <c r="T6" s="331">
        <f t="shared" si="1"/>
        <v>18</v>
      </c>
      <c r="U6" s="331">
        <f t="shared" si="1"/>
        <v>19</v>
      </c>
      <c r="V6" s="331">
        <f t="shared" si="1"/>
        <v>20</v>
      </c>
    </row>
    <row r="7" spans="1:22" s="16" customFormat="1"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>
      <c r="A8" s="41" t="s">
        <v>11</v>
      </c>
      <c r="B8" s="18"/>
      <c r="C8" s="18"/>
      <c r="D8" s="18"/>
    </row>
    <row r="9" spans="1:22">
      <c r="A9" s="23" t="s">
        <v>147</v>
      </c>
      <c r="B9" s="324">
        <v>0</v>
      </c>
      <c r="C9" s="324">
        <v>12</v>
      </c>
      <c r="D9" s="324">
        <v>12</v>
      </c>
      <c r="E9" s="324">
        <v>12</v>
      </c>
      <c r="F9" s="324">
        <v>12</v>
      </c>
      <c r="G9" s="324">
        <v>12</v>
      </c>
      <c r="H9" s="324">
        <v>12</v>
      </c>
      <c r="I9" s="324">
        <v>12</v>
      </c>
      <c r="J9" s="324">
        <v>12</v>
      </c>
      <c r="K9" s="324">
        <v>12</v>
      </c>
      <c r="L9" s="324">
        <v>12</v>
      </c>
      <c r="M9" s="324">
        <v>12</v>
      </c>
      <c r="N9" s="324">
        <v>12</v>
      </c>
      <c r="O9" s="324">
        <v>12</v>
      </c>
      <c r="P9" s="324">
        <v>12</v>
      </c>
      <c r="Q9" s="324">
        <v>12</v>
      </c>
      <c r="R9" s="324">
        <v>12</v>
      </c>
      <c r="S9" s="324">
        <v>12</v>
      </c>
      <c r="T9" s="324">
        <v>12</v>
      </c>
      <c r="U9" s="324">
        <v>12</v>
      </c>
      <c r="V9" s="324">
        <v>12</v>
      </c>
    </row>
    <row r="10" spans="1:22">
      <c r="A10" s="18" t="s">
        <v>148</v>
      </c>
      <c r="B10" s="325">
        <v>0</v>
      </c>
      <c r="C10" s="325">
        <f>90%/30</f>
        <v>3.0000000000000002E-2</v>
      </c>
      <c r="D10" s="325">
        <f>90%/30</f>
        <v>3.0000000000000002E-2</v>
      </c>
      <c r="E10" s="325">
        <f t="shared" ref="E10:V10" si="2">90%/30</f>
        <v>3.0000000000000002E-2</v>
      </c>
      <c r="F10" s="325">
        <f t="shared" si="2"/>
        <v>3.0000000000000002E-2</v>
      </c>
      <c r="G10" s="325">
        <f t="shared" si="2"/>
        <v>3.0000000000000002E-2</v>
      </c>
      <c r="H10" s="325">
        <f t="shared" si="2"/>
        <v>3.0000000000000002E-2</v>
      </c>
      <c r="I10" s="325">
        <f t="shared" si="2"/>
        <v>3.0000000000000002E-2</v>
      </c>
      <c r="J10" s="325">
        <f t="shared" si="2"/>
        <v>3.0000000000000002E-2</v>
      </c>
      <c r="K10" s="325">
        <f t="shared" si="2"/>
        <v>3.0000000000000002E-2</v>
      </c>
      <c r="L10" s="325">
        <f t="shared" si="2"/>
        <v>3.0000000000000002E-2</v>
      </c>
      <c r="M10" s="325">
        <f t="shared" si="2"/>
        <v>3.0000000000000002E-2</v>
      </c>
      <c r="N10" s="325">
        <f t="shared" si="2"/>
        <v>3.0000000000000002E-2</v>
      </c>
      <c r="O10" s="325">
        <f t="shared" si="2"/>
        <v>3.0000000000000002E-2</v>
      </c>
      <c r="P10" s="325">
        <f t="shared" si="2"/>
        <v>3.0000000000000002E-2</v>
      </c>
      <c r="Q10" s="325">
        <f t="shared" si="2"/>
        <v>3.0000000000000002E-2</v>
      </c>
      <c r="R10" s="325">
        <f t="shared" si="2"/>
        <v>3.0000000000000002E-2</v>
      </c>
      <c r="S10" s="325">
        <f t="shared" si="2"/>
        <v>3.0000000000000002E-2</v>
      </c>
      <c r="T10" s="325">
        <f t="shared" si="2"/>
        <v>3.0000000000000002E-2</v>
      </c>
      <c r="U10" s="325">
        <f t="shared" si="2"/>
        <v>3.0000000000000002E-2</v>
      </c>
      <c r="V10" s="325">
        <f t="shared" si="2"/>
        <v>3.0000000000000002E-2</v>
      </c>
    </row>
    <row r="11" spans="1:22">
      <c r="B11" s="18"/>
      <c r="C11" s="18"/>
      <c r="D11" s="18"/>
    </row>
    <row r="12" spans="1:22">
      <c r="A12" s="18" t="s">
        <v>149</v>
      </c>
      <c r="B12" s="122">
        <f>Assumptions!$C$11*Allocation!$C$7</f>
        <v>152671.23304896042</v>
      </c>
      <c r="C12" s="21">
        <f>B14</f>
        <v>152671.23304896042</v>
      </c>
      <c r="D12" s="21">
        <f>C14</f>
        <v>148091.09605749161</v>
      </c>
      <c r="E12" s="21">
        <f t="shared" ref="E12:V12" si="3">D14</f>
        <v>143510.9590660228</v>
      </c>
      <c r="F12" s="21">
        <f t="shared" si="3"/>
        <v>138930.82207455399</v>
      </c>
      <c r="G12" s="21">
        <f t="shared" si="3"/>
        <v>134350.68508308518</v>
      </c>
      <c r="H12" s="21">
        <f t="shared" si="3"/>
        <v>129770.54809161637</v>
      </c>
      <c r="I12" s="21">
        <f t="shared" si="3"/>
        <v>125190.41110014755</v>
      </c>
      <c r="J12" s="21">
        <f t="shared" si="3"/>
        <v>120610.27410867874</v>
      </c>
      <c r="K12" s="21">
        <f t="shared" si="3"/>
        <v>116030.13711720993</v>
      </c>
      <c r="L12" s="21">
        <f t="shared" si="3"/>
        <v>111450.00012574112</v>
      </c>
      <c r="M12" s="21">
        <f t="shared" si="3"/>
        <v>106869.86313427231</v>
      </c>
      <c r="N12" s="21">
        <f t="shared" si="3"/>
        <v>102289.7261428035</v>
      </c>
      <c r="O12" s="21">
        <f t="shared" si="3"/>
        <v>97709.589151334687</v>
      </c>
      <c r="P12" s="21">
        <f t="shared" si="3"/>
        <v>93129.452159865876</v>
      </c>
      <c r="Q12" s="21">
        <f t="shared" si="3"/>
        <v>88549.315168397065</v>
      </c>
      <c r="R12" s="21">
        <f t="shared" si="3"/>
        <v>83969.178176928253</v>
      </c>
      <c r="S12" s="21">
        <f t="shared" si="3"/>
        <v>79389.041185459442</v>
      </c>
      <c r="T12" s="21">
        <f t="shared" si="3"/>
        <v>74808.904193990631</v>
      </c>
      <c r="U12" s="21">
        <f t="shared" si="3"/>
        <v>70228.76720252182</v>
      </c>
      <c r="V12" s="21">
        <f t="shared" si="3"/>
        <v>65648.630211053009</v>
      </c>
    </row>
    <row r="13" spans="1:22">
      <c r="A13" s="18" t="s">
        <v>150</v>
      </c>
      <c r="B13" s="53">
        <f>$B$12*B10</f>
        <v>0</v>
      </c>
      <c r="C13" s="53">
        <f t="shared" ref="C13:V13" si="4">$B$12*C10</f>
        <v>4580.136991468813</v>
      </c>
      <c r="D13" s="53">
        <f t="shared" si="4"/>
        <v>4580.136991468813</v>
      </c>
      <c r="E13" s="53">
        <f t="shared" si="4"/>
        <v>4580.136991468813</v>
      </c>
      <c r="F13" s="53">
        <f t="shared" si="4"/>
        <v>4580.136991468813</v>
      </c>
      <c r="G13" s="53">
        <f t="shared" si="4"/>
        <v>4580.136991468813</v>
      </c>
      <c r="H13" s="53">
        <f t="shared" si="4"/>
        <v>4580.136991468813</v>
      </c>
      <c r="I13" s="53">
        <f t="shared" si="4"/>
        <v>4580.136991468813</v>
      </c>
      <c r="J13" s="53">
        <f t="shared" si="4"/>
        <v>4580.136991468813</v>
      </c>
      <c r="K13" s="53">
        <f t="shared" si="4"/>
        <v>4580.136991468813</v>
      </c>
      <c r="L13" s="53">
        <f t="shared" si="4"/>
        <v>4580.136991468813</v>
      </c>
      <c r="M13" s="53">
        <f t="shared" si="4"/>
        <v>4580.136991468813</v>
      </c>
      <c r="N13" s="53">
        <f t="shared" si="4"/>
        <v>4580.136991468813</v>
      </c>
      <c r="O13" s="53">
        <f t="shared" si="4"/>
        <v>4580.136991468813</v>
      </c>
      <c r="P13" s="53">
        <f t="shared" si="4"/>
        <v>4580.136991468813</v>
      </c>
      <c r="Q13" s="53">
        <f t="shared" si="4"/>
        <v>4580.136991468813</v>
      </c>
      <c r="R13" s="53">
        <f t="shared" si="4"/>
        <v>4580.136991468813</v>
      </c>
      <c r="S13" s="53">
        <f t="shared" si="4"/>
        <v>4580.136991468813</v>
      </c>
      <c r="T13" s="53">
        <f t="shared" si="4"/>
        <v>4580.136991468813</v>
      </c>
      <c r="U13" s="53">
        <f t="shared" si="4"/>
        <v>4580.136991468813</v>
      </c>
      <c r="V13" s="53">
        <f t="shared" si="4"/>
        <v>4580.136991468813</v>
      </c>
    </row>
    <row r="14" spans="1:22">
      <c r="A14" s="18" t="s">
        <v>151</v>
      </c>
      <c r="B14" s="21">
        <f>B12-B13</f>
        <v>152671.23304896042</v>
      </c>
      <c r="C14" s="21">
        <f>C12-C13</f>
        <v>148091.09605749161</v>
      </c>
      <c r="D14" s="21">
        <f>D12-D13</f>
        <v>143510.9590660228</v>
      </c>
      <c r="E14" s="21">
        <f t="shared" ref="E14:V14" si="5">E12-E13</f>
        <v>138930.82207455399</v>
      </c>
      <c r="F14" s="21">
        <f t="shared" si="5"/>
        <v>134350.68508308518</v>
      </c>
      <c r="G14" s="21">
        <f t="shared" si="5"/>
        <v>129770.54809161637</v>
      </c>
      <c r="H14" s="21">
        <f t="shared" si="5"/>
        <v>125190.41110014755</v>
      </c>
      <c r="I14" s="21">
        <f t="shared" si="5"/>
        <v>120610.27410867874</v>
      </c>
      <c r="J14" s="21">
        <f t="shared" si="5"/>
        <v>116030.13711720993</v>
      </c>
      <c r="K14" s="21">
        <f t="shared" si="5"/>
        <v>111450.00012574112</v>
      </c>
      <c r="L14" s="21">
        <f t="shared" si="5"/>
        <v>106869.86313427231</v>
      </c>
      <c r="M14" s="21">
        <f t="shared" si="5"/>
        <v>102289.7261428035</v>
      </c>
      <c r="N14" s="21">
        <f t="shared" si="5"/>
        <v>97709.589151334687</v>
      </c>
      <c r="O14" s="21">
        <f t="shared" si="5"/>
        <v>93129.452159865876</v>
      </c>
      <c r="P14" s="21">
        <f t="shared" si="5"/>
        <v>88549.315168397065</v>
      </c>
      <c r="Q14" s="21">
        <f t="shared" si="5"/>
        <v>83969.178176928253</v>
      </c>
      <c r="R14" s="21">
        <f t="shared" si="5"/>
        <v>79389.041185459442</v>
      </c>
      <c r="S14" s="21">
        <f t="shared" si="5"/>
        <v>74808.904193990631</v>
      </c>
      <c r="T14" s="21">
        <f t="shared" si="5"/>
        <v>70228.76720252182</v>
      </c>
      <c r="U14" s="21">
        <f t="shared" si="5"/>
        <v>65648.630211053009</v>
      </c>
      <c r="V14" s="21">
        <f t="shared" si="5"/>
        <v>61068.493219584198</v>
      </c>
    </row>
    <row r="15" spans="1:22">
      <c r="B15" s="18"/>
      <c r="C15" s="18"/>
      <c r="D15" s="18"/>
    </row>
    <row r="16" spans="1:22">
      <c r="A16" s="41" t="s">
        <v>12</v>
      </c>
      <c r="B16" s="18"/>
      <c r="C16" s="18"/>
      <c r="D16" s="18"/>
    </row>
    <row r="17" spans="1:22">
      <c r="A17" s="23" t="s">
        <v>147</v>
      </c>
      <c r="B17" s="324">
        <v>0</v>
      </c>
      <c r="C17" s="324">
        <v>12</v>
      </c>
      <c r="D17" s="324">
        <v>12</v>
      </c>
      <c r="E17" s="324">
        <v>12</v>
      </c>
      <c r="F17" s="324">
        <v>12</v>
      </c>
      <c r="G17" s="324">
        <v>12</v>
      </c>
      <c r="H17" s="324">
        <v>12</v>
      </c>
      <c r="I17" s="324">
        <v>12</v>
      </c>
      <c r="J17" s="324">
        <v>12</v>
      </c>
      <c r="K17" s="324">
        <v>12</v>
      </c>
      <c r="L17" s="324">
        <v>12</v>
      </c>
      <c r="M17" s="324">
        <v>12</v>
      </c>
      <c r="N17" s="324">
        <v>12</v>
      </c>
      <c r="O17" s="324">
        <v>12</v>
      </c>
      <c r="P17" s="324">
        <v>12</v>
      </c>
      <c r="Q17" s="324">
        <v>12</v>
      </c>
      <c r="R17" s="324">
        <v>12</v>
      </c>
      <c r="S17" s="324">
        <v>12</v>
      </c>
      <c r="T17" s="324">
        <v>12</v>
      </c>
      <c r="U17" s="324">
        <v>12</v>
      </c>
      <c r="V17" s="324">
        <v>12</v>
      </c>
    </row>
    <row r="18" spans="1:22">
      <c r="A18" s="18" t="s">
        <v>148</v>
      </c>
      <c r="B18" s="325">
        <v>0</v>
      </c>
      <c r="C18" s="325">
        <f>90%/30</f>
        <v>3.0000000000000002E-2</v>
      </c>
      <c r="D18" s="325">
        <f>90%/30</f>
        <v>3.0000000000000002E-2</v>
      </c>
      <c r="E18" s="325">
        <f t="shared" ref="E18:V18" si="6">90%/30</f>
        <v>3.0000000000000002E-2</v>
      </c>
      <c r="F18" s="325">
        <f t="shared" si="6"/>
        <v>3.0000000000000002E-2</v>
      </c>
      <c r="G18" s="325">
        <f t="shared" si="6"/>
        <v>3.0000000000000002E-2</v>
      </c>
      <c r="H18" s="325">
        <f t="shared" si="6"/>
        <v>3.0000000000000002E-2</v>
      </c>
      <c r="I18" s="325">
        <f t="shared" si="6"/>
        <v>3.0000000000000002E-2</v>
      </c>
      <c r="J18" s="325">
        <f t="shared" si="6"/>
        <v>3.0000000000000002E-2</v>
      </c>
      <c r="K18" s="325">
        <f t="shared" si="6"/>
        <v>3.0000000000000002E-2</v>
      </c>
      <c r="L18" s="325">
        <f t="shared" si="6"/>
        <v>3.0000000000000002E-2</v>
      </c>
      <c r="M18" s="325">
        <f t="shared" si="6"/>
        <v>3.0000000000000002E-2</v>
      </c>
      <c r="N18" s="325">
        <f t="shared" si="6"/>
        <v>3.0000000000000002E-2</v>
      </c>
      <c r="O18" s="325">
        <f t="shared" si="6"/>
        <v>3.0000000000000002E-2</v>
      </c>
      <c r="P18" s="325">
        <f t="shared" si="6"/>
        <v>3.0000000000000002E-2</v>
      </c>
      <c r="Q18" s="325">
        <f t="shared" si="6"/>
        <v>3.0000000000000002E-2</v>
      </c>
      <c r="R18" s="325">
        <f t="shared" si="6"/>
        <v>3.0000000000000002E-2</v>
      </c>
      <c r="S18" s="325">
        <f t="shared" si="6"/>
        <v>3.0000000000000002E-2</v>
      </c>
      <c r="T18" s="325">
        <f t="shared" si="6"/>
        <v>3.0000000000000002E-2</v>
      </c>
      <c r="U18" s="325">
        <f t="shared" si="6"/>
        <v>3.0000000000000002E-2</v>
      </c>
      <c r="V18" s="325">
        <f t="shared" si="6"/>
        <v>3.0000000000000002E-2</v>
      </c>
    </row>
    <row r="19" spans="1:22">
      <c r="B19" s="18"/>
      <c r="C19" s="18"/>
      <c r="D19" s="18"/>
    </row>
    <row r="20" spans="1:22">
      <c r="A20" s="18" t="s">
        <v>149</v>
      </c>
      <c r="B20" s="122">
        <f>Assumptions!$C$11*Allocation!$C$8</f>
        <v>184592.75787619036</v>
      </c>
      <c r="C20" s="21">
        <f>B22</f>
        <v>184592.75787619036</v>
      </c>
      <c r="D20" s="21">
        <f>C22</f>
        <v>179054.97513990465</v>
      </c>
      <c r="E20" s="21">
        <f t="shared" ref="E20:V20" si="7">D22</f>
        <v>173517.19240361894</v>
      </c>
      <c r="F20" s="21">
        <f t="shared" si="7"/>
        <v>167979.40966733324</v>
      </c>
      <c r="G20" s="21">
        <f t="shared" si="7"/>
        <v>162441.62693104753</v>
      </c>
      <c r="H20" s="21">
        <f t="shared" si="7"/>
        <v>156903.84419476183</v>
      </c>
      <c r="I20" s="21">
        <f t="shared" si="7"/>
        <v>151366.06145847612</v>
      </c>
      <c r="J20" s="21">
        <f t="shared" si="7"/>
        <v>145828.27872219041</v>
      </c>
      <c r="K20" s="21">
        <f t="shared" si="7"/>
        <v>140290.49598590471</v>
      </c>
      <c r="L20" s="21">
        <f t="shared" si="7"/>
        <v>134752.713249619</v>
      </c>
      <c r="M20" s="21">
        <f t="shared" si="7"/>
        <v>129214.9305133333</v>
      </c>
      <c r="N20" s="21">
        <f t="shared" si="7"/>
        <v>123677.14777704759</v>
      </c>
      <c r="O20" s="21">
        <f t="shared" si="7"/>
        <v>118139.36504076188</v>
      </c>
      <c r="P20" s="21">
        <f t="shared" si="7"/>
        <v>112601.58230447618</v>
      </c>
      <c r="Q20" s="21">
        <f t="shared" si="7"/>
        <v>107063.79956819047</v>
      </c>
      <c r="R20" s="21">
        <f t="shared" si="7"/>
        <v>101526.01683190477</v>
      </c>
      <c r="S20" s="21">
        <f t="shared" si="7"/>
        <v>95988.23409561906</v>
      </c>
      <c r="T20" s="21">
        <f t="shared" si="7"/>
        <v>90450.451359333354</v>
      </c>
      <c r="U20" s="21">
        <f t="shared" si="7"/>
        <v>84912.668623047648</v>
      </c>
      <c r="V20" s="21">
        <f t="shared" si="7"/>
        <v>79374.885886761942</v>
      </c>
    </row>
    <row r="21" spans="1:22">
      <c r="A21" s="18" t="s">
        <v>150</v>
      </c>
      <c r="B21" s="53">
        <f t="shared" ref="B21:V21" si="8">$B$20*B18</f>
        <v>0</v>
      </c>
      <c r="C21" s="53">
        <f t="shared" si="8"/>
        <v>5537.7827362857115</v>
      </c>
      <c r="D21" s="53">
        <f t="shared" si="8"/>
        <v>5537.7827362857115</v>
      </c>
      <c r="E21" s="53">
        <f t="shared" si="8"/>
        <v>5537.7827362857115</v>
      </c>
      <c r="F21" s="53">
        <f t="shared" si="8"/>
        <v>5537.7827362857115</v>
      </c>
      <c r="G21" s="53">
        <f t="shared" si="8"/>
        <v>5537.7827362857115</v>
      </c>
      <c r="H21" s="53">
        <f t="shared" si="8"/>
        <v>5537.7827362857115</v>
      </c>
      <c r="I21" s="53">
        <f t="shared" si="8"/>
        <v>5537.7827362857115</v>
      </c>
      <c r="J21" s="53">
        <f t="shared" si="8"/>
        <v>5537.7827362857115</v>
      </c>
      <c r="K21" s="53">
        <f t="shared" si="8"/>
        <v>5537.7827362857115</v>
      </c>
      <c r="L21" s="53">
        <f t="shared" si="8"/>
        <v>5537.7827362857115</v>
      </c>
      <c r="M21" s="53">
        <f t="shared" si="8"/>
        <v>5537.7827362857115</v>
      </c>
      <c r="N21" s="53">
        <f t="shared" si="8"/>
        <v>5537.7827362857115</v>
      </c>
      <c r="O21" s="53">
        <f t="shared" si="8"/>
        <v>5537.7827362857115</v>
      </c>
      <c r="P21" s="53">
        <f t="shared" si="8"/>
        <v>5537.7827362857115</v>
      </c>
      <c r="Q21" s="53">
        <f t="shared" si="8"/>
        <v>5537.7827362857115</v>
      </c>
      <c r="R21" s="53">
        <f t="shared" si="8"/>
        <v>5537.7827362857115</v>
      </c>
      <c r="S21" s="53">
        <f t="shared" si="8"/>
        <v>5537.7827362857115</v>
      </c>
      <c r="T21" s="53">
        <f t="shared" si="8"/>
        <v>5537.7827362857115</v>
      </c>
      <c r="U21" s="53">
        <f t="shared" si="8"/>
        <v>5537.7827362857115</v>
      </c>
      <c r="V21" s="53">
        <f t="shared" si="8"/>
        <v>5537.7827362857115</v>
      </c>
    </row>
    <row r="22" spans="1:22">
      <c r="A22" s="18" t="s">
        <v>151</v>
      </c>
      <c r="B22" s="21">
        <f>B20-B21</f>
        <v>184592.75787619036</v>
      </c>
      <c r="C22" s="21">
        <f>C20-C21</f>
        <v>179054.97513990465</v>
      </c>
      <c r="D22" s="21">
        <f>D20-D21</f>
        <v>173517.19240361894</v>
      </c>
      <c r="E22" s="21">
        <f t="shared" ref="E22:V22" si="9">E20-E21</f>
        <v>167979.40966733324</v>
      </c>
      <c r="F22" s="21">
        <f t="shared" si="9"/>
        <v>162441.62693104753</v>
      </c>
      <c r="G22" s="21">
        <f t="shared" si="9"/>
        <v>156903.84419476183</v>
      </c>
      <c r="H22" s="21">
        <f t="shared" si="9"/>
        <v>151366.06145847612</v>
      </c>
      <c r="I22" s="21">
        <f t="shared" si="9"/>
        <v>145828.27872219041</v>
      </c>
      <c r="J22" s="21">
        <f t="shared" si="9"/>
        <v>140290.49598590471</v>
      </c>
      <c r="K22" s="21">
        <f t="shared" si="9"/>
        <v>134752.713249619</v>
      </c>
      <c r="L22" s="21">
        <f t="shared" si="9"/>
        <v>129214.9305133333</v>
      </c>
      <c r="M22" s="21">
        <f t="shared" si="9"/>
        <v>123677.14777704759</v>
      </c>
      <c r="N22" s="21">
        <f t="shared" si="9"/>
        <v>118139.36504076188</v>
      </c>
      <c r="O22" s="21">
        <f t="shared" si="9"/>
        <v>112601.58230447618</v>
      </c>
      <c r="P22" s="21">
        <f t="shared" si="9"/>
        <v>107063.79956819047</v>
      </c>
      <c r="Q22" s="21">
        <f t="shared" si="9"/>
        <v>101526.01683190477</v>
      </c>
      <c r="R22" s="21">
        <f t="shared" si="9"/>
        <v>95988.23409561906</v>
      </c>
      <c r="S22" s="21">
        <f t="shared" si="9"/>
        <v>90450.451359333354</v>
      </c>
      <c r="T22" s="21">
        <f t="shared" si="9"/>
        <v>84912.668623047648</v>
      </c>
      <c r="U22" s="21">
        <f t="shared" si="9"/>
        <v>79374.885886761942</v>
      </c>
      <c r="V22" s="21">
        <f t="shared" si="9"/>
        <v>73837.103150476236</v>
      </c>
    </row>
    <row r="23" spans="1:22">
      <c r="B23" s="18"/>
      <c r="C23" s="18"/>
      <c r="D23" s="18"/>
    </row>
    <row r="24" spans="1:22">
      <c r="A24" s="41" t="s">
        <v>13</v>
      </c>
      <c r="B24" s="18"/>
      <c r="C24" s="18"/>
      <c r="D24" s="18"/>
    </row>
    <row r="25" spans="1:22">
      <c r="A25" s="23" t="s">
        <v>147</v>
      </c>
      <c r="B25" s="324">
        <v>0</v>
      </c>
      <c r="C25" s="324">
        <v>12</v>
      </c>
      <c r="D25" s="324">
        <v>12</v>
      </c>
      <c r="E25" s="324">
        <v>12</v>
      </c>
      <c r="F25" s="324">
        <v>12</v>
      </c>
      <c r="G25" s="324">
        <v>12</v>
      </c>
      <c r="H25" s="324">
        <v>12</v>
      </c>
      <c r="I25" s="324">
        <v>12</v>
      </c>
      <c r="J25" s="324">
        <v>12</v>
      </c>
      <c r="K25" s="324">
        <v>12</v>
      </c>
      <c r="L25" s="324">
        <v>12</v>
      </c>
      <c r="M25" s="324">
        <v>12</v>
      </c>
      <c r="N25" s="324">
        <v>12</v>
      </c>
      <c r="O25" s="324">
        <v>12</v>
      </c>
      <c r="P25" s="324">
        <v>12</v>
      </c>
      <c r="Q25" s="324">
        <v>12</v>
      </c>
      <c r="R25" s="324">
        <v>12</v>
      </c>
      <c r="S25" s="324">
        <v>12</v>
      </c>
      <c r="T25" s="324">
        <v>12</v>
      </c>
      <c r="U25" s="324">
        <v>12</v>
      </c>
      <c r="V25" s="324">
        <v>12</v>
      </c>
    </row>
    <row r="26" spans="1:22">
      <c r="A26" s="18" t="s">
        <v>148</v>
      </c>
      <c r="B26" s="325">
        <v>0</v>
      </c>
      <c r="C26" s="325">
        <f>90%/30</f>
        <v>3.0000000000000002E-2</v>
      </c>
      <c r="D26" s="325">
        <f>90%/30</f>
        <v>3.0000000000000002E-2</v>
      </c>
      <c r="E26" s="325">
        <f t="shared" ref="E26:V26" si="10">90%/30</f>
        <v>3.0000000000000002E-2</v>
      </c>
      <c r="F26" s="325">
        <f t="shared" si="10"/>
        <v>3.0000000000000002E-2</v>
      </c>
      <c r="G26" s="325">
        <f t="shared" si="10"/>
        <v>3.0000000000000002E-2</v>
      </c>
      <c r="H26" s="325">
        <f t="shared" si="10"/>
        <v>3.0000000000000002E-2</v>
      </c>
      <c r="I26" s="325">
        <f t="shared" si="10"/>
        <v>3.0000000000000002E-2</v>
      </c>
      <c r="J26" s="325">
        <f t="shared" si="10"/>
        <v>3.0000000000000002E-2</v>
      </c>
      <c r="K26" s="325">
        <f t="shared" si="10"/>
        <v>3.0000000000000002E-2</v>
      </c>
      <c r="L26" s="325">
        <f t="shared" si="10"/>
        <v>3.0000000000000002E-2</v>
      </c>
      <c r="M26" s="325">
        <f t="shared" si="10"/>
        <v>3.0000000000000002E-2</v>
      </c>
      <c r="N26" s="325">
        <f t="shared" si="10"/>
        <v>3.0000000000000002E-2</v>
      </c>
      <c r="O26" s="325">
        <f t="shared" si="10"/>
        <v>3.0000000000000002E-2</v>
      </c>
      <c r="P26" s="325">
        <f t="shared" si="10"/>
        <v>3.0000000000000002E-2</v>
      </c>
      <c r="Q26" s="325">
        <f t="shared" si="10"/>
        <v>3.0000000000000002E-2</v>
      </c>
      <c r="R26" s="325">
        <f t="shared" si="10"/>
        <v>3.0000000000000002E-2</v>
      </c>
      <c r="S26" s="325">
        <f t="shared" si="10"/>
        <v>3.0000000000000002E-2</v>
      </c>
      <c r="T26" s="325">
        <f t="shared" si="10"/>
        <v>3.0000000000000002E-2</v>
      </c>
      <c r="U26" s="325">
        <f t="shared" si="10"/>
        <v>3.0000000000000002E-2</v>
      </c>
      <c r="V26" s="325">
        <f t="shared" si="10"/>
        <v>3.0000000000000002E-2</v>
      </c>
    </row>
    <row r="27" spans="1:22">
      <c r="B27" s="18"/>
      <c r="C27" s="18"/>
      <c r="D27" s="18"/>
    </row>
    <row r="28" spans="1:22">
      <c r="A28" s="18" t="s">
        <v>149</v>
      </c>
      <c r="B28" s="122">
        <f>Assumptions!$C$11*Allocation!$C$9</f>
        <v>177521.61133106024</v>
      </c>
      <c r="C28" s="21">
        <f>B30</f>
        <v>177521.61133106024</v>
      </c>
      <c r="D28" s="21">
        <f>C30</f>
        <v>172195.96299112844</v>
      </c>
      <c r="E28" s="21">
        <f t="shared" ref="E28:V28" si="11">D30</f>
        <v>166870.31465119665</v>
      </c>
      <c r="F28" s="21">
        <f t="shared" si="11"/>
        <v>161544.66631126485</v>
      </c>
      <c r="G28" s="21">
        <f t="shared" si="11"/>
        <v>156219.01797133306</v>
      </c>
      <c r="H28" s="21">
        <f t="shared" si="11"/>
        <v>150893.36963140126</v>
      </c>
      <c r="I28" s="21">
        <f t="shared" si="11"/>
        <v>145567.72129146947</v>
      </c>
      <c r="J28" s="21">
        <f t="shared" si="11"/>
        <v>140242.07295153767</v>
      </c>
      <c r="K28" s="21">
        <f t="shared" si="11"/>
        <v>134916.42461160588</v>
      </c>
      <c r="L28" s="21">
        <f t="shared" si="11"/>
        <v>129590.77627167407</v>
      </c>
      <c r="M28" s="21">
        <f t="shared" si="11"/>
        <v>124265.12793174226</v>
      </c>
      <c r="N28" s="21">
        <f t="shared" si="11"/>
        <v>118939.47959181045</v>
      </c>
      <c r="O28" s="21">
        <f t="shared" si="11"/>
        <v>113613.83125187864</v>
      </c>
      <c r="P28" s="21">
        <f t="shared" si="11"/>
        <v>108288.18291194683</v>
      </c>
      <c r="Q28" s="21">
        <f t="shared" si="11"/>
        <v>102962.53457201502</v>
      </c>
      <c r="R28" s="21">
        <f t="shared" si="11"/>
        <v>97636.886232083212</v>
      </c>
      <c r="S28" s="21">
        <f t="shared" si="11"/>
        <v>92311.237892151403</v>
      </c>
      <c r="T28" s="21">
        <f t="shared" si="11"/>
        <v>86985.589552219593</v>
      </c>
      <c r="U28" s="21">
        <f t="shared" si="11"/>
        <v>81659.941212287784</v>
      </c>
      <c r="V28" s="21">
        <f t="shared" si="11"/>
        <v>76334.292872355974</v>
      </c>
    </row>
    <row r="29" spans="1:22">
      <c r="A29" s="18" t="s">
        <v>150</v>
      </c>
      <c r="B29" s="53">
        <f>$B$28*B26</f>
        <v>0</v>
      </c>
      <c r="C29" s="53">
        <f t="shared" ref="C29:V29" si="12">$B$28*C26</f>
        <v>5325.6483399318076</v>
      </c>
      <c r="D29" s="53">
        <f t="shared" si="12"/>
        <v>5325.6483399318076</v>
      </c>
      <c r="E29" s="53">
        <f t="shared" si="12"/>
        <v>5325.6483399318076</v>
      </c>
      <c r="F29" s="53">
        <f t="shared" si="12"/>
        <v>5325.6483399318076</v>
      </c>
      <c r="G29" s="53">
        <f t="shared" si="12"/>
        <v>5325.6483399318076</v>
      </c>
      <c r="H29" s="53">
        <f t="shared" si="12"/>
        <v>5325.6483399318076</v>
      </c>
      <c r="I29" s="53">
        <f t="shared" si="12"/>
        <v>5325.6483399318076</v>
      </c>
      <c r="J29" s="53">
        <f t="shared" si="12"/>
        <v>5325.6483399318076</v>
      </c>
      <c r="K29" s="53">
        <f t="shared" si="12"/>
        <v>5325.6483399318076</v>
      </c>
      <c r="L29" s="53">
        <f t="shared" si="12"/>
        <v>5325.6483399318076</v>
      </c>
      <c r="M29" s="53">
        <f t="shared" si="12"/>
        <v>5325.6483399318076</v>
      </c>
      <c r="N29" s="53">
        <f t="shared" si="12"/>
        <v>5325.6483399318076</v>
      </c>
      <c r="O29" s="53">
        <f t="shared" si="12"/>
        <v>5325.6483399318076</v>
      </c>
      <c r="P29" s="53">
        <f t="shared" si="12"/>
        <v>5325.6483399318076</v>
      </c>
      <c r="Q29" s="53">
        <f t="shared" si="12"/>
        <v>5325.6483399318076</v>
      </c>
      <c r="R29" s="53">
        <f t="shared" si="12"/>
        <v>5325.6483399318076</v>
      </c>
      <c r="S29" s="53">
        <f t="shared" si="12"/>
        <v>5325.6483399318076</v>
      </c>
      <c r="T29" s="53">
        <f t="shared" si="12"/>
        <v>5325.6483399318076</v>
      </c>
      <c r="U29" s="53">
        <f t="shared" si="12"/>
        <v>5325.6483399318076</v>
      </c>
      <c r="V29" s="53">
        <f t="shared" si="12"/>
        <v>5325.6483399318076</v>
      </c>
    </row>
    <row r="30" spans="1:22">
      <c r="A30" s="18" t="s">
        <v>151</v>
      </c>
      <c r="B30" s="21">
        <f>B28-B29</f>
        <v>177521.61133106024</v>
      </c>
      <c r="C30" s="21">
        <f>C28-C29</f>
        <v>172195.96299112844</v>
      </c>
      <c r="D30" s="21">
        <f>D28-D29</f>
        <v>166870.31465119665</v>
      </c>
      <c r="E30" s="21">
        <f t="shared" ref="E30:V30" si="13">E28-E29</f>
        <v>161544.66631126485</v>
      </c>
      <c r="F30" s="21">
        <f t="shared" si="13"/>
        <v>156219.01797133306</v>
      </c>
      <c r="G30" s="21">
        <f t="shared" si="13"/>
        <v>150893.36963140126</v>
      </c>
      <c r="H30" s="21">
        <f t="shared" si="13"/>
        <v>145567.72129146947</v>
      </c>
      <c r="I30" s="21">
        <f t="shared" si="13"/>
        <v>140242.07295153767</v>
      </c>
      <c r="J30" s="21">
        <f t="shared" si="13"/>
        <v>134916.42461160588</v>
      </c>
      <c r="K30" s="21">
        <f t="shared" si="13"/>
        <v>129590.77627167407</v>
      </c>
      <c r="L30" s="21">
        <f t="shared" si="13"/>
        <v>124265.12793174226</v>
      </c>
      <c r="M30" s="21">
        <f t="shared" si="13"/>
        <v>118939.47959181045</v>
      </c>
      <c r="N30" s="21">
        <f t="shared" si="13"/>
        <v>113613.83125187864</v>
      </c>
      <c r="O30" s="21">
        <f t="shared" si="13"/>
        <v>108288.18291194683</v>
      </c>
      <c r="P30" s="21">
        <f t="shared" si="13"/>
        <v>102962.53457201502</v>
      </c>
      <c r="Q30" s="21">
        <f t="shared" si="13"/>
        <v>97636.886232083212</v>
      </c>
      <c r="R30" s="21">
        <f t="shared" si="13"/>
        <v>92311.237892151403</v>
      </c>
      <c r="S30" s="21">
        <f t="shared" si="13"/>
        <v>86985.589552219593</v>
      </c>
      <c r="T30" s="21">
        <f t="shared" si="13"/>
        <v>81659.941212287784</v>
      </c>
      <c r="U30" s="21">
        <f t="shared" si="13"/>
        <v>76334.292872355974</v>
      </c>
      <c r="V30" s="21">
        <f t="shared" si="13"/>
        <v>71008.644532424165</v>
      </c>
    </row>
    <row r="31" spans="1:22">
      <c r="B31" s="18"/>
      <c r="C31" s="18"/>
      <c r="D31" s="18"/>
    </row>
    <row r="32" spans="1:22">
      <c r="A32" s="41" t="s">
        <v>142</v>
      </c>
      <c r="B32" s="18"/>
      <c r="C32" s="18"/>
      <c r="D32" s="18"/>
    </row>
    <row r="33" spans="1:26">
      <c r="A33" s="23" t="s">
        <v>147</v>
      </c>
      <c r="B33" s="324">
        <v>0</v>
      </c>
      <c r="C33" s="324">
        <v>12</v>
      </c>
      <c r="D33" s="324">
        <v>12</v>
      </c>
      <c r="E33" s="324">
        <v>12</v>
      </c>
      <c r="F33" s="324">
        <v>12</v>
      </c>
      <c r="G33" s="324">
        <v>12</v>
      </c>
      <c r="H33" s="324">
        <v>12</v>
      </c>
      <c r="I33" s="324">
        <v>12</v>
      </c>
      <c r="J33" s="324">
        <v>12</v>
      </c>
      <c r="K33" s="324">
        <v>12</v>
      </c>
      <c r="L33" s="324">
        <v>12</v>
      </c>
      <c r="M33" s="324">
        <v>12</v>
      </c>
      <c r="N33" s="324">
        <v>12</v>
      </c>
      <c r="O33" s="324">
        <v>12</v>
      </c>
      <c r="P33" s="324">
        <v>12</v>
      </c>
      <c r="Q33" s="324">
        <v>12</v>
      </c>
      <c r="R33" s="324">
        <v>12</v>
      </c>
      <c r="S33" s="324">
        <v>12</v>
      </c>
      <c r="T33" s="324">
        <v>12</v>
      </c>
      <c r="U33" s="324">
        <v>12</v>
      </c>
      <c r="V33" s="324">
        <v>12</v>
      </c>
    </row>
    <row r="34" spans="1:26">
      <c r="A34" s="18" t="s">
        <v>148</v>
      </c>
      <c r="B34" s="325">
        <v>0</v>
      </c>
      <c r="C34" s="325">
        <f>90%/30</f>
        <v>3.0000000000000002E-2</v>
      </c>
      <c r="D34" s="325">
        <f>90%/30</f>
        <v>3.0000000000000002E-2</v>
      </c>
      <c r="E34" s="325">
        <f t="shared" ref="E34:V34" si="14">90%/30</f>
        <v>3.0000000000000002E-2</v>
      </c>
      <c r="F34" s="325">
        <f t="shared" si="14"/>
        <v>3.0000000000000002E-2</v>
      </c>
      <c r="G34" s="325">
        <f t="shared" si="14"/>
        <v>3.0000000000000002E-2</v>
      </c>
      <c r="H34" s="325">
        <f t="shared" si="14"/>
        <v>3.0000000000000002E-2</v>
      </c>
      <c r="I34" s="325">
        <f t="shared" si="14"/>
        <v>3.0000000000000002E-2</v>
      </c>
      <c r="J34" s="325">
        <f t="shared" si="14"/>
        <v>3.0000000000000002E-2</v>
      </c>
      <c r="K34" s="325">
        <f t="shared" si="14"/>
        <v>3.0000000000000002E-2</v>
      </c>
      <c r="L34" s="325">
        <f t="shared" si="14"/>
        <v>3.0000000000000002E-2</v>
      </c>
      <c r="M34" s="325">
        <f t="shared" si="14"/>
        <v>3.0000000000000002E-2</v>
      </c>
      <c r="N34" s="325">
        <f t="shared" si="14"/>
        <v>3.0000000000000002E-2</v>
      </c>
      <c r="O34" s="325">
        <f t="shared" si="14"/>
        <v>3.0000000000000002E-2</v>
      </c>
      <c r="P34" s="325">
        <f t="shared" si="14"/>
        <v>3.0000000000000002E-2</v>
      </c>
      <c r="Q34" s="325">
        <f t="shared" si="14"/>
        <v>3.0000000000000002E-2</v>
      </c>
      <c r="R34" s="325">
        <f t="shared" si="14"/>
        <v>3.0000000000000002E-2</v>
      </c>
      <c r="S34" s="325">
        <f t="shared" si="14"/>
        <v>3.0000000000000002E-2</v>
      </c>
      <c r="T34" s="325">
        <f t="shared" si="14"/>
        <v>3.0000000000000002E-2</v>
      </c>
      <c r="U34" s="325">
        <f t="shared" si="14"/>
        <v>3.0000000000000002E-2</v>
      </c>
      <c r="V34" s="325">
        <f t="shared" si="14"/>
        <v>3.0000000000000002E-2</v>
      </c>
    </row>
    <row r="35" spans="1:26">
      <c r="B35" s="18"/>
      <c r="C35" s="18"/>
      <c r="D35" s="18"/>
    </row>
    <row r="36" spans="1:26">
      <c r="A36" s="18" t="s">
        <v>149</v>
      </c>
      <c r="B36" s="122">
        <f>Assumptions!$C$11*Allocation!$C$12</f>
        <v>208473.43840296238</v>
      </c>
      <c r="C36" s="21">
        <f>B38</f>
        <v>208473.43840296238</v>
      </c>
      <c r="D36" s="21">
        <f>C38</f>
        <v>202219.23525087349</v>
      </c>
      <c r="E36" s="21">
        <f t="shared" ref="E36:V36" si="15">D38</f>
        <v>195965.03209878461</v>
      </c>
      <c r="F36" s="21">
        <f t="shared" si="15"/>
        <v>189710.82894669572</v>
      </c>
      <c r="G36" s="21">
        <f t="shared" si="15"/>
        <v>183456.62579460684</v>
      </c>
      <c r="H36" s="21">
        <f t="shared" si="15"/>
        <v>177202.42264251795</v>
      </c>
      <c r="I36" s="21">
        <f t="shared" si="15"/>
        <v>170948.21949042907</v>
      </c>
      <c r="J36" s="21">
        <f t="shared" si="15"/>
        <v>164694.01633834018</v>
      </c>
      <c r="K36" s="21">
        <f t="shared" si="15"/>
        <v>158439.8131862513</v>
      </c>
      <c r="L36" s="21">
        <f t="shared" si="15"/>
        <v>152185.61003416241</v>
      </c>
      <c r="M36" s="21">
        <f t="shared" si="15"/>
        <v>145931.40688207353</v>
      </c>
      <c r="N36" s="21">
        <f t="shared" si="15"/>
        <v>139677.20372998464</v>
      </c>
      <c r="O36" s="21">
        <f t="shared" si="15"/>
        <v>133423.00057789576</v>
      </c>
      <c r="P36" s="21">
        <f t="shared" si="15"/>
        <v>127168.79742580689</v>
      </c>
      <c r="Q36" s="21">
        <f t="shared" si="15"/>
        <v>120914.59427371802</v>
      </c>
      <c r="R36" s="21">
        <f t="shared" si="15"/>
        <v>114660.39112162915</v>
      </c>
      <c r="S36" s="21">
        <f t="shared" si="15"/>
        <v>108406.18796954027</v>
      </c>
      <c r="T36" s="21">
        <f t="shared" si="15"/>
        <v>102151.9848174514</v>
      </c>
      <c r="U36" s="21">
        <f t="shared" si="15"/>
        <v>95897.781665362534</v>
      </c>
      <c r="V36" s="21">
        <f t="shared" si="15"/>
        <v>89643.578513273664</v>
      </c>
    </row>
    <row r="37" spans="1:26">
      <c r="A37" s="18" t="s">
        <v>150</v>
      </c>
      <c r="B37" s="53">
        <f>$B$36*B34</f>
        <v>0</v>
      </c>
      <c r="C37" s="53">
        <f t="shared" ref="C37:V37" si="16">$B$36*C34</f>
        <v>6254.2031520888722</v>
      </c>
      <c r="D37" s="53">
        <f t="shared" si="16"/>
        <v>6254.2031520888722</v>
      </c>
      <c r="E37" s="53">
        <f t="shared" si="16"/>
        <v>6254.2031520888722</v>
      </c>
      <c r="F37" s="53">
        <f t="shared" si="16"/>
        <v>6254.2031520888722</v>
      </c>
      <c r="G37" s="53">
        <f t="shared" si="16"/>
        <v>6254.2031520888722</v>
      </c>
      <c r="H37" s="53">
        <f t="shared" si="16"/>
        <v>6254.2031520888722</v>
      </c>
      <c r="I37" s="53">
        <f t="shared" si="16"/>
        <v>6254.2031520888722</v>
      </c>
      <c r="J37" s="53">
        <f t="shared" si="16"/>
        <v>6254.2031520888722</v>
      </c>
      <c r="K37" s="53">
        <f t="shared" si="16"/>
        <v>6254.2031520888722</v>
      </c>
      <c r="L37" s="53">
        <f t="shared" si="16"/>
        <v>6254.2031520888722</v>
      </c>
      <c r="M37" s="53">
        <f t="shared" si="16"/>
        <v>6254.2031520888722</v>
      </c>
      <c r="N37" s="53">
        <f t="shared" si="16"/>
        <v>6254.2031520888722</v>
      </c>
      <c r="O37" s="53">
        <f t="shared" si="16"/>
        <v>6254.2031520888722</v>
      </c>
      <c r="P37" s="53">
        <f t="shared" si="16"/>
        <v>6254.2031520888722</v>
      </c>
      <c r="Q37" s="53">
        <f t="shared" si="16"/>
        <v>6254.2031520888722</v>
      </c>
      <c r="R37" s="53">
        <f t="shared" si="16"/>
        <v>6254.2031520888722</v>
      </c>
      <c r="S37" s="53">
        <f t="shared" si="16"/>
        <v>6254.2031520888722</v>
      </c>
      <c r="T37" s="53">
        <f t="shared" si="16"/>
        <v>6254.2031520888722</v>
      </c>
      <c r="U37" s="53">
        <f t="shared" si="16"/>
        <v>6254.2031520888722</v>
      </c>
      <c r="V37" s="53">
        <f t="shared" si="16"/>
        <v>6254.2031520888722</v>
      </c>
    </row>
    <row r="38" spans="1:26">
      <c r="A38" s="18" t="s">
        <v>151</v>
      </c>
      <c r="B38" s="21">
        <f>B36-B37</f>
        <v>208473.43840296238</v>
      </c>
      <c r="C38" s="21">
        <f>C36-C37</f>
        <v>202219.23525087349</v>
      </c>
      <c r="D38" s="21">
        <f>D36-D37</f>
        <v>195965.03209878461</v>
      </c>
      <c r="E38" s="21">
        <f t="shared" ref="E38:V38" si="17">E36-E37</f>
        <v>189710.82894669572</v>
      </c>
      <c r="F38" s="21">
        <f t="shared" si="17"/>
        <v>183456.62579460684</v>
      </c>
      <c r="G38" s="21">
        <f t="shared" si="17"/>
        <v>177202.42264251795</v>
      </c>
      <c r="H38" s="21">
        <f t="shared" si="17"/>
        <v>170948.21949042907</v>
      </c>
      <c r="I38" s="21">
        <f t="shared" si="17"/>
        <v>164694.01633834018</v>
      </c>
      <c r="J38" s="21">
        <f t="shared" si="17"/>
        <v>158439.8131862513</v>
      </c>
      <c r="K38" s="21">
        <f t="shared" si="17"/>
        <v>152185.61003416241</v>
      </c>
      <c r="L38" s="21">
        <f t="shared" si="17"/>
        <v>145931.40688207353</v>
      </c>
      <c r="M38" s="21">
        <f t="shared" si="17"/>
        <v>139677.20372998464</v>
      </c>
      <c r="N38" s="21">
        <f t="shared" si="17"/>
        <v>133423.00057789576</v>
      </c>
      <c r="O38" s="21">
        <f t="shared" si="17"/>
        <v>127168.79742580689</v>
      </c>
      <c r="P38" s="21">
        <f t="shared" si="17"/>
        <v>120914.59427371802</v>
      </c>
      <c r="Q38" s="21">
        <f t="shared" si="17"/>
        <v>114660.39112162915</v>
      </c>
      <c r="R38" s="21">
        <f t="shared" si="17"/>
        <v>108406.18796954027</v>
      </c>
      <c r="S38" s="21">
        <f t="shared" si="17"/>
        <v>102151.9848174514</v>
      </c>
      <c r="T38" s="21">
        <f t="shared" si="17"/>
        <v>95897.781665362534</v>
      </c>
      <c r="U38" s="21">
        <f t="shared" si="17"/>
        <v>89643.578513273664</v>
      </c>
      <c r="V38" s="21">
        <f t="shared" si="17"/>
        <v>83389.375361184793</v>
      </c>
    </row>
    <row r="39" spans="1:26">
      <c r="B39" s="18"/>
      <c r="C39" s="18"/>
      <c r="D39" s="18"/>
    </row>
    <row r="40" spans="1:26">
      <c r="A40" s="41" t="s">
        <v>14</v>
      </c>
      <c r="B40" s="18"/>
      <c r="C40" s="18"/>
      <c r="D40" s="18"/>
    </row>
    <row r="41" spans="1:26">
      <c r="A41" s="23" t="s">
        <v>147</v>
      </c>
      <c r="B41" s="324">
        <v>0</v>
      </c>
      <c r="C41" s="324">
        <v>12</v>
      </c>
      <c r="D41" s="324">
        <v>12</v>
      </c>
      <c r="E41" s="324">
        <v>12</v>
      </c>
      <c r="F41" s="324">
        <v>12</v>
      </c>
      <c r="G41" s="324">
        <v>12</v>
      </c>
      <c r="H41" s="324">
        <v>12</v>
      </c>
      <c r="I41" s="324">
        <v>12</v>
      </c>
      <c r="J41" s="324">
        <v>12</v>
      </c>
      <c r="K41" s="324">
        <v>12</v>
      </c>
      <c r="L41" s="324">
        <v>12</v>
      </c>
      <c r="M41" s="324">
        <v>12</v>
      </c>
      <c r="N41" s="324">
        <v>12</v>
      </c>
      <c r="O41" s="324">
        <v>12</v>
      </c>
      <c r="P41" s="324">
        <v>12</v>
      </c>
      <c r="Q41" s="324">
        <v>12</v>
      </c>
      <c r="R41" s="324">
        <v>12</v>
      </c>
      <c r="S41" s="324">
        <v>12</v>
      </c>
      <c r="T41" s="324">
        <v>12</v>
      </c>
      <c r="U41" s="324">
        <v>12</v>
      </c>
      <c r="V41" s="324">
        <v>12</v>
      </c>
    </row>
    <row r="42" spans="1:26">
      <c r="A42" s="18" t="s">
        <v>148</v>
      </c>
      <c r="B42" s="325">
        <v>0</v>
      </c>
      <c r="C42" s="325">
        <f>90%/30</f>
        <v>3.0000000000000002E-2</v>
      </c>
      <c r="D42" s="325">
        <f>90%/30</f>
        <v>3.0000000000000002E-2</v>
      </c>
      <c r="E42" s="325">
        <f t="shared" ref="E42:V42" si="18">90%/30</f>
        <v>3.0000000000000002E-2</v>
      </c>
      <c r="F42" s="325">
        <f t="shared" si="18"/>
        <v>3.0000000000000002E-2</v>
      </c>
      <c r="G42" s="325">
        <f t="shared" si="18"/>
        <v>3.0000000000000002E-2</v>
      </c>
      <c r="H42" s="325">
        <f t="shared" si="18"/>
        <v>3.0000000000000002E-2</v>
      </c>
      <c r="I42" s="325">
        <f t="shared" si="18"/>
        <v>3.0000000000000002E-2</v>
      </c>
      <c r="J42" s="325">
        <f t="shared" si="18"/>
        <v>3.0000000000000002E-2</v>
      </c>
      <c r="K42" s="325">
        <f t="shared" si="18"/>
        <v>3.0000000000000002E-2</v>
      </c>
      <c r="L42" s="325">
        <f t="shared" si="18"/>
        <v>3.0000000000000002E-2</v>
      </c>
      <c r="M42" s="325">
        <f t="shared" si="18"/>
        <v>3.0000000000000002E-2</v>
      </c>
      <c r="N42" s="325">
        <f t="shared" si="18"/>
        <v>3.0000000000000002E-2</v>
      </c>
      <c r="O42" s="325">
        <f t="shared" si="18"/>
        <v>3.0000000000000002E-2</v>
      </c>
      <c r="P42" s="325">
        <f t="shared" si="18"/>
        <v>3.0000000000000002E-2</v>
      </c>
      <c r="Q42" s="325">
        <f t="shared" si="18"/>
        <v>3.0000000000000002E-2</v>
      </c>
      <c r="R42" s="325">
        <f t="shared" si="18"/>
        <v>3.0000000000000002E-2</v>
      </c>
      <c r="S42" s="325">
        <f t="shared" si="18"/>
        <v>3.0000000000000002E-2</v>
      </c>
      <c r="T42" s="325">
        <f t="shared" si="18"/>
        <v>3.0000000000000002E-2</v>
      </c>
      <c r="U42" s="325">
        <f t="shared" si="18"/>
        <v>3.0000000000000002E-2</v>
      </c>
      <c r="V42" s="325">
        <f t="shared" si="18"/>
        <v>3.0000000000000002E-2</v>
      </c>
    </row>
    <row r="43" spans="1:26">
      <c r="B43" s="18"/>
      <c r="C43" s="18"/>
      <c r="D43" s="18"/>
      <c r="Y43" s="302" t="s">
        <v>111</v>
      </c>
      <c r="Z43" s="203"/>
    </row>
    <row r="44" spans="1:26">
      <c r="A44" s="18" t="s">
        <v>149</v>
      </c>
      <c r="B44" s="122">
        <f>Assumptions!$C$11*Allocation!$C$13</f>
        <v>190699.24662949034</v>
      </c>
      <c r="C44" s="21">
        <f>B46</f>
        <v>190699.24662949034</v>
      </c>
      <c r="D44" s="21">
        <f>C46</f>
        <v>184978.26923060563</v>
      </c>
      <c r="E44" s="21">
        <f t="shared" ref="E44:V44" si="19">D46</f>
        <v>179257.29183172091</v>
      </c>
      <c r="F44" s="21">
        <f t="shared" si="19"/>
        <v>173536.3144328362</v>
      </c>
      <c r="G44" s="21">
        <f t="shared" si="19"/>
        <v>167815.33703395148</v>
      </c>
      <c r="H44" s="21">
        <f t="shared" si="19"/>
        <v>162094.35963506676</v>
      </c>
      <c r="I44" s="21">
        <f t="shared" si="19"/>
        <v>156373.38223618205</v>
      </c>
      <c r="J44" s="21">
        <f t="shared" si="19"/>
        <v>150652.40483729733</v>
      </c>
      <c r="K44" s="21">
        <f t="shared" si="19"/>
        <v>144931.42743841262</v>
      </c>
      <c r="L44" s="21">
        <f t="shared" si="19"/>
        <v>139210.4500395279</v>
      </c>
      <c r="M44" s="21">
        <f t="shared" si="19"/>
        <v>133489.47264064319</v>
      </c>
      <c r="N44" s="21">
        <f t="shared" si="19"/>
        <v>127768.49524175847</v>
      </c>
      <c r="O44" s="21">
        <f t="shared" si="19"/>
        <v>122047.51784287376</v>
      </c>
      <c r="P44" s="21">
        <f t="shared" si="19"/>
        <v>116326.54044398904</v>
      </c>
      <c r="Q44" s="21">
        <f t="shared" si="19"/>
        <v>110605.56304510433</v>
      </c>
      <c r="R44" s="21">
        <f t="shared" si="19"/>
        <v>104884.58564621961</v>
      </c>
      <c r="S44" s="21">
        <f t="shared" si="19"/>
        <v>99163.608247334894</v>
      </c>
      <c r="T44" s="21">
        <f t="shared" si="19"/>
        <v>93442.630848450179</v>
      </c>
      <c r="U44" s="21">
        <f t="shared" si="19"/>
        <v>87721.653449565463</v>
      </c>
      <c r="V44" s="21">
        <f t="shared" si="19"/>
        <v>82000.676050680748</v>
      </c>
      <c r="Y44" s="334"/>
      <c r="Z44" s="204"/>
    </row>
    <row r="45" spans="1:26">
      <c r="A45" s="18" t="s">
        <v>150</v>
      </c>
      <c r="B45" s="53">
        <f t="shared" ref="B45:V45" si="20">$B$44*B42</f>
        <v>0</v>
      </c>
      <c r="C45" s="53">
        <f t="shared" si="20"/>
        <v>5720.977398884711</v>
      </c>
      <c r="D45" s="53">
        <f t="shared" si="20"/>
        <v>5720.977398884711</v>
      </c>
      <c r="E45" s="53">
        <f t="shared" si="20"/>
        <v>5720.977398884711</v>
      </c>
      <c r="F45" s="53">
        <f t="shared" si="20"/>
        <v>5720.977398884711</v>
      </c>
      <c r="G45" s="53">
        <f t="shared" si="20"/>
        <v>5720.977398884711</v>
      </c>
      <c r="H45" s="53">
        <f t="shared" si="20"/>
        <v>5720.977398884711</v>
      </c>
      <c r="I45" s="53">
        <f t="shared" si="20"/>
        <v>5720.977398884711</v>
      </c>
      <c r="J45" s="53">
        <f t="shared" si="20"/>
        <v>5720.977398884711</v>
      </c>
      <c r="K45" s="53">
        <f t="shared" si="20"/>
        <v>5720.977398884711</v>
      </c>
      <c r="L45" s="53">
        <f t="shared" si="20"/>
        <v>5720.977398884711</v>
      </c>
      <c r="M45" s="53">
        <f t="shared" si="20"/>
        <v>5720.977398884711</v>
      </c>
      <c r="N45" s="53">
        <f t="shared" si="20"/>
        <v>5720.977398884711</v>
      </c>
      <c r="O45" s="53">
        <f t="shared" si="20"/>
        <v>5720.977398884711</v>
      </c>
      <c r="P45" s="53">
        <f t="shared" si="20"/>
        <v>5720.977398884711</v>
      </c>
      <c r="Q45" s="53">
        <f t="shared" si="20"/>
        <v>5720.977398884711</v>
      </c>
      <c r="R45" s="53">
        <f t="shared" si="20"/>
        <v>5720.977398884711</v>
      </c>
      <c r="S45" s="53">
        <f t="shared" si="20"/>
        <v>5720.977398884711</v>
      </c>
      <c r="T45" s="53">
        <f t="shared" si="20"/>
        <v>5720.977398884711</v>
      </c>
      <c r="U45" s="53">
        <f t="shared" si="20"/>
        <v>5720.977398884711</v>
      </c>
      <c r="V45" s="53">
        <f t="shared" si="20"/>
        <v>5720.977398884711</v>
      </c>
      <c r="Y45" s="303">
        <v>0</v>
      </c>
      <c r="Z45" s="304">
        <v>0</v>
      </c>
    </row>
    <row r="46" spans="1:26">
      <c r="A46" s="18" t="s">
        <v>151</v>
      </c>
      <c r="B46" s="21">
        <f>B44-B45</f>
        <v>190699.24662949034</v>
      </c>
      <c r="C46" s="21">
        <f t="shared" ref="C46:V46" si="21">C44-C45</f>
        <v>184978.26923060563</v>
      </c>
      <c r="D46" s="21">
        <f t="shared" si="21"/>
        <v>179257.29183172091</v>
      </c>
      <c r="E46" s="21">
        <f t="shared" si="21"/>
        <v>173536.3144328362</v>
      </c>
      <c r="F46" s="21">
        <f t="shared" si="21"/>
        <v>167815.33703395148</v>
      </c>
      <c r="G46" s="21">
        <f t="shared" si="21"/>
        <v>162094.35963506676</v>
      </c>
      <c r="H46" s="21">
        <f t="shared" si="21"/>
        <v>156373.38223618205</v>
      </c>
      <c r="I46" s="21">
        <f t="shared" si="21"/>
        <v>150652.40483729733</v>
      </c>
      <c r="J46" s="21">
        <f t="shared" si="21"/>
        <v>144931.42743841262</v>
      </c>
      <c r="K46" s="21">
        <f t="shared" si="21"/>
        <v>139210.4500395279</v>
      </c>
      <c r="L46" s="21">
        <f t="shared" si="21"/>
        <v>133489.47264064319</v>
      </c>
      <c r="M46" s="21">
        <f t="shared" si="21"/>
        <v>127768.49524175847</v>
      </c>
      <c r="N46" s="21">
        <f t="shared" si="21"/>
        <v>122047.51784287376</v>
      </c>
      <c r="O46" s="21">
        <f t="shared" si="21"/>
        <v>116326.54044398904</v>
      </c>
      <c r="P46" s="21">
        <f t="shared" si="21"/>
        <v>110605.56304510433</v>
      </c>
      <c r="Q46" s="21">
        <f t="shared" si="21"/>
        <v>104884.58564621961</v>
      </c>
      <c r="R46" s="21">
        <f t="shared" si="21"/>
        <v>99163.608247334894</v>
      </c>
      <c r="S46" s="21">
        <f t="shared" si="21"/>
        <v>93442.630848450179</v>
      </c>
      <c r="T46" s="21">
        <f t="shared" si="21"/>
        <v>87721.653449565463</v>
      </c>
      <c r="U46" s="21">
        <f t="shared" si="21"/>
        <v>82000.676050680748</v>
      </c>
      <c r="V46" s="21">
        <f t="shared" si="21"/>
        <v>76279.698651796032</v>
      </c>
      <c r="Y46" s="303">
        <v>1</v>
      </c>
      <c r="Z46" s="304">
        <v>0.05</v>
      </c>
    </row>
    <row r="47" spans="1:26">
      <c r="B47" s="18"/>
      <c r="C47" s="18"/>
      <c r="D47" s="18"/>
      <c r="Y47" s="303">
        <v>2</v>
      </c>
      <c r="Z47" s="304">
        <v>9.5000000000000001E-2</v>
      </c>
    </row>
    <row r="48" spans="1:26">
      <c r="A48" s="41" t="s">
        <v>15</v>
      </c>
      <c r="B48" s="18"/>
      <c r="C48" s="18"/>
      <c r="D48" s="18"/>
      <c r="Y48" s="303">
        <v>3</v>
      </c>
      <c r="Z48" s="304">
        <v>8.5500000000000007E-2</v>
      </c>
    </row>
    <row r="49" spans="1:26">
      <c r="A49" s="23" t="s">
        <v>147</v>
      </c>
      <c r="B49" s="324">
        <v>0</v>
      </c>
      <c r="C49" s="324">
        <v>12</v>
      </c>
      <c r="D49" s="324">
        <v>12</v>
      </c>
      <c r="E49" s="324">
        <v>12</v>
      </c>
      <c r="F49" s="324">
        <v>12</v>
      </c>
      <c r="G49" s="324">
        <v>12</v>
      </c>
      <c r="H49" s="324">
        <v>12</v>
      </c>
      <c r="I49" s="324">
        <v>12</v>
      </c>
      <c r="J49" s="324">
        <v>12</v>
      </c>
      <c r="K49" s="324">
        <v>12</v>
      </c>
      <c r="L49" s="324">
        <v>12</v>
      </c>
      <c r="M49" s="324">
        <v>12</v>
      </c>
      <c r="N49" s="324">
        <v>12</v>
      </c>
      <c r="O49" s="324">
        <v>12</v>
      </c>
      <c r="P49" s="324">
        <v>12</v>
      </c>
      <c r="Q49" s="324">
        <v>12</v>
      </c>
      <c r="R49" s="324">
        <v>12</v>
      </c>
      <c r="S49" s="324">
        <v>12</v>
      </c>
      <c r="T49" s="324">
        <v>12</v>
      </c>
      <c r="U49" s="324">
        <v>12</v>
      </c>
      <c r="V49" s="324">
        <v>12</v>
      </c>
      <c r="Y49" s="303">
        <v>4</v>
      </c>
      <c r="Z49" s="304">
        <v>7.6999999999999999E-2</v>
      </c>
    </row>
    <row r="50" spans="1:26">
      <c r="A50" s="18" t="s">
        <v>148</v>
      </c>
      <c r="B50" s="325">
        <v>0</v>
      </c>
      <c r="C50" s="325">
        <f>90%/30</f>
        <v>3.0000000000000002E-2</v>
      </c>
      <c r="D50" s="325">
        <f>90%/30</f>
        <v>3.0000000000000002E-2</v>
      </c>
      <c r="E50" s="325">
        <f t="shared" ref="E50:V50" si="22">90%/30</f>
        <v>3.0000000000000002E-2</v>
      </c>
      <c r="F50" s="325">
        <f t="shared" si="22"/>
        <v>3.0000000000000002E-2</v>
      </c>
      <c r="G50" s="325">
        <f t="shared" si="22"/>
        <v>3.0000000000000002E-2</v>
      </c>
      <c r="H50" s="325">
        <f t="shared" si="22"/>
        <v>3.0000000000000002E-2</v>
      </c>
      <c r="I50" s="325">
        <f t="shared" si="22"/>
        <v>3.0000000000000002E-2</v>
      </c>
      <c r="J50" s="325">
        <f t="shared" si="22"/>
        <v>3.0000000000000002E-2</v>
      </c>
      <c r="K50" s="325">
        <f t="shared" si="22"/>
        <v>3.0000000000000002E-2</v>
      </c>
      <c r="L50" s="325">
        <f t="shared" si="22"/>
        <v>3.0000000000000002E-2</v>
      </c>
      <c r="M50" s="325">
        <f t="shared" si="22"/>
        <v>3.0000000000000002E-2</v>
      </c>
      <c r="N50" s="325">
        <f t="shared" si="22"/>
        <v>3.0000000000000002E-2</v>
      </c>
      <c r="O50" s="325">
        <f t="shared" si="22"/>
        <v>3.0000000000000002E-2</v>
      </c>
      <c r="P50" s="325">
        <f t="shared" si="22"/>
        <v>3.0000000000000002E-2</v>
      </c>
      <c r="Q50" s="325">
        <f t="shared" si="22"/>
        <v>3.0000000000000002E-2</v>
      </c>
      <c r="R50" s="325">
        <f t="shared" si="22"/>
        <v>3.0000000000000002E-2</v>
      </c>
      <c r="S50" s="325">
        <f t="shared" si="22"/>
        <v>3.0000000000000002E-2</v>
      </c>
      <c r="T50" s="325">
        <f t="shared" si="22"/>
        <v>3.0000000000000002E-2</v>
      </c>
      <c r="U50" s="325">
        <f t="shared" si="22"/>
        <v>3.0000000000000002E-2</v>
      </c>
      <c r="V50" s="325">
        <f t="shared" si="22"/>
        <v>3.0000000000000002E-2</v>
      </c>
      <c r="Y50" s="303">
        <v>5</v>
      </c>
      <c r="Z50" s="304">
        <v>6.93E-2</v>
      </c>
    </row>
    <row r="51" spans="1:26">
      <c r="B51" s="18"/>
      <c r="C51" s="18"/>
      <c r="D51" s="18"/>
      <c r="Y51" s="303">
        <v>6</v>
      </c>
      <c r="Z51" s="304">
        <v>6.2300000000000001E-2</v>
      </c>
    </row>
    <row r="52" spans="1:26">
      <c r="A52" s="18" t="s">
        <v>149</v>
      </c>
      <c r="B52" s="122">
        <f>Assumptions!$C$11*Allocation!$C$14</f>
        <v>307026.3468860077</v>
      </c>
      <c r="C52" s="21">
        <f>B54</f>
        <v>307026.3468860077</v>
      </c>
      <c r="D52" s="21">
        <f>C54</f>
        <v>297815.55647942744</v>
      </c>
      <c r="E52" s="21">
        <f t="shared" ref="E52:V52" si="23">D54</f>
        <v>288604.76607284718</v>
      </c>
      <c r="F52" s="21">
        <f t="shared" si="23"/>
        <v>279393.97566626692</v>
      </c>
      <c r="G52" s="21">
        <f t="shared" si="23"/>
        <v>270183.18525968667</v>
      </c>
      <c r="H52" s="21">
        <f t="shared" si="23"/>
        <v>260972.39485310644</v>
      </c>
      <c r="I52" s="21">
        <f t="shared" si="23"/>
        <v>251761.60444652621</v>
      </c>
      <c r="J52" s="21">
        <f t="shared" si="23"/>
        <v>242550.81403994598</v>
      </c>
      <c r="K52" s="21">
        <f t="shared" si="23"/>
        <v>233340.02363336575</v>
      </c>
      <c r="L52" s="21">
        <f t="shared" si="23"/>
        <v>224129.23322678552</v>
      </c>
      <c r="M52" s="21">
        <f t="shared" si="23"/>
        <v>214918.44282020529</v>
      </c>
      <c r="N52" s="21">
        <f t="shared" si="23"/>
        <v>205707.65241362507</v>
      </c>
      <c r="O52" s="21">
        <f t="shared" si="23"/>
        <v>196496.86200704484</v>
      </c>
      <c r="P52" s="21">
        <f t="shared" si="23"/>
        <v>187286.07160046461</v>
      </c>
      <c r="Q52" s="21">
        <f t="shared" si="23"/>
        <v>178075.28119388438</v>
      </c>
      <c r="R52" s="21">
        <f t="shared" si="23"/>
        <v>168864.49078730415</v>
      </c>
      <c r="S52" s="21">
        <f t="shared" si="23"/>
        <v>159653.70038072392</v>
      </c>
      <c r="T52" s="21">
        <f t="shared" si="23"/>
        <v>150442.90997414369</v>
      </c>
      <c r="U52" s="21">
        <f t="shared" si="23"/>
        <v>141232.11956756347</v>
      </c>
      <c r="V52" s="21">
        <f t="shared" si="23"/>
        <v>132021.32916098324</v>
      </c>
      <c r="Y52" s="303">
        <v>7</v>
      </c>
      <c r="Z52" s="304">
        <v>5.8999999999999997E-2</v>
      </c>
    </row>
    <row r="53" spans="1:26">
      <c r="A53" s="18" t="s">
        <v>150</v>
      </c>
      <c r="B53" s="53">
        <f t="shared" ref="B53:V53" si="24">$B$52*B50</f>
        <v>0</v>
      </c>
      <c r="C53" s="53">
        <f t="shared" si="24"/>
        <v>9210.7904065802322</v>
      </c>
      <c r="D53" s="53">
        <f t="shared" si="24"/>
        <v>9210.7904065802322</v>
      </c>
      <c r="E53" s="53">
        <f t="shared" si="24"/>
        <v>9210.7904065802322</v>
      </c>
      <c r="F53" s="53">
        <f t="shared" si="24"/>
        <v>9210.7904065802322</v>
      </c>
      <c r="G53" s="53">
        <f t="shared" si="24"/>
        <v>9210.7904065802322</v>
      </c>
      <c r="H53" s="53">
        <f t="shared" si="24"/>
        <v>9210.7904065802322</v>
      </c>
      <c r="I53" s="53">
        <f t="shared" si="24"/>
        <v>9210.7904065802322</v>
      </c>
      <c r="J53" s="53">
        <f t="shared" si="24"/>
        <v>9210.7904065802322</v>
      </c>
      <c r="K53" s="53">
        <f t="shared" si="24"/>
        <v>9210.7904065802322</v>
      </c>
      <c r="L53" s="53">
        <f t="shared" si="24"/>
        <v>9210.7904065802322</v>
      </c>
      <c r="M53" s="53">
        <f t="shared" si="24"/>
        <v>9210.7904065802322</v>
      </c>
      <c r="N53" s="53">
        <f t="shared" si="24"/>
        <v>9210.7904065802322</v>
      </c>
      <c r="O53" s="53">
        <f t="shared" si="24"/>
        <v>9210.7904065802322</v>
      </c>
      <c r="P53" s="53">
        <f t="shared" si="24"/>
        <v>9210.7904065802322</v>
      </c>
      <c r="Q53" s="53">
        <f t="shared" si="24"/>
        <v>9210.7904065802322</v>
      </c>
      <c r="R53" s="53">
        <f t="shared" si="24"/>
        <v>9210.7904065802322</v>
      </c>
      <c r="S53" s="53">
        <f t="shared" si="24"/>
        <v>9210.7904065802322</v>
      </c>
      <c r="T53" s="53">
        <f t="shared" si="24"/>
        <v>9210.7904065802322</v>
      </c>
      <c r="U53" s="53">
        <f t="shared" si="24"/>
        <v>9210.7904065802322</v>
      </c>
      <c r="V53" s="53">
        <f t="shared" si="24"/>
        <v>9210.7904065802322</v>
      </c>
      <c r="Y53" s="303">
        <v>8</v>
      </c>
      <c r="Z53" s="304">
        <v>5.91E-2</v>
      </c>
    </row>
    <row r="54" spans="1:26">
      <c r="A54" s="18" t="s">
        <v>151</v>
      </c>
      <c r="B54" s="21">
        <f>B52-B53</f>
        <v>307026.3468860077</v>
      </c>
      <c r="C54" s="21">
        <f t="shared" ref="C54:V54" si="25">C52-C53</f>
        <v>297815.55647942744</v>
      </c>
      <c r="D54" s="21">
        <f t="shared" si="25"/>
        <v>288604.76607284718</v>
      </c>
      <c r="E54" s="21">
        <f t="shared" si="25"/>
        <v>279393.97566626692</v>
      </c>
      <c r="F54" s="21">
        <f t="shared" si="25"/>
        <v>270183.18525968667</v>
      </c>
      <c r="G54" s="21">
        <f t="shared" si="25"/>
        <v>260972.39485310644</v>
      </c>
      <c r="H54" s="21">
        <f t="shared" si="25"/>
        <v>251761.60444652621</v>
      </c>
      <c r="I54" s="21">
        <f t="shared" si="25"/>
        <v>242550.81403994598</v>
      </c>
      <c r="J54" s="21">
        <f t="shared" si="25"/>
        <v>233340.02363336575</v>
      </c>
      <c r="K54" s="21">
        <f t="shared" si="25"/>
        <v>224129.23322678552</v>
      </c>
      <c r="L54" s="21">
        <f t="shared" si="25"/>
        <v>214918.44282020529</v>
      </c>
      <c r="M54" s="21">
        <f t="shared" si="25"/>
        <v>205707.65241362507</v>
      </c>
      <c r="N54" s="21">
        <f t="shared" si="25"/>
        <v>196496.86200704484</v>
      </c>
      <c r="O54" s="21">
        <f t="shared" si="25"/>
        <v>187286.07160046461</v>
      </c>
      <c r="P54" s="21">
        <f t="shared" si="25"/>
        <v>178075.28119388438</v>
      </c>
      <c r="Q54" s="21">
        <f t="shared" si="25"/>
        <v>168864.49078730415</v>
      </c>
      <c r="R54" s="21">
        <f t="shared" si="25"/>
        <v>159653.70038072392</v>
      </c>
      <c r="S54" s="21">
        <f t="shared" si="25"/>
        <v>150442.90997414369</v>
      </c>
      <c r="T54" s="21">
        <f t="shared" si="25"/>
        <v>141232.11956756347</v>
      </c>
      <c r="U54" s="21">
        <f t="shared" si="25"/>
        <v>132021.32916098324</v>
      </c>
      <c r="V54" s="21">
        <f t="shared" si="25"/>
        <v>122810.53875440301</v>
      </c>
      <c r="Y54" s="303">
        <v>9</v>
      </c>
      <c r="Z54" s="304">
        <v>5.8999999999999997E-2</v>
      </c>
    </row>
    <row r="55" spans="1:26">
      <c r="B55" s="18"/>
      <c r="C55" s="18"/>
      <c r="D55" s="18"/>
      <c r="Y55" s="303">
        <v>10</v>
      </c>
      <c r="Z55" s="304">
        <v>5.91E-2</v>
      </c>
    </row>
    <row r="56" spans="1:26">
      <c r="A56" s="41" t="s">
        <v>152</v>
      </c>
      <c r="B56" s="18"/>
      <c r="C56" s="18"/>
      <c r="D56" s="18"/>
      <c r="Y56" s="303">
        <v>11</v>
      </c>
      <c r="Z56" s="304">
        <v>5.8999999999999997E-2</v>
      </c>
    </row>
    <row r="57" spans="1:26">
      <c r="A57" s="18" t="s">
        <v>149</v>
      </c>
      <c r="B57" s="238">
        <f>SUM(B20,B28,B44,B52,B36,B12)</f>
        <v>1220984.6341746713</v>
      </c>
      <c r="C57" s="238">
        <f>B59</f>
        <v>1220984.6341746713</v>
      </c>
      <c r="D57" s="238">
        <f t="shared" ref="D57:V57" si="26">C59</f>
        <v>1184355.0951494311</v>
      </c>
      <c r="E57" s="238">
        <f t="shared" si="26"/>
        <v>1147725.556124191</v>
      </c>
      <c r="F57" s="238">
        <f t="shared" si="26"/>
        <v>1111096.0170989509</v>
      </c>
      <c r="G57" s="238">
        <f t="shared" si="26"/>
        <v>1074466.4780737108</v>
      </c>
      <c r="H57" s="238">
        <f t="shared" si="26"/>
        <v>1037836.9390484707</v>
      </c>
      <c r="I57" s="238">
        <f t="shared" si="26"/>
        <v>1001207.4000232306</v>
      </c>
      <c r="J57" s="238">
        <f t="shared" si="26"/>
        <v>964577.86099799047</v>
      </c>
      <c r="K57" s="238">
        <f t="shared" si="26"/>
        <v>927948.32197275036</v>
      </c>
      <c r="L57" s="238">
        <f t="shared" si="26"/>
        <v>891318.78294751025</v>
      </c>
      <c r="M57" s="238">
        <f t="shared" si="26"/>
        <v>854689.24392227014</v>
      </c>
      <c r="N57" s="238">
        <f t="shared" si="26"/>
        <v>818059.70489703002</v>
      </c>
      <c r="O57" s="238">
        <f t="shared" si="26"/>
        <v>781430.16587178991</v>
      </c>
      <c r="P57" s="238">
        <f t="shared" si="26"/>
        <v>744800.6268465498</v>
      </c>
      <c r="Q57" s="238">
        <f t="shared" si="26"/>
        <v>708171.08782130969</v>
      </c>
      <c r="R57" s="238">
        <f t="shared" si="26"/>
        <v>671541.54879606958</v>
      </c>
      <c r="S57" s="238">
        <f t="shared" si="26"/>
        <v>634912.00977082946</v>
      </c>
      <c r="T57" s="238">
        <f t="shared" si="26"/>
        <v>598282.47074558935</v>
      </c>
      <c r="U57" s="238">
        <f t="shared" si="26"/>
        <v>561652.93172034924</v>
      </c>
      <c r="V57" s="238">
        <f t="shared" si="26"/>
        <v>525023.39269510913</v>
      </c>
      <c r="Y57" s="303">
        <v>12</v>
      </c>
      <c r="Z57" s="304">
        <v>5.91E-2</v>
      </c>
    </row>
    <row r="58" spans="1:26">
      <c r="A58" s="18" t="s">
        <v>150</v>
      </c>
      <c r="B58" s="366">
        <f>SUM(B21,B29,B45,B53,B37,B13)</f>
        <v>0</v>
      </c>
      <c r="C58" s="366">
        <f t="shared" ref="C58:V58" si="27">SUM(C21,C29,C45,C53,C37,C13)</f>
        <v>36629.539025240148</v>
      </c>
      <c r="D58" s="366">
        <f t="shared" si="27"/>
        <v>36629.539025240148</v>
      </c>
      <c r="E58" s="366">
        <f t="shared" si="27"/>
        <v>36629.539025240148</v>
      </c>
      <c r="F58" s="366">
        <f t="shared" si="27"/>
        <v>36629.539025240148</v>
      </c>
      <c r="G58" s="366">
        <f t="shared" si="27"/>
        <v>36629.539025240148</v>
      </c>
      <c r="H58" s="366">
        <f t="shared" si="27"/>
        <v>36629.539025240148</v>
      </c>
      <c r="I58" s="366">
        <f t="shared" si="27"/>
        <v>36629.539025240148</v>
      </c>
      <c r="J58" s="366">
        <f t="shared" si="27"/>
        <v>36629.539025240148</v>
      </c>
      <c r="K58" s="366">
        <f t="shared" si="27"/>
        <v>36629.539025240148</v>
      </c>
      <c r="L58" s="366">
        <f t="shared" si="27"/>
        <v>36629.539025240148</v>
      </c>
      <c r="M58" s="366">
        <f t="shared" si="27"/>
        <v>36629.539025240148</v>
      </c>
      <c r="N58" s="366">
        <f t="shared" si="27"/>
        <v>36629.539025240148</v>
      </c>
      <c r="O58" s="366">
        <f t="shared" si="27"/>
        <v>36629.539025240148</v>
      </c>
      <c r="P58" s="366">
        <f t="shared" si="27"/>
        <v>36629.539025240148</v>
      </c>
      <c r="Q58" s="366">
        <f t="shared" si="27"/>
        <v>36629.539025240148</v>
      </c>
      <c r="R58" s="366">
        <f t="shared" si="27"/>
        <v>36629.539025240148</v>
      </c>
      <c r="S58" s="366">
        <f t="shared" si="27"/>
        <v>36629.539025240148</v>
      </c>
      <c r="T58" s="366">
        <f t="shared" si="27"/>
        <v>36629.539025240148</v>
      </c>
      <c r="U58" s="366">
        <f t="shared" si="27"/>
        <v>36629.539025240148</v>
      </c>
      <c r="V58" s="366">
        <f t="shared" si="27"/>
        <v>36629.539025240148</v>
      </c>
      <c r="Y58" s="303">
        <v>13</v>
      </c>
      <c r="Z58" s="304">
        <v>5.8999999999999997E-2</v>
      </c>
    </row>
    <row r="59" spans="1:26">
      <c r="A59" s="18" t="s">
        <v>151</v>
      </c>
      <c r="B59" s="238">
        <f>B57-B58</f>
        <v>1220984.6341746713</v>
      </c>
      <c r="C59" s="238">
        <f t="shared" ref="C59:V59" si="28">C57-C58</f>
        <v>1184355.0951494311</v>
      </c>
      <c r="D59" s="238">
        <f t="shared" si="28"/>
        <v>1147725.556124191</v>
      </c>
      <c r="E59" s="238">
        <f t="shared" si="28"/>
        <v>1111096.0170989509</v>
      </c>
      <c r="F59" s="238">
        <f t="shared" si="28"/>
        <v>1074466.4780737108</v>
      </c>
      <c r="G59" s="238">
        <f t="shared" si="28"/>
        <v>1037836.9390484707</v>
      </c>
      <c r="H59" s="238">
        <f t="shared" si="28"/>
        <v>1001207.4000232306</v>
      </c>
      <c r="I59" s="238">
        <f t="shared" si="28"/>
        <v>964577.86099799047</v>
      </c>
      <c r="J59" s="238">
        <f t="shared" si="28"/>
        <v>927948.32197275036</v>
      </c>
      <c r="K59" s="238">
        <f t="shared" si="28"/>
        <v>891318.78294751025</v>
      </c>
      <c r="L59" s="238">
        <f t="shared" si="28"/>
        <v>854689.24392227014</v>
      </c>
      <c r="M59" s="238">
        <f t="shared" si="28"/>
        <v>818059.70489703002</v>
      </c>
      <c r="N59" s="238">
        <f t="shared" si="28"/>
        <v>781430.16587178991</v>
      </c>
      <c r="O59" s="238">
        <f t="shared" si="28"/>
        <v>744800.6268465498</v>
      </c>
      <c r="P59" s="238">
        <f t="shared" si="28"/>
        <v>708171.08782130969</v>
      </c>
      <c r="Q59" s="238">
        <f t="shared" si="28"/>
        <v>671541.54879606958</v>
      </c>
      <c r="R59" s="238">
        <f t="shared" si="28"/>
        <v>634912.00977082946</v>
      </c>
      <c r="S59" s="238">
        <f t="shared" si="28"/>
        <v>598282.47074558935</v>
      </c>
      <c r="T59" s="238">
        <f t="shared" si="28"/>
        <v>561652.93172034924</v>
      </c>
      <c r="U59" s="238">
        <f t="shared" si="28"/>
        <v>525023.39269510913</v>
      </c>
      <c r="V59" s="238">
        <f t="shared" si="28"/>
        <v>488393.85366986896</v>
      </c>
      <c r="Y59" s="303">
        <v>14</v>
      </c>
      <c r="Z59" s="304">
        <v>5.91E-2</v>
      </c>
    </row>
    <row r="60" spans="1:26">
      <c r="B60" s="534"/>
      <c r="C60" s="18"/>
      <c r="D60" s="18"/>
      <c r="Y60" s="303">
        <v>15</v>
      </c>
      <c r="Z60" s="304">
        <v>5.8999999999999997E-2</v>
      </c>
    </row>
    <row r="61" spans="1:26">
      <c r="B61" s="18"/>
      <c r="C61" s="18"/>
      <c r="D61" s="18"/>
      <c r="Y61" s="303">
        <v>16</v>
      </c>
      <c r="Z61" s="305">
        <v>2.9499999999999998E-2</v>
      </c>
    </row>
    <row r="62" spans="1:26">
      <c r="A62" s="330" t="s">
        <v>162</v>
      </c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16"/>
      <c r="X62" s="16"/>
      <c r="Y62" s="306"/>
      <c r="Z62" s="307">
        <f>SUM(Z46:Z61)</f>
        <v>1.0000000000000004</v>
      </c>
    </row>
    <row r="63" spans="1:26">
      <c r="A63" s="16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16"/>
      <c r="X63" s="16"/>
    </row>
    <row r="64" spans="1:26">
      <c r="A64" s="41" t="s">
        <v>164</v>
      </c>
      <c r="B64" s="18"/>
      <c r="C64" s="18"/>
      <c r="D64" s="18"/>
    </row>
    <row r="65" spans="1:22">
      <c r="A65" s="41"/>
      <c r="B65" s="18"/>
      <c r="C65" s="18"/>
      <c r="D65" s="18"/>
    </row>
    <row r="66" spans="1:22">
      <c r="A66" s="252" t="s">
        <v>11</v>
      </c>
    </row>
    <row r="67" spans="1:22">
      <c r="A67" s="18" t="s">
        <v>167</v>
      </c>
      <c r="B67" s="125">
        <f>B12</f>
        <v>152671.23304896042</v>
      </c>
      <c r="C67" s="125">
        <f t="shared" ref="C67:V67" si="29">B70</f>
        <v>152671.23304896042</v>
      </c>
      <c r="D67" s="125">
        <f t="shared" si="29"/>
        <v>145037.67139651239</v>
      </c>
      <c r="E67" s="125">
        <f t="shared" si="29"/>
        <v>130533.90425686115</v>
      </c>
      <c r="F67" s="125">
        <f t="shared" si="29"/>
        <v>117480.51383117503</v>
      </c>
      <c r="G67" s="125">
        <f t="shared" si="29"/>
        <v>105724.82888640508</v>
      </c>
      <c r="H67" s="125">
        <f t="shared" si="29"/>
        <v>95144.712436112124</v>
      </c>
      <c r="I67" s="125">
        <f t="shared" si="29"/>
        <v>85633.294617161882</v>
      </c>
      <c r="J67" s="125">
        <f t="shared" si="29"/>
        <v>76625.691867273214</v>
      </c>
      <c r="K67" s="125">
        <f t="shared" si="29"/>
        <v>67602.821994079655</v>
      </c>
      <c r="L67" s="125">
        <f t="shared" si="29"/>
        <v>58595.219244190987</v>
      </c>
      <c r="M67" s="125">
        <f t="shared" si="29"/>
        <v>49572.349370997428</v>
      </c>
      <c r="N67" s="125">
        <f t="shared" si="29"/>
        <v>40564.746621108759</v>
      </c>
      <c r="O67" s="125">
        <f t="shared" si="29"/>
        <v>31541.876747915201</v>
      </c>
      <c r="P67" s="125">
        <f t="shared" si="29"/>
        <v>22534.273998026536</v>
      </c>
      <c r="Q67" s="125">
        <f t="shared" si="29"/>
        <v>13511.404124832976</v>
      </c>
      <c r="R67" s="125">
        <f t="shared" si="29"/>
        <v>4503.8013749443107</v>
      </c>
      <c r="S67" s="125">
        <f t="shared" si="29"/>
        <v>-2.1827872842550278E-11</v>
      </c>
      <c r="T67" s="125">
        <f t="shared" si="29"/>
        <v>-2.1827872842550278E-11</v>
      </c>
      <c r="U67" s="125">
        <f t="shared" si="29"/>
        <v>-2.1827872842550278E-11</v>
      </c>
      <c r="V67" s="125">
        <f t="shared" si="29"/>
        <v>-2.1827872842550278E-11</v>
      </c>
    </row>
    <row r="68" spans="1:22">
      <c r="A68" s="18" t="s">
        <v>148</v>
      </c>
      <c r="B68" s="332">
        <f t="shared" ref="B68:R68" si="30">VLOOKUP(B5,$Y$45:$Z$61,2)</f>
        <v>0</v>
      </c>
      <c r="C68" s="332">
        <f t="shared" si="30"/>
        <v>0.05</v>
      </c>
      <c r="D68" s="332">
        <f t="shared" si="30"/>
        <v>9.5000000000000001E-2</v>
      </c>
      <c r="E68" s="332">
        <f t="shared" si="30"/>
        <v>8.5500000000000007E-2</v>
      </c>
      <c r="F68" s="332">
        <f t="shared" si="30"/>
        <v>7.6999999999999999E-2</v>
      </c>
      <c r="G68" s="332">
        <f t="shared" si="30"/>
        <v>6.93E-2</v>
      </c>
      <c r="H68" s="332">
        <f t="shared" si="30"/>
        <v>6.2300000000000001E-2</v>
      </c>
      <c r="I68" s="332">
        <f t="shared" si="30"/>
        <v>5.8999999999999997E-2</v>
      </c>
      <c r="J68" s="332">
        <f t="shared" si="30"/>
        <v>5.91E-2</v>
      </c>
      <c r="K68" s="332">
        <f t="shared" si="30"/>
        <v>5.8999999999999997E-2</v>
      </c>
      <c r="L68" s="332">
        <f t="shared" si="30"/>
        <v>5.91E-2</v>
      </c>
      <c r="M68" s="332">
        <f t="shared" si="30"/>
        <v>5.8999999999999997E-2</v>
      </c>
      <c r="N68" s="332">
        <f t="shared" si="30"/>
        <v>5.91E-2</v>
      </c>
      <c r="O68" s="332">
        <f t="shared" si="30"/>
        <v>5.8999999999999997E-2</v>
      </c>
      <c r="P68" s="332">
        <f t="shared" si="30"/>
        <v>5.91E-2</v>
      </c>
      <c r="Q68" s="332">
        <f t="shared" si="30"/>
        <v>5.8999999999999997E-2</v>
      </c>
      <c r="R68" s="332">
        <f t="shared" si="30"/>
        <v>2.9499999999999998E-2</v>
      </c>
      <c r="S68" s="332">
        <v>0</v>
      </c>
      <c r="T68" s="332">
        <v>0</v>
      </c>
      <c r="U68" s="332">
        <v>0</v>
      </c>
      <c r="V68" s="332">
        <v>0</v>
      </c>
    </row>
    <row r="69" spans="1:22">
      <c r="A69" s="18" t="s">
        <v>150</v>
      </c>
      <c r="B69" s="206">
        <f>$B$67*B68</f>
        <v>0</v>
      </c>
      <c r="C69" s="206">
        <f t="shared" ref="C69:V69" si="31">$B$67*C68</f>
        <v>7633.5616524480211</v>
      </c>
      <c r="D69" s="206">
        <f t="shared" si="31"/>
        <v>14503.76713965124</v>
      </c>
      <c r="E69" s="206">
        <f t="shared" si="31"/>
        <v>13053.390425686117</v>
      </c>
      <c r="F69" s="206">
        <f t="shared" si="31"/>
        <v>11755.684944769951</v>
      </c>
      <c r="G69" s="206">
        <f t="shared" si="31"/>
        <v>10580.116450292957</v>
      </c>
      <c r="H69" s="206">
        <f t="shared" si="31"/>
        <v>9511.4178189502345</v>
      </c>
      <c r="I69" s="206">
        <f t="shared" si="31"/>
        <v>9007.6027498886651</v>
      </c>
      <c r="J69" s="206">
        <f t="shared" si="31"/>
        <v>9022.8698731935601</v>
      </c>
      <c r="K69" s="206">
        <f t="shared" si="31"/>
        <v>9007.6027498886651</v>
      </c>
      <c r="L69" s="206">
        <f t="shared" si="31"/>
        <v>9022.8698731935601</v>
      </c>
      <c r="M69" s="206">
        <f t="shared" si="31"/>
        <v>9007.6027498886651</v>
      </c>
      <c r="N69" s="206">
        <f t="shared" si="31"/>
        <v>9022.8698731935601</v>
      </c>
      <c r="O69" s="206">
        <f t="shared" si="31"/>
        <v>9007.6027498886651</v>
      </c>
      <c r="P69" s="206">
        <f t="shared" si="31"/>
        <v>9022.8698731935601</v>
      </c>
      <c r="Q69" s="206">
        <f t="shared" si="31"/>
        <v>9007.6027498886651</v>
      </c>
      <c r="R69" s="206">
        <f t="shared" si="31"/>
        <v>4503.8013749443326</v>
      </c>
      <c r="S69" s="206">
        <f t="shared" si="31"/>
        <v>0</v>
      </c>
      <c r="T69" s="206">
        <f t="shared" si="31"/>
        <v>0</v>
      </c>
      <c r="U69" s="206">
        <f t="shared" si="31"/>
        <v>0</v>
      </c>
      <c r="V69" s="206">
        <f t="shared" si="31"/>
        <v>0</v>
      </c>
    </row>
    <row r="70" spans="1:22">
      <c r="A70" s="18" t="s">
        <v>165</v>
      </c>
      <c r="B70" s="21">
        <f t="shared" ref="B70:V70" si="32">B67-B69</f>
        <v>152671.23304896042</v>
      </c>
      <c r="C70" s="21">
        <f t="shared" si="32"/>
        <v>145037.67139651239</v>
      </c>
      <c r="D70" s="21">
        <f t="shared" si="32"/>
        <v>130533.90425686115</v>
      </c>
      <c r="E70" s="21">
        <f t="shared" si="32"/>
        <v>117480.51383117503</v>
      </c>
      <c r="F70" s="21">
        <f t="shared" si="32"/>
        <v>105724.82888640508</v>
      </c>
      <c r="G70" s="21">
        <f t="shared" si="32"/>
        <v>95144.712436112124</v>
      </c>
      <c r="H70" s="21">
        <f t="shared" si="32"/>
        <v>85633.294617161882</v>
      </c>
      <c r="I70" s="21">
        <f t="shared" si="32"/>
        <v>76625.691867273214</v>
      </c>
      <c r="J70" s="21">
        <f t="shared" si="32"/>
        <v>67602.821994079655</v>
      </c>
      <c r="K70" s="21">
        <f t="shared" si="32"/>
        <v>58595.219244190987</v>
      </c>
      <c r="L70" s="21">
        <f t="shared" si="32"/>
        <v>49572.349370997428</v>
      </c>
      <c r="M70" s="21">
        <f t="shared" si="32"/>
        <v>40564.746621108759</v>
      </c>
      <c r="N70" s="21">
        <f t="shared" si="32"/>
        <v>31541.876747915201</v>
      </c>
      <c r="O70" s="21">
        <f t="shared" si="32"/>
        <v>22534.273998026536</v>
      </c>
      <c r="P70" s="21">
        <f t="shared" si="32"/>
        <v>13511.404124832976</v>
      </c>
      <c r="Q70" s="21">
        <f t="shared" si="32"/>
        <v>4503.8013749443107</v>
      </c>
      <c r="R70" s="21">
        <f t="shared" si="32"/>
        <v>-2.1827872842550278E-11</v>
      </c>
      <c r="S70" s="21">
        <f t="shared" si="32"/>
        <v>-2.1827872842550278E-11</v>
      </c>
      <c r="T70" s="21">
        <f t="shared" si="32"/>
        <v>-2.1827872842550278E-11</v>
      </c>
      <c r="U70" s="21">
        <f t="shared" si="32"/>
        <v>-2.1827872842550278E-11</v>
      </c>
      <c r="V70" s="21">
        <f t="shared" si="32"/>
        <v>-2.1827872842550278E-11</v>
      </c>
    </row>
    <row r="72" spans="1:22">
      <c r="A72" s="252" t="s">
        <v>12</v>
      </c>
    </row>
    <row r="73" spans="1:22">
      <c r="A73" s="18" t="s">
        <v>167</v>
      </c>
      <c r="B73" s="125">
        <f>B20</f>
        <v>184592.75787619036</v>
      </c>
      <c r="C73" s="125">
        <f t="shared" ref="C73:V73" si="33">B76</f>
        <v>184592.75787619036</v>
      </c>
      <c r="D73" s="125">
        <f t="shared" si="33"/>
        <v>175363.11998238083</v>
      </c>
      <c r="E73" s="125">
        <f t="shared" si="33"/>
        <v>157826.80798414274</v>
      </c>
      <c r="F73" s="125">
        <f t="shared" si="33"/>
        <v>142044.12718572846</v>
      </c>
      <c r="G73" s="125">
        <f t="shared" si="33"/>
        <v>127830.4848292618</v>
      </c>
      <c r="H73" s="125">
        <f t="shared" si="33"/>
        <v>115038.20670844181</v>
      </c>
      <c r="I73" s="125">
        <f t="shared" si="33"/>
        <v>103538.07789275514</v>
      </c>
      <c r="J73" s="125">
        <f t="shared" si="33"/>
        <v>92647.105178059908</v>
      </c>
      <c r="K73" s="125">
        <f t="shared" si="33"/>
        <v>81737.673187577064</v>
      </c>
      <c r="L73" s="125">
        <f t="shared" si="33"/>
        <v>70846.700472881828</v>
      </c>
      <c r="M73" s="125">
        <f t="shared" si="33"/>
        <v>59937.268482398977</v>
      </c>
      <c r="N73" s="125">
        <f t="shared" si="33"/>
        <v>49046.295767703748</v>
      </c>
      <c r="O73" s="125">
        <f t="shared" si="33"/>
        <v>38136.863777220897</v>
      </c>
      <c r="P73" s="125">
        <f t="shared" si="33"/>
        <v>27245.891062525669</v>
      </c>
      <c r="Q73" s="125">
        <f t="shared" si="33"/>
        <v>16336.459072042819</v>
      </c>
      <c r="R73" s="125">
        <f t="shared" si="33"/>
        <v>5445.4863573475886</v>
      </c>
      <c r="S73" s="125">
        <f t="shared" si="33"/>
        <v>-2.6375346351414919E-11</v>
      </c>
      <c r="T73" s="125">
        <f t="shared" si="33"/>
        <v>-2.6375346351414919E-11</v>
      </c>
      <c r="U73" s="125">
        <f t="shared" si="33"/>
        <v>-2.6375346351414919E-11</v>
      </c>
      <c r="V73" s="125">
        <f t="shared" si="33"/>
        <v>-2.6375346351414919E-11</v>
      </c>
    </row>
    <row r="74" spans="1:22">
      <c r="A74" s="18" t="s">
        <v>148</v>
      </c>
      <c r="B74" s="332">
        <f t="shared" ref="B74:R74" si="34">VLOOKUP(B5,$Y$45:$Z$61,2)</f>
        <v>0</v>
      </c>
      <c r="C74" s="332">
        <f t="shared" si="34"/>
        <v>0.05</v>
      </c>
      <c r="D74" s="332">
        <f t="shared" si="34"/>
        <v>9.5000000000000001E-2</v>
      </c>
      <c r="E74" s="332">
        <f t="shared" si="34"/>
        <v>8.5500000000000007E-2</v>
      </c>
      <c r="F74" s="332">
        <f t="shared" si="34"/>
        <v>7.6999999999999999E-2</v>
      </c>
      <c r="G74" s="332">
        <f t="shared" si="34"/>
        <v>6.93E-2</v>
      </c>
      <c r="H74" s="332">
        <f t="shared" si="34"/>
        <v>6.2300000000000001E-2</v>
      </c>
      <c r="I74" s="332">
        <f t="shared" si="34"/>
        <v>5.8999999999999997E-2</v>
      </c>
      <c r="J74" s="332">
        <f t="shared" si="34"/>
        <v>5.91E-2</v>
      </c>
      <c r="K74" s="332">
        <f t="shared" si="34"/>
        <v>5.8999999999999997E-2</v>
      </c>
      <c r="L74" s="332">
        <f t="shared" si="34"/>
        <v>5.91E-2</v>
      </c>
      <c r="M74" s="332">
        <f t="shared" si="34"/>
        <v>5.8999999999999997E-2</v>
      </c>
      <c r="N74" s="332">
        <f t="shared" si="34"/>
        <v>5.91E-2</v>
      </c>
      <c r="O74" s="332">
        <f t="shared" si="34"/>
        <v>5.8999999999999997E-2</v>
      </c>
      <c r="P74" s="332">
        <f t="shared" si="34"/>
        <v>5.91E-2</v>
      </c>
      <c r="Q74" s="332">
        <f t="shared" si="34"/>
        <v>5.8999999999999997E-2</v>
      </c>
      <c r="R74" s="332">
        <f t="shared" si="34"/>
        <v>2.9499999999999998E-2</v>
      </c>
      <c r="S74" s="332">
        <v>0</v>
      </c>
      <c r="T74" s="332">
        <v>0</v>
      </c>
      <c r="U74" s="332">
        <v>0</v>
      </c>
      <c r="V74" s="332">
        <v>0</v>
      </c>
    </row>
    <row r="75" spans="1:22">
      <c r="A75" s="18" t="s">
        <v>150</v>
      </c>
      <c r="B75" s="206">
        <f>$B$73*B74</f>
        <v>0</v>
      </c>
      <c r="C75" s="206">
        <f t="shared" ref="C75:V75" si="35">$B$73*C74</f>
        <v>9229.6378938095186</v>
      </c>
      <c r="D75" s="206">
        <f t="shared" si="35"/>
        <v>17536.311998238085</v>
      </c>
      <c r="E75" s="206">
        <f t="shared" si="35"/>
        <v>15782.680798414276</v>
      </c>
      <c r="F75" s="206">
        <f t="shared" si="35"/>
        <v>14213.642356466657</v>
      </c>
      <c r="G75" s="206">
        <f t="shared" si="35"/>
        <v>12792.278120819992</v>
      </c>
      <c r="H75" s="206">
        <f t="shared" si="35"/>
        <v>11500.128815686659</v>
      </c>
      <c r="I75" s="206">
        <f t="shared" si="35"/>
        <v>10890.97271469523</v>
      </c>
      <c r="J75" s="206">
        <f t="shared" si="35"/>
        <v>10909.43199048285</v>
      </c>
      <c r="K75" s="206">
        <f t="shared" si="35"/>
        <v>10890.97271469523</v>
      </c>
      <c r="L75" s="206">
        <f t="shared" si="35"/>
        <v>10909.43199048285</v>
      </c>
      <c r="M75" s="206">
        <f t="shared" si="35"/>
        <v>10890.97271469523</v>
      </c>
      <c r="N75" s="206">
        <f t="shared" si="35"/>
        <v>10909.43199048285</v>
      </c>
      <c r="O75" s="206">
        <f t="shared" si="35"/>
        <v>10890.97271469523</v>
      </c>
      <c r="P75" s="206">
        <f t="shared" si="35"/>
        <v>10909.43199048285</v>
      </c>
      <c r="Q75" s="206">
        <f t="shared" si="35"/>
        <v>10890.97271469523</v>
      </c>
      <c r="R75" s="206">
        <f t="shared" si="35"/>
        <v>5445.486357347615</v>
      </c>
      <c r="S75" s="206">
        <f t="shared" si="35"/>
        <v>0</v>
      </c>
      <c r="T75" s="206">
        <f t="shared" si="35"/>
        <v>0</v>
      </c>
      <c r="U75" s="206">
        <f t="shared" si="35"/>
        <v>0</v>
      </c>
      <c r="V75" s="206">
        <f t="shared" si="35"/>
        <v>0</v>
      </c>
    </row>
    <row r="76" spans="1:22">
      <c r="A76" s="18" t="s">
        <v>165</v>
      </c>
      <c r="B76" s="21">
        <f t="shared" ref="B76:V76" si="36">B73-B75</f>
        <v>184592.75787619036</v>
      </c>
      <c r="C76" s="21">
        <f t="shared" si="36"/>
        <v>175363.11998238083</v>
      </c>
      <c r="D76" s="21">
        <f t="shared" si="36"/>
        <v>157826.80798414274</v>
      </c>
      <c r="E76" s="21">
        <f t="shared" si="36"/>
        <v>142044.12718572846</v>
      </c>
      <c r="F76" s="21">
        <f t="shared" si="36"/>
        <v>127830.4848292618</v>
      </c>
      <c r="G76" s="21">
        <f t="shared" si="36"/>
        <v>115038.20670844181</v>
      </c>
      <c r="H76" s="21">
        <f t="shared" si="36"/>
        <v>103538.07789275514</v>
      </c>
      <c r="I76" s="21">
        <f t="shared" si="36"/>
        <v>92647.105178059908</v>
      </c>
      <c r="J76" s="21">
        <f t="shared" si="36"/>
        <v>81737.673187577064</v>
      </c>
      <c r="K76" s="21">
        <f t="shared" si="36"/>
        <v>70846.700472881828</v>
      </c>
      <c r="L76" s="21">
        <f t="shared" si="36"/>
        <v>59937.268482398977</v>
      </c>
      <c r="M76" s="21">
        <f t="shared" si="36"/>
        <v>49046.295767703748</v>
      </c>
      <c r="N76" s="21">
        <f t="shared" si="36"/>
        <v>38136.863777220897</v>
      </c>
      <c r="O76" s="21">
        <f t="shared" si="36"/>
        <v>27245.891062525669</v>
      </c>
      <c r="P76" s="21">
        <f t="shared" si="36"/>
        <v>16336.459072042819</v>
      </c>
      <c r="Q76" s="21">
        <f t="shared" si="36"/>
        <v>5445.4863573475886</v>
      </c>
      <c r="R76" s="21">
        <f t="shared" si="36"/>
        <v>-2.6375346351414919E-11</v>
      </c>
      <c r="S76" s="21">
        <f t="shared" si="36"/>
        <v>-2.6375346351414919E-11</v>
      </c>
      <c r="T76" s="21">
        <f t="shared" si="36"/>
        <v>-2.6375346351414919E-11</v>
      </c>
      <c r="U76" s="21">
        <f t="shared" si="36"/>
        <v>-2.6375346351414919E-11</v>
      </c>
      <c r="V76" s="21">
        <f t="shared" si="36"/>
        <v>-2.6375346351414919E-11</v>
      </c>
    </row>
    <row r="78" spans="1:22">
      <c r="A78" s="252" t="s">
        <v>13</v>
      </c>
    </row>
    <row r="79" spans="1:22">
      <c r="A79" s="18" t="s">
        <v>167</v>
      </c>
      <c r="B79" s="125">
        <f>B28</f>
        <v>177521.61133106024</v>
      </c>
      <c r="C79" s="125">
        <f t="shared" ref="C79:V79" si="37">B82</f>
        <v>177521.61133106024</v>
      </c>
      <c r="D79" s="125">
        <f t="shared" si="37"/>
        <v>168645.53076450722</v>
      </c>
      <c r="E79" s="125">
        <f t="shared" si="37"/>
        <v>151780.9776880565</v>
      </c>
      <c r="F79" s="125">
        <f t="shared" si="37"/>
        <v>136602.87991925084</v>
      </c>
      <c r="G79" s="125">
        <f t="shared" si="37"/>
        <v>122933.71584675921</v>
      </c>
      <c r="H79" s="125">
        <f t="shared" si="37"/>
        <v>110631.46818151674</v>
      </c>
      <c r="I79" s="125">
        <f t="shared" si="37"/>
        <v>99571.871795591695</v>
      </c>
      <c r="J79" s="125">
        <f t="shared" si="37"/>
        <v>89098.096727059135</v>
      </c>
      <c r="K79" s="125">
        <f t="shared" si="37"/>
        <v>78606.569497393473</v>
      </c>
      <c r="L79" s="125">
        <f t="shared" si="37"/>
        <v>68132.794428860914</v>
      </c>
      <c r="M79" s="125">
        <f t="shared" si="37"/>
        <v>57641.267199195252</v>
      </c>
      <c r="N79" s="125">
        <f t="shared" si="37"/>
        <v>47167.4921306627</v>
      </c>
      <c r="O79" s="125">
        <f t="shared" si="37"/>
        <v>36675.964900997038</v>
      </c>
      <c r="P79" s="125">
        <f t="shared" si="37"/>
        <v>26202.189832464486</v>
      </c>
      <c r="Q79" s="125">
        <f t="shared" si="37"/>
        <v>15710.662602798826</v>
      </c>
      <c r="R79" s="125">
        <f t="shared" si="37"/>
        <v>5236.8875342662723</v>
      </c>
      <c r="S79" s="125">
        <f t="shared" si="37"/>
        <v>0</v>
      </c>
      <c r="T79" s="125">
        <f t="shared" si="37"/>
        <v>0</v>
      </c>
      <c r="U79" s="125">
        <f t="shared" si="37"/>
        <v>0</v>
      </c>
      <c r="V79" s="125">
        <f t="shared" si="37"/>
        <v>0</v>
      </c>
    </row>
    <row r="80" spans="1:22">
      <c r="A80" s="18" t="s">
        <v>148</v>
      </c>
      <c r="B80" s="332">
        <f t="shared" ref="B80:R80" si="38">VLOOKUP(B5,$Y$45:$Z$61,2)</f>
        <v>0</v>
      </c>
      <c r="C80" s="332">
        <f t="shared" si="38"/>
        <v>0.05</v>
      </c>
      <c r="D80" s="332">
        <f t="shared" si="38"/>
        <v>9.5000000000000001E-2</v>
      </c>
      <c r="E80" s="332">
        <f t="shared" si="38"/>
        <v>8.5500000000000007E-2</v>
      </c>
      <c r="F80" s="332">
        <f t="shared" si="38"/>
        <v>7.6999999999999999E-2</v>
      </c>
      <c r="G80" s="332">
        <f t="shared" si="38"/>
        <v>6.93E-2</v>
      </c>
      <c r="H80" s="332">
        <f t="shared" si="38"/>
        <v>6.2300000000000001E-2</v>
      </c>
      <c r="I80" s="332">
        <f t="shared" si="38"/>
        <v>5.8999999999999997E-2</v>
      </c>
      <c r="J80" s="332">
        <f t="shared" si="38"/>
        <v>5.91E-2</v>
      </c>
      <c r="K80" s="332">
        <f t="shared" si="38"/>
        <v>5.8999999999999997E-2</v>
      </c>
      <c r="L80" s="332">
        <f t="shared" si="38"/>
        <v>5.91E-2</v>
      </c>
      <c r="M80" s="332">
        <f t="shared" si="38"/>
        <v>5.8999999999999997E-2</v>
      </c>
      <c r="N80" s="332">
        <f t="shared" si="38"/>
        <v>5.91E-2</v>
      </c>
      <c r="O80" s="332">
        <f t="shared" si="38"/>
        <v>5.8999999999999997E-2</v>
      </c>
      <c r="P80" s="332">
        <f t="shared" si="38"/>
        <v>5.91E-2</v>
      </c>
      <c r="Q80" s="332">
        <f t="shared" si="38"/>
        <v>5.8999999999999997E-2</v>
      </c>
      <c r="R80" s="332">
        <f t="shared" si="38"/>
        <v>2.9499999999999998E-2</v>
      </c>
      <c r="S80" s="332">
        <v>0</v>
      </c>
      <c r="T80" s="332">
        <v>0</v>
      </c>
      <c r="U80" s="332">
        <v>0</v>
      </c>
      <c r="V80" s="332">
        <v>0</v>
      </c>
    </row>
    <row r="81" spans="1:22">
      <c r="A81" s="18" t="s">
        <v>150</v>
      </c>
      <c r="B81" s="206">
        <f>$B$79*B80</f>
        <v>0</v>
      </c>
      <c r="C81" s="206">
        <f t="shared" ref="C81:V81" si="39">$B$79*C80</f>
        <v>8876.0805665530115</v>
      </c>
      <c r="D81" s="206">
        <f t="shared" si="39"/>
        <v>16864.553076450724</v>
      </c>
      <c r="E81" s="206">
        <f t="shared" si="39"/>
        <v>15178.097768805652</v>
      </c>
      <c r="F81" s="206">
        <f t="shared" si="39"/>
        <v>13669.164072491638</v>
      </c>
      <c r="G81" s="206">
        <f t="shared" si="39"/>
        <v>12302.247665242474</v>
      </c>
      <c r="H81" s="206">
        <f t="shared" si="39"/>
        <v>11059.596385925053</v>
      </c>
      <c r="I81" s="206">
        <f t="shared" si="39"/>
        <v>10473.775068532554</v>
      </c>
      <c r="J81" s="206">
        <f t="shared" si="39"/>
        <v>10491.52722966566</v>
      </c>
      <c r="K81" s="206">
        <f t="shared" si="39"/>
        <v>10473.775068532554</v>
      </c>
      <c r="L81" s="206">
        <f t="shared" si="39"/>
        <v>10491.52722966566</v>
      </c>
      <c r="M81" s="206">
        <f t="shared" si="39"/>
        <v>10473.775068532554</v>
      </c>
      <c r="N81" s="206">
        <f t="shared" si="39"/>
        <v>10491.52722966566</v>
      </c>
      <c r="O81" s="206">
        <f t="shared" si="39"/>
        <v>10473.775068532554</v>
      </c>
      <c r="P81" s="206">
        <f t="shared" si="39"/>
        <v>10491.52722966566</v>
      </c>
      <c r="Q81" s="206">
        <f t="shared" si="39"/>
        <v>10473.775068532554</v>
      </c>
      <c r="R81" s="206">
        <f t="shared" si="39"/>
        <v>5236.8875342662768</v>
      </c>
      <c r="S81" s="206">
        <f t="shared" si="39"/>
        <v>0</v>
      </c>
      <c r="T81" s="206">
        <f t="shared" si="39"/>
        <v>0</v>
      </c>
      <c r="U81" s="206">
        <f t="shared" si="39"/>
        <v>0</v>
      </c>
      <c r="V81" s="206">
        <f t="shared" si="39"/>
        <v>0</v>
      </c>
    </row>
    <row r="82" spans="1:22">
      <c r="A82" s="18" t="s">
        <v>165</v>
      </c>
      <c r="B82" s="21">
        <f t="shared" ref="B82:V82" si="40">B79-B81</f>
        <v>177521.61133106024</v>
      </c>
      <c r="C82" s="21">
        <f t="shared" si="40"/>
        <v>168645.53076450722</v>
      </c>
      <c r="D82" s="21">
        <f t="shared" si="40"/>
        <v>151780.9776880565</v>
      </c>
      <c r="E82" s="21">
        <f t="shared" si="40"/>
        <v>136602.87991925084</v>
      </c>
      <c r="F82" s="21">
        <f t="shared" si="40"/>
        <v>122933.71584675921</v>
      </c>
      <c r="G82" s="21">
        <f t="shared" si="40"/>
        <v>110631.46818151674</v>
      </c>
      <c r="H82" s="21">
        <f t="shared" si="40"/>
        <v>99571.871795591695</v>
      </c>
      <c r="I82" s="21">
        <f t="shared" si="40"/>
        <v>89098.096727059135</v>
      </c>
      <c r="J82" s="21">
        <f t="shared" si="40"/>
        <v>78606.569497393473</v>
      </c>
      <c r="K82" s="21">
        <f t="shared" si="40"/>
        <v>68132.794428860914</v>
      </c>
      <c r="L82" s="21">
        <f t="shared" si="40"/>
        <v>57641.267199195252</v>
      </c>
      <c r="M82" s="21">
        <f t="shared" si="40"/>
        <v>47167.4921306627</v>
      </c>
      <c r="N82" s="21">
        <f t="shared" si="40"/>
        <v>36675.964900997038</v>
      </c>
      <c r="O82" s="21">
        <f t="shared" si="40"/>
        <v>26202.189832464486</v>
      </c>
      <c r="P82" s="21">
        <f t="shared" si="40"/>
        <v>15710.662602798826</v>
      </c>
      <c r="Q82" s="21">
        <f t="shared" si="40"/>
        <v>5236.8875342662723</v>
      </c>
      <c r="R82" s="21">
        <f t="shared" si="40"/>
        <v>0</v>
      </c>
      <c r="S82" s="21">
        <f t="shared" si="40"/>
        <v>0</v>
      </c>
      <c r="T82" s="21">
        <f t="shared" si="40"/>
        <v>0</v>
      </c>
      <c r="U82" s="21">
        <f t="shared" si="40"/>
        <v>0</v>
      </c>
      <c r="V82" s="21">
        <f t="shared" si="40"/>
        <v>0</v>
      </c>
    </row>
    <row r="84" spans="1:22">
      <c r="A84" s="252" t="s">
        <v>142</v>
      </c>
    </row>
    <row r="85" spans="1:22">
      <c r="A85" s="18" t="s">
        <v>167</v>
      </c>
      <c r="B85" s="125">
        <f>B36</f>
        <v>208473.43840296238</v>
      </c>
      <c r="C85" s="125">
        <f t="shared" ref="C85:V85" si="41">B88</f>
        <v>208473.43840296238</v>
      </c>
      <c r="D85" s="125">
        <f t="shared" si="41"/>
        <v>198049.76648281424</v>
      </c>
      <c r="E85" s="125">
        <f t="shared" si="41"/>
        <v>178244.78983453283</v>
      </c>
      <c r="F85" s="125">
        <f t="shared" si="41"/>
        <v>160420.31085107953</v>
      </c>
      <c r="G85" s="125">
        <f t="shared" si="41"/>
        <v>144367.85609405141</v>
      </c>
      <c r="H85" s="125">
        <f t="shared" si="41"/>
        <v>129920.64681272612</v>
      </c>
      <c r="I85" s="125">
        <f t="shared" si="41"/>
        <v>116932.75160022156</v>
      </c>
      <c r="J85" s="125">
        <f t="shared" si="41"/>
        <v>104632.81873444677</v>
      </c>
      <c r="K85" s="125">
        <f t="shared" si="41"/>
        <v>92312.038524831703</v>
      </c>
      <c r="L85" s="125">
        <f t="shared" si="41"/>
        <v>80012.105659056921</v>
      </c>
      <c r="M85" s="125">
        <f t="shared" si="41"/>
        <v>67691.325449441851</v>
      </c>
      <c r="N85" s="125">
        <f t="shared" si="41"/>
        <v>55391.392583667068</v>
      </c>
      <c r="O85" s="125">
        <f t="shared" si="41"/>
        <v>43070.612374051991</v>
      </c>
      <c r="P85" s="125">
        <f t="shared" si="41"/>
        <v>30770.679508277211</v>
      </c>
      <c r="Q85" s="125">
        <f t="shared" si="41"/>
        <v>18449.899298662134</v>
      </c>
      <c r="R85" s="125">
        <f t="shared" si="41"/>
        <v>6149.966432887355</v>
      </c>
      <c r="S85" s="125">
        <f t="shared" si="41"/>
        <v>-3.4560798667371273E-11</v>
      </c>
      <c r="T85" s="125">
        <f t="shared" si="41"/>
        <v>-3.4560798667371273E-11</v>
      </c>
      <c r="U85" s="125">
        <f t="shared" si="41"/>
        <v>-3.4560798667371273E-11</v>
      </c>
      <c r="V85" s="125">
        <f t="shared" si="41"/>
        <v>-3.4560798667371273E-11</v>
      </c>
    </row>
    <row r="86" spans="1:22">
      <c r="A86" s="18" t="s">
        <v>148</v>
      </c>
      <c r="B86" s="332">
        <f t="shared" ref="B86:R86" si="42">VLOOKUP(B6,$Y$45:$Z$61,2)</f>
        <v>0</v>
      </c>
      <c r="C86" s="332">
        <f t="shared" si="42"/>
        <v>0.05</v>
      </c>
      <c r="D86" s="332">
        <f t="shared" si="42"/>
        <v>9.5000000000000001E-2</v>
      </c>
      <c r="E86" s="332">
        <f t="shared" si="42"/>
        <v>8.5500000000000007E-2</v>
      </c>
      <c r="F86" s="332">
        <f t="shared" si="42"/>
        <v>7.6999999999999999E-2</v>
      </c>
      <c r="G86" s="332">
        <f t="shared" si="42"/>
        <v>6.93E-2</v>
      </c>
      <c r="H86" s="332">
        <f t="shared" si="42"/>
        <v>6.2300000000000001E-2</v>
      </c>
      <c r="I86" s="332">
        <f t="shared" si="42"/>
        <v>5.8999999999999997E-2</v>
      </c>
      <c r="J86" s="332">
        <f t="shared" si="42"/>
        <v>5.91E-2</v>
      </c>
      <c r="K86" s="332">
        <f t="shared" si="42"/>
        <v>5.8999999999999997E-2</v>
      </c>
      <c r="L86" s="332">
        <f t="shared" si="42"/>
        <v>5.91E-2</v>
      </c>
      <c r="M86" s="332">
        <f t="shared" si="42"/>
        <v>5.8999999999999997E-2</v>
      </c>
      <c r="N86" s="332">
        <f t="shared" si="42"/>
        <v>5.91E-2</v>
      </c>
      <c r="O86" s="332">
        <f t="shared" si="42"/>
        <v>5.8999999999999997E-2</v>
      </c>
      <c r="P86" s="332">
        <f t="shared" si="42"/>
        <v>5.91E-2</v>
      </c>
      <c r="Q86" s="332">
        <f t="shared" si="42"/>
        <v>5.8999999999999997E-2</v>
      </c>
      <c r="R86" s="332">
        <f t="shared" si="42"/>
        <v>2.9499999999999998E-2</v>
      </c>
      <c r="S86" s="332">
        <v>0</v>
      </c>
      <c r="T86" s="332">
        <v>0</v>
      </c>
      <c r="U86" s="332">
        <v>0</v>
      </c>
      <c r="V86" s="332">
        <v>0</v>
      </c>
    </row>
    <row r="87" spans="1:22">
      <c r="A87" s="18" t="s">
        <v>150</v>
      </c>
      <c r="B87" s="206">
        <f>$B$85*B86</f>
        <v>0</v>
      </c>
      <c r="C87" s="206">
        <f t="shared" ref="C87:V87" si="43">$B$85*C86</f>
        <v>10423.671920148119</v>
      </c>
      <c r="D87" s="206">
        <f t="shared" si="43"/>
        <v>19804.976648281427</v>
      </c>
      <c r="E87" s="206">
        <f t="shared" si="43"/>
        <v>17824.478983453286</v>
      </c>
      <c r="F87" s="206">
        <f t="shared" si="43"/>
        <v>16052.454757028103</v>
      </c>
      <c r="G87" s="206">
        <f t="shared" si="43"/>
        <v>14447.209281325293</v>
      </c>
      <c r="H87" s="206">
        <f t="shared" si="43"/>
        <v>12987.895212504556</v>
      </c>
      <c r="I87" s="206">
        <f t="shared" si="43"/>
        <v>12299.932865774779</v>
      </c>
      <c r="J87" s="206">
        <f t="shared" si="43"/>
        <v>12320.780209615077</v>
      </c>
      <c r="K87" s="206">
        <f t="shared" si="43"/>
        <v>12299.932865774779</v>
      </c>
      <c r="L87" s="206">
        <f t="shared" si="43"/>
        <v>12320.780209615077</v>
      </c>
      <c r="M87" s="206">
        <f t="shared" si="43"/>
        <v>12299.932865774779</v>
      </c>
      <c r="N87" s="206">
        <f t="shared" si="43"/>
        <v>12320.780209615077</v>
      </c>
      <c r="O87" s="206">
        <f t="shared" si="43"/>
        <v>12299.932865774779</v>
      </c>
      <c r="P87" s="206">
        <f t="shared" si="43"/>
        <v>12320.780209615077</v>
      </c>
      <c r="Q87" s="206">
        <f t="shared" si="43"/>
        <v>12299.932865774779</v>
      </c>
      <c r="R87" s="206">
        <f t="shared" si="43"/>
        <v>6149.9664328873896</v>
      </c>
      <c r="S87" s="206">
        <f t="shared" si="43"/>
        <v>0</v>
      </c>
      <c r="T87" s="206">
        <f t="shared" si="43"/>
        <v>0</v>
      </c>
      <c r="U87" s="206">
        <f t="shared" si="43"/>
        <v>0</v>
      </c>
      <c r="V87" s="206">
        <f t="shared" si="43"/>
        <v>0</v>
      </c>
    </row>
    <row r="88" spans="1:22">
      <c r="A88" s="18" t="s">
        <v>165</v>
      </c>
      <c r="B88" s="21">
        <f t="shared" ref="B88:V88" si="44">B85-B87</f>
        <v>208473.43840296238</v>
      </c>
      <c r="C88" s="21">
        <f t="shared" si="44"/>
        <v>198049.76648281424</v>
      </c>
      <c r="D88" s="21">
        <f t="shared" si="44"/>
        <v>178244.78983453283</v>
      </c>
      <c r="E88" s="21">
        <f t="shared" si="44"/>
        <v>160420.31085107953</v>
      </c>
      <c r="F88" s="21">
        <f t="shared" si="44"/>
        <v>144367.85609405141</v>
      </c>
      <c r="G88" s="21">
        <f t="shared" si="44"/>
        <v>129920.64681272612</v>
      </c>
      <c r="H88" s="21">
        <f t="shared" si="44"/>
        <v>116932.75160022156</v>
      </c>
      <c r="I88" s="21">
        <f t="shared" si="44"/>
        <v>104632.81873444677</v>
      </c>
      <c r="J88" s="21">
        <f t="shared" si="44"/>
        <v>92312.038524831703</v>
      </c>
      <c r="K88" s="21">
        <f t="shared" si="44"/>
        <v>80012.105659056921</v>
      </c>
      <c r="L88" s="21">
        <f t="shared" si="44"/>
        <v>67691.325449441851</v>
      </c>
      <c r="M88" s="21">
        <f t="shared" si="44"/>
        <v>55391.392583667068</v>
      </c>
      <c r="N88" s="21">
        <f t="shared" si="44"/>
        <v>43070.612374051991</v>
      </c>
      <c r="O88" s="21">
        <f t="shared" si="44"/>
        <v>30770.679508277211</v>
      </c>
      <c r="P88" s="21">
        <f t="shared" si="44"/>
        <v>18449.899298662134</v>
      </c>
      <c r="Q88" s="21">
        <f t="shared" si="44"/>
        <v>6149.966432887355</v>
      </c>
      <c r="R88" s="21">
        <f t="shared" si="44"/>
        <v>-3.4560798667371273E-11</v>
      </c>
      <c r="S88" s="21">
        <f t="shared" si="44"/>
        <v>-3.4560798667371273E-11</v>
      </c>
      <c r="T88" s="21">
        <f t="shared" si="44"/>
        <v>-3.4560798667371273E-11</v>
      </c>
      <c r="U88" s="21">
        <f t="shared" si="44"/>
        <v>-3.4560798667371273E-11</v>
      </c>
      <c r="V88" s="21">
        <f t="shared" si="44"/>
        <v>-3.4560798667371273E-11</v>
      </c>
    </row>
    <row r="90" spans="1:22">
      <c r="A90" s="252" t="s">
        <v>14</v>
      </c>
    </row>
    <row r="91" spans="1:22">
      <c r="A91" s="18" t="s">
        <v>167</v>
      </c>
      <c r="B91" s="125">
        <f>B44</f>
        <v>190699.24662949034</v>
      </c>
      <c r="C91" s="125">
        <f t="shared" ref="C91:V91" si="45">B94</f>
        <v>190699.24662949034</v>
      </c>
      <c r="D91" s="125">
        <f t="shared" si="45"/>
        <v>181164.28429801582</v>
      </c>
      <c r="E91" s="125">
        <f t="shared" si="45"/>
        <v>163047.85586821425</v>
      </c>
      <c r="F91" s="125">
        <f t="shared" si="45"/>
        <v>146743.07028139284</v>
      </c>
      <c r="G91" s="125">
        <f t="shared" si="45"/>
        <v>132059.22829092207</v>
      </c>
      <c r="H91" s="125">
        <f t="shared" si="45"/>
        <v>118843.77049949838</v>
      </c>
      <c r="I91" s="125">
        <f t="shared" si="45"/>
        <v>106963.20743448113</v>
      </c>
      <c r="J91" s="125">
        <f t="shared" si="45"/>
        <v>95711.9518833412</v>
      </c>
      <c r="K91" s="125">
        <f t="shared" si="45"/>
        <v>84441.626407538322</v>
      </c>
      <c r="L91" s="125">
        <f t="shared" si="45"/>
        <v>73190.370856398396</v>
      </c>
      <c r="M91" s="125">
        <f t="shared" si="45"/>
        <v>61920.045380595519</v>
      </c>
      <c r="N91" s="125">
        <f t="shared" si="45"/>
        <v>50668.789829455593</v>
      </c>
      <c r="O91" s="125">
        <f t="shared" si="45"/>
        <v>39398.464353652715</v>
      </c>
      <c r="P91" s="125">
        <f t="shared" si="45"/>
        <v>28147.208802512785</v>
      </c>
      <c r="Q91" s="125">
        <f t="shared" si="45"/>
        <v>16876.883326709903</v>
      </c>
      <c r="R91" s="125">
        <f t="shared" si="45"/>
        <v>5625.6277755699739</v>
      </c>
      <c r="S91" s="125">
        <f t="shared" si="45"/>
        <v>9.0949470177292824E-12</v>
      </c>
      <c r="T91" s="125">
        <f t="shared" si="45"/>
        <v>9.0949470177292824E-12</v>
      </c>
      <c r="U91" s="125">
        <f t="shared" si="45"/>
        <v>9.0949470177292824E-12</v>
      </c>
      <c r="V91" s="125">
        <f t="shared" si="45"/>
        <v>9.0949470177292824E-12</v>
      </c>
    </row>
    <row r="92" spans="1:22">
      <c r="A92" s="18" t="s">
        <v>148</v>
      </c>
      <c r="B92" s="332">
        <f t="shared" ref="B92:R92" si="46">VLOOKUP(B6,$Y$45:$Z$61,2)</f>
        <v>0</v>
      </c>
      <c r="C92" s="332">
        <f t="shared" si="46"/>
        <v>0.05</v>
      </c>
      <c r="D92" s="332">
        <f t="shared" si="46"/>
        <v>9.5000000000000001E-2</v>
      </c>
      <c r="E92" s="332">
        <f t="shared" si="46"/>
        <v>8.5500000000000007E-2</v>
      </c>
      <c r="F92" s="332">
        <f t="shared" si="46"/>
        <v>7.6999999999999999E-2</v>
      </c>
      <c r="G92" s="332">
        <f t="shared" si="46"/>
        <v>6.93E-2</v>
      </c>
      <c r="H92" s="332">
        <f t="shared" si="46"/>
        <v>6.2300000000000001E-2</v>
      </c>
      <c r="I92" s="332">
        <f t="shared" si="46"/>
        <v>5.8999999999999997E-2</v>
      </c>
      <c r="J92" s="332">
        <f t="shared" si="46"/>
        <v>5.91E-2</v>
      </c>
      <c r="K92" s="332">
        <f t="shared" si="46"/>
        <v>5.8999999999999997E-2</v>
      </c>
      <c r="L92" s="332">
        <f t="shared" si="46"/>
        <v>5.91E-2</v>
      </c>
      <c r="M92" s="332">
        <f t="shared" si="46"/>
        <v>5.8999999999999997E-2</v>
      </c>
      <c r="N92" s="332">
        <f t="shared" si="46"/>
        <v>5.91E-2</v>
      </c>
      <c r="O92" s="332">
        <f t="shared" si="46"/>
        <v>5.8999999999999997E-2</v>
      </c>
      <c r="P92" s="332">
        <f t="shared" si="46"/>
        <v>5.91E-2</v>
      </c>
      <c r="Q92" s="332">
        <f t="shared" si="46"/>
        <v>5.8999999999999997E-2</v>
      </c>
      <c r="R92" s="332">
        <f t="shared" si="46"/>
        <v>2.9499999999999998E-2</v>
      </c>
      <c r="S92" s="332">
        <v>0</v>
      </c>
      <c r="T92" s="332">
        <v>0</v>
      </c>
      <c r="U92" s="332">
        <v>0</v>
      </c>
      <c r="V92" s="332">
        <v>0</v>
      </c>
    </row>
    <row r="93" spans="1:22">
      <c r="A93" s="18" t="s">
        <v>150</v>
      </c>
      <c r="B93" s="206">
        <f>$B$91*B92</f>
        <v>0</v>
      </c>
      <c r="C93" s="206">
        <f t="shared" ref="C93:V93" si="47">$B$91*C92</f>
        <v>9534.9623314745168</v>
      </c>
      <c r="D93" s="206">
        <f t="shared" si="47"/>
        <v>18116.428429801581</v>
      </c>
      <c r="E93" s="206">
        <f t="shared" si="47"/>
        <v>16304.785586821425</v>
      </c>
      <c r="F93" s="206">
        <f t="shared" si="47"/>
        <v>14683.841990470757</v>
      </c>
      <c r="G93" s="206">
        <f t="shared" si="47"/>
        <v>13215.457791423682</v>
      </c>
      <c r="H93" s="206">
        <f t="shared" si="47"/>
        <v>11880.563065017248</v>
      </c>
      <c r="I93" s="206">
        <f t="shared" si="47"/>
        <v>11251.25555113993</v>
      </c>
      <c r="J93" s="206">
        <f t="shared" si="47"/>
        <v>11270.32547580288</v>
      </c>
      <c r="K93" s="206">
        <f t="shared" si="47"/>
        <v>11251.25555113993</v>
      </c>
      <c r="L93" s="206">
        <f t="shared" si="47"/>
        <v>11270.32547580288</v>
      </c>
      <c r="M93" s="206">
        <f t="shared" si="47"/>
        <v>11251.25555113993</v>
      </c>
      <c r="N93" s="206">
        <f t="shared" si="47"/>
        <v>11270.32547580288</v>
      </c>
      <c r="O93" s="206">
        <f t="shared" si="47"/>
        <v>11251.25555113993</v>
      </c>
      <c r="P93" s="206">
        <f t="shared" si="47"/>
        <v>11270.32547580288</v>
      </c>
      <c r="Q93" s="206">
        <f t="shared" si="47"/>
        <v>11251.25555113993</v>
      </c>
      <c r="R93" s="206">
        <f t="shared" si="47"/>
        <v>5625.6277755699648</v>
      </c>
      <c r="S93" s="206">
        <f t="shared" si="47"/>
        <v>0</v>
      </c>
      <c r="T93" s="206">
        <f t="shared" si="47"/>
        <v>0</v>
      </c>
      <c r="U93" s="206">
        <f t="shared" si="47"/>
        <v>0</v>
      </c>
      <c r="V93" s="206">
        <f t="shared" si="47"/>
        <v>0</v>
      </c>
    </row>
    <row r="94" spans="1:22">
      <c r="A94" s="18" t="s">
        <v>165</v>
      </c>
      <c r="B94" s="21">
        <f t="shared" ref="B94:V94" si="48">B91-B93</f>
        <v>190699.24662949034</v>
      </c>
      <c r="C94" s="21">
        <f t="shared" si="48"/>
        <v>181164.28429801582</v>
      </c>
      <c r="D94" s="21">
        <f t="shared" si="48"/>
        <v>163047.85586821425</v>
      </c>
      <c r="E94" s="21">
        <f t="shared" si="48"/>
        <v>146743.07028139284</v>
      </c>
      <c r="F94" s="21">
        <f t="shared" si="48"/>
        <v>132059.22829092207</v>
      </c>
      <c r="G94" s="21">
        <f t="shared" si="48"/>
        <v>118843.77049949838</v>
      </c>
      <c r="H94" s="21">
        <f t="shared" si="48"/>
        <v>106963.20743448113</v>
      </c>
      <c r="I94" s="21">
        <f t="shared" si="48"/>
        <v>95711.9518833412</v>
      </c>
      <c r="J94" s="21">
        <f t="shared" si="48"/>
        <v>84441.626407538322</v>
      </c>
      <c r="K94" s="21">
        <f t="shared" si="48"/>
        <v>73190.370856398396</v>
      </c>
      <c r="L94" s="21">
        <f t="shared" si="48"/>
        <v>61920.045380595519</v>
      </c>
      <c r="M94" s="21">
        <f t="shared" si="48"/>
        <v>50668.789829455593</v>
      </c>
      <c r="N94" s="21">
        <f t="shared" si="48"/>
        <v>39398.464353652715</v>
      </c>
      <c r="O94" s="21">
        <f t="shared" si="48"/>
        <v>28147.208802512785</v>
      </c>
      <c r="P94" s="21">
        <f t="shared" si="48"/>
        <v>16876.883326709903</v>
      </c>
      <c r="Q94" s="21">
        <f t="shared" si="48"/>
        <v>5625.6277755699739</v>
      </c>
      <c r="R94" s="21">
        <f t="shared" si="48"/>
        <v>9.0949470177292824E-12</v>
      </c>
      <c r="S94" s="21">
        <f t="shared" si="48"/>
        <v>9.0949470177292824E-12</v>
      </c>
      <c r="T94" s="21">
        <f t="shared" si="48"/>
        <v>9.0949470177292824E-12</v>
      </c>
      <c r="U94" s="21">
        <f t="shared" si="48"/>
        <v>9.0949470177292824E-12</v>
      </c>
      <c r="V94" s="21">
        <f t="shared" si="48"/>
        <v>9.0949470177292824E-12</v>
      </c>
    </row>
    <row r="96" spans="1:22">
      <c r="A96" s="252" t="s">
        <v>15</v>
      </c>
    </row>
    <row r="97" spans="1:22">
      <c r="A97" s="18" t="s">
        <v>167</v>
      </c>
      <c r="B97" s="21">
        <f>B52</f>
        <v>307026.3468860077</v>
      </c>
      <c r="C97" s="21">
        <f t="shared" ref="C97:V97" si="49">B100</f>
        <v>307026.3468860077</v>
      </c>
      <c r="D97" s="21">
        <f t="shared" si="49"/>
        <v>291675.02954170731</v>
      </c>
      <c r="E97" s="21">
        <f t="shared" si="49"/>
        <v>262507.52658753656</v>
      </c>
      <c r="F97" s="21">
        <f t="shared" si="49"/>
        <v>236256.7739287829</v>
      </c>
      <c r="G97" s="21">
        <f t="shared" si="49"/>
        <v>212615.7452185603</v>
      </c>
      <c r="H97" s="21">
        <f t="shared" si="49"/>
        <v>191338.81937935998</v>
      </c>
      <c r="I97" s="21">
        <f t="shared" si="49"/>
        <v>172211.0779683617</v>
      </c>
      <c r="J97" s="21">
        <f t="shared" si="49"/>
        <v>154096.52350208725</v>
      </c>
      <c r="K97" s="21">
        <f t="shared" si="49"/>
        <v>135951.26640112419</v>
      </c>
      <c r="L97" s="21">
        <f t="shared" si="49"/>
        <v>117836.71193484974</v>
      </c>
      <c r="M97" s="21">
        <f t="shared" si="49"/>
        <v>99691.454833886673</v>
      </c>
      <c r="N97" s="21">
        <f t="shared" si="49"/>
        <v>81576.900367612223</v>
      </c>
      <c r="O97" s="21">
        <f t="shared" si="49"/>
        <v>63431.643266649167</v>
      </c>
      <c r="P97" s="21">
        <f t="shared" si="49"/>
        <v>45317.08880037471</v>
      </c>
      <c r="Q97" s="21">
        <f t="shared" si="49"/>
        <v>27171.831699411654</v>
      </c>
      <c r="R97" s="21">
        <f t="shared" si="49"/>
        <v>9057.2772331371998</v>
      </c>
      <c r="S97" s="21">
        <f t="shared" si="49"/>
        <v>-2.7284841053187847E-11</v>
      </c>
      <c r="T97" s="21">
        <f t="shared" si="49"/>
        <v>-2.7284841053187847E-11</v>
      </c>
      <c r="U97" s="21">
        <f t="shared" si="49"/>
        <v>-2.7284841053187847E-11</v>
      </c>
      <c r="V97" s="21">
        <f t="shared" si="49"/>
        <v>-2.7284841053187847E-11</v>
      </c>
    </row>
    <row r="98" spans="1:22">
      <c r="A98" s="18" t="s">
        <v>148</v>
      </c>
      <c r="B98" s="332">
        <f t="shared" ref="B98:R98" si="50">VLOOKUP(B6,$Y$45:$Z$61,2)</f>
        <v>0</v>
      </c>
      <c r="C98" s="332">
        <f t="shared" si="50"/>
        <v>0.05</v>
      </c>
      <c r="D98" s="332">
        <f t="shared" si="50"/>
        <v>9.5000000000000001E-2</v>
      </c>
      <c r="E98" s="332">
        <f t="shared" si="50"/>
        <v>8.5500000000000007E-2</v>
      </c>
      <c r="F98" s="332">
        <f t="shared" si="50"/>
        <v>7.6999999999999999E-2</v>
      </c>
      <c r="G98" s="332">
        <f t="shared" si="50"/>
        <v>6.93E-2</v>
      </c>
      <c r="H98" s="332">
        <f t="shared" si="50"/>
        <v>6.2300000000000001E-2</v>
      </c>
      <c r="I98" s="332">
        <f t="shared" si="50"/>
        <v>5.8999999999999997E-2</v>
      </c>
      <c r="J98" s="332">
        <f t="shared" si="50"/>
        <v>5.91E-2</v>
      </c>
      <c r="K98" s="332">
        <f t="shared" si="50"/>
        <v>5.8999999999999997E-2</v>
      </c>
      <c r="L98" s="332">
        <f t="shared" si="50"/>
        <v>5.91E-2</v>
      </c>
      <c r="M98" s="332">
        <f t="shared" si="50"/>
        <v>5.8999999999999997E-2</v>
      </c>
      <c r="N98" s="332">
        <f t="shared" si="50"/>
        <v>5.91E-2</v>
      </c>
      <c r="O98" s="332">
        <f t="shared" si="50"/>
        <v>5.8999999999999997E-2</v>
      </c>
      <c r="P98" s="332">
        <f t="shared" si="50"/>
        <v>5.91E-2</v>
      </c>
      <c r="Q98" s="332">
        <f t="shared" si="50"/>
        <v>5.8999999999999997E-2</v>
      </c>
      <c r="R98" s="332">
        <f t="shared" si="50"/>
        <v>2.9499999999999998E-2</v>
      </c>
      <c r="S98" s="332">
        <v>0</v>
      </c>
      <c r="T98" s="332">
        <v>0</v>
      </c>
      <c r="U98" s="332">
        <v>0</v>
      </c>
      <c r="V98" s="332">
        <v>0</v>
      </c>
    </row>
    <row r="99" spans="1:22">
      <c r="A99" s="18" t="s">
        <v>150</v>
      </c>
      <c r="B99" s="206">
        <f>$B$97*B98</f>
        <v>0</v>
      </c>
      <c r="C99" s="206">
        <f t="shared" ref="C99:V99" si="51">$B$97*C98</f>
        <v>15351.317344300385</v>
      </c>
      <c r="D99" s="206">
        <f t="shared" si="51"/>
        <v>29167.50295417073</v>
      </c>
      <c r="E99" s="206">
        <f t="shared" si="51"/>
        <v>26250.752658753659</v>
      </c>
      <c r="F99" s="206">
        <f t="shared" si="51"/>
        <v>23641.028710222592</v>
      </c>
      <c r="G99" s="206">
        <f t="shared" si="51"/>
        <v>21276.925839200332</v>
      </c>
      <c r="H99" s="206">
        <f t="shared" si="51"/>
        <v>19127.741410998278</v>
      </c>
      <c r="I99" s="206">
        <f t="shared" si="51"/>
        <v>18114.554466274454</v>
      </c>
      <c r="J99" s="206">
        <f t="shared" si="51"/>
        <v>18145.257100963056</v>
      </c>
      <c r="K99" s="206">
        <f t="shared" si="51"/>
        <v>18114.554466274454</v>
      </c>
      <c r="L99" s="206">
        <f t="shared" si="51"/>
        <v>18145.257100963056</v>
      </c>
      <c r="M99" s="206">
        <f t="shared" si="51"/>
        <v>18114.554466274454</v>
      </c>
      <c r="N99" s="206">
        <f t="shared" si="51"/>
        <v>18145.257100963056</v>
      </c>
      <c r="O99" s="206">
        <f t="shared" si="51"/>
        <v>18114.554466274454</v>
      </c>
      <c r="P99" s="206">
        <f t="shared" si="51"/>
        <v>18145.257100963056</v>
      </c>
      <c r="Q99" s="206">
        <f t="shared" si="51"/>
        <v>18114.554466274454</v>
      </c>
      <c r="R99" s="206">
        <f t="shared" si="51"/>
        <v>9057.2772331372271</v>
      </c>
      <c r="S99" s="206">
        <f t="shared" si="51"/>
        <v>0</v>
      </c>
      <c r="T99" s="206">
        <f t="shared" si="51"/>
        <v>0</v>
      </c>
      <c r="U99" s="206">
        <f t="shared" si="51"/>
        <v>0</v>
      </c>
      <c r="V99" s="206">
        <f t="shared" si="51"/>
        <v>0</v>
      </c>
    </row>
    <row r="100" spans="1:22">
      <c r="A100" s="18" t="s">
        <v>165</v>
      </c>
      <c r="B100" s="21">
        <f t="shared" ref="B100:V100" si="52">B97-B99</f>
        <v>307026.3468860077</v>
      </c>
      <c r="C100" s="21">
        <f t="shared" si="52"/>
        <v>291675.02954170731</v>
      </c>
      <c r="D100" s="21">
        <f t="shared" si="52"/>
        <v>262507.52658753656</v>
      </c>
      <c r="E100" s="21">
        <f t="shared" si="52"/>
        <v>236256.7739287829</v>
      </c>
      <c r="F100" s="21">
        <f t="shared" si="52"/>
        <v>212615.7452185603</v>
      </c>
      <c r="G100" s="21">
        <f t="shared" si="52"/>
        <v>191338.81937935998</v>
      </c>
      <c r="H100" s="21">
        <f t="shared" si="52"/>
        <v>172211.0779683617</v>
      </c>
      <c r="I100" s="21">
        <f t="shared" si="52"/>
        <v>154096.52350208725</v>
      </c>
      <c r="J100" s="21">
        <f t="shared" si="52"/>
        <v>135951.26640112419</v>
      </c>
      <c r="K100" s="21">
        <f t="shared" si="52"/>
        <v>117836.71193484974</v>
      </c>
      <c r="L100" s="21">
        <f t="shared" si="52"/>
        <v>99691.454833886673</v>
      </c>
      <c r="M100" s="21">
        <f t="shared" si="52"/>
        <v>81576.900367612223</v>
      </c>
      <c r="N100" s="21">
        <f t="shared" si="52"/>
        <v>63431.643266649167</v>
      </c>
      <c r="O100" s="21">
        <f t="shared" si="52"/>
        <v>45317.08880037471</v>
      </c>
      <c r="P100" s="21">
        <f t="shared" si="52"/>
        <v>27171.831699411654</v>
      </c>
      <c r="Q100" s="21">
        <f t="shared" si="52"/>
        <v>9057.2772331371998</v>
      </c>
      <c r="R100" s="21">
        <f t="shared" si="52"/>
        <v>-2.7284841053187847E-11</v>
      </c>
      <c r="S100" s="21">
        <f t="shared" si="52"/>
        <v>-2.7284841053187847E-11</v>
      </c>
      <c r="T100" s="21">
        <f t="shared" si="52"/>
        <v>-2.7284841053187847E-11</v>
      </c>
      <c r="U100" s="21">
        <f t="shared" si="52"/>
        <v>-2.7284841053187847E-11</v>
      </c>
      <c r="V100" s="21">
        <f t="shared" si="52"/>
        <v>-2.7284841053187847E-11</v>
      </c>
    </row>
    <row r="102" spans="1:22">
      <c r="A102" s="252" t="s">
        <v>152</v>
      </c>
    </row>
    <row r="103" spans="1:22">
      <c r="A103" s="18" t="s">
        <v>167</v>
      </c>
      <c r="B103" s="21">
        <f>SUM(B67,B73,B79,B85,B91,B97)</f>
        <v>1220984.6341746715</v>
      </c>
      <c r="C103" s="21">
        <f>B105</f>
        <v>1220984.6341746715</v>
      </c>
      <c r="D103" s="21">
        <f t="shared" ref="D103:V103" si="53">C105</f>
        <v>1159935.4024659379</v>
      </c>
      <c r="E103" s="21">
        <f t="shared" si="53"/>
        <v>1043941.8622193441</v>
      </c>
      <c r="F103" s="21">
        <f t="shared" si="53"/>
        <v>939547.67599740974</v>
      </c>
      <c r="G103" s="21">
        <f t="shared" si="53"/>
        <v>845531.85916595999</v>
      </c>
      <c r="H103" s="21">
        <f t="shared" si="53"/>
        <v>760917.62401765527</v>
      </c>
      <c r="I103" s="21">
        <f t="shared" si="53"/>
        <v>684850.28130857321</v>
      </c>
      <c r="J103" s="21">
        <f t="shared" si="53"/>
        <v>612812.1878922676</v>
      </c>
      <c r="K103" s="21">
        <f t="shared" si="53"/>
        <v>540651.99601254449</v>
      </c>
      <c r="L103" s="21">
        <f t="shared" si="53"/>
        <v>468613.90259623888</v>
      </c>
      <c r="M103" s="21">
        <f t="shared" si="53"/>
        <v>396453.71071651578</v>
      </c>
      <c r="N103" s="21">
        <f t="shared" si="53"/>
        <v>324415.61730021017</v>
      </c>
      <c r="O103" s="21">
        <f t="shared" si="53"/>
        <v>252255.4254204871</v>
      </c>
      <c r="P103" s="21">
        <f t="shared" si="53"/>
        <v>180217.33200418149</v>
      </c>
      <c r="Q103" s="21">
        <f t="shared" si="53"/>
        <v>108057.14012445841</v>
      </c>
      <c r="R103" s="21">
        <f t="shared" si="53"/>
        <v>36019.046708152804</v>
      </c>
      <c r="S103" s="21">
        <f t="shared" si="53"/>
        <v>0</v>
      </c>
      <c r="T103" s="21">
        <f t="shared" si="53"/>
        <v>0</v>
      </c>
      <c r="U103" s="21">
        <f t="shared" si="53"/>
        <v>0</v>
      </c>
      <c r="V103" s="21">
        <f t="shared" si="53"/>
        <v>0</v>
      </c>
    </row>
    <row r="104" spans="1:22">
      <c r="A104" s="18" t="s">
        <v>150</v>
      </c>
      <c r="B104" s="206">
        <f>SUM(B69,B75,B81,B87,B93,B99)</f>
        <v>0</v>
      </c>
      <c r="C104" s="206">
        <f t="shared" ref="C104:V104" si="54">SUM(C69,C75,C81,C87,C93,C99)</f>
        <v>61049.231708733569</v>
      </c>
      <c r="D104" s="206">
        <f t="shared" si="54"/>
        <v>115993.5402465938</v>
      </c>
      <c r="E104" s="206">
        <f t="shared" si="54"/>
        <v>104394.18622193442</v>
      </c>
      <c r="F104" s="206">
        <f t="shared" si="54"/>
        <v>94015.816831449687</v>
      </c>
      <c r="G104" s="206">
        <f t="shared" si="54"/>
        <v>84614.235148304724</v>
      </c>
      <c r="H104" s="206">
        <f t="shared" si="54"/>
        <v>76067.342709082033</v>
      </c>
      <c r="I104" s="206">
        <f t="shared" si="54"/>
        <v>72038.093416305608</v>
      </c>
      <c r="J104" s="206">
        <f t="shared" si="54"/>
        <v>72160.191879723076</v>
      </c>
      <c r="K104" s="206">
        <f t="shared" si="54"/>
        <v>72038.093416305608</v>
      </c>
      <c r="L104" s="206">
        <f t="shared" si="54"/>
        <v>72160.191879723076</v>
      </c>
      <c r="M104" s="206">
        <f t="shared" si="54"/>
        <v>72038.093416305608</v>
      </c>
      <c r="N104" s="206">
        <f t="shared" si="54"/>
        <v>72160.191879723076</v>
      </c>
      <c r="O104" s="206">
        <f t="shared" si="54"/>
        <v>72038.093416305608</v>
      </c>
      <c r="P104" s="206">
        <f t="shared" si="54"/>
        <v>72160.191879723076</v>
      </c>
      <c r="Q104" s="206">
        <f t="shared" si="54"/>
        <v>72038.093416305608</v>
      </c>
      <c r="R104" s="206">
        <f t="shared" si="54"/>
        <v>36019.046708152804</v>
      </c>
      <c r="S104" s="206">
        <f t="shared" si="54"/>
        <v>0</v>
      </c>
      <c r="T104" s="206">
        <f t="shared" si="54"/>
        <v>0</v>
      </c>
      <c r="U104" s="206">
        <f t="shared" si="54"/>
        <v>0</v>
      </c>
      <c r="V104" s="206">
        <f t="shared" si="54"/>
        <v>0</v>
      </c>
    </row>
    <row r="105" spans="1:22">
      <c r="A105" s="18" t="s">
        <v>165</v>
      </c>
      <c r="B105" s="21">
        <f>B103-B104</f>
        <v>1220984.6341746715</v>
      </c>
      <c r="C105" s="21">
        <f t="shared" ref="C105:V105" si="55">C103-C104</f>
        <v>1159935.4024659379</v>
      </c>
      <c r="D105" s="21">
        <f t="shared" si="55"/>
        <v>1043941.8622193441</v>
      </c>
      <c r="E105" s="21">
        <f t="shared" si="55"/>
        <v>939547.67599740974</v>
      </c>
      <c r="F105" s="21">
        <f t="shared" si="55"/>
        <v>845531.85916595999</v>
      </c>
      <c r="G105" s="21">
        <f t="shared" si="55"/>
        <v>760917.62401765527</v>
      </c>
      <c r="H105" s="21">
        <f t="shared" si="55"/>
        <v>684850.28130857321</v>
      </c>
      <c r="I105" s="21">
        <f t="shared" si="55"/>
        <v>612812.1878922676</v>
      </c>
      <c r="J105" s="21">
        <f t="shared" si="55"/>
        <v>540651.99601254449</v>
      </c>
      <c r="K105" s="21">
        <f t="shared" si="55"/>
        <v>468613.90259623888</v>
      </c>
      <c r="L105" s="21">
        <f t="shared" si="55"/>
        <v>396453.71071651578</v>
      </c>
      <c r="M105" s="21">
        <f t="shared" si="55"/>
        <v>324415.61730021017</v>
      </c>
      <c r="N105" s="21">
        <f t="shared" si="55"/>
        <v>252255.4254204871</v>
      </c>
      <c r="O105" s="21">
        <f t="shared" si="55"/>
        <v>180217.33200418149</v>
      </c>
      <c r="P105" s="21">
        <f t="shared" si="55"/>
        <v>108057.14012445841</v>
      </c>
      <c r="Q105" s="21">
        <f t="shared" si="55"/>
        <v>36019.046708152804</v>
      </c>
      <c r="R105" s="21">
        <f t="shared" si="55"/>
        <v>0</v>
      </c>
      <c r="S105" s="21">
        <f t="shared" si="55"/>
        <v>0</v>
      </c>
      <c r="T105" s="21">
        <f t="shared" si="55"/>
        <v>0</v>
      </c>
      <c r="U105" s="21">
        <f t="shared" si="55"/>
        <v>0</v>
      </c>
      <c r="V105" s="21">
        <f t="shared" si="55"/>
        <v>0</v>
      </c>
    </row>
    <row r="108" spans="1:22" ht="15" customHeight="1">
      <c r="A108" s="41" t="s">
        <v>166</v>
      </c>
    </row>
    <row r="110" spans="1:22">
      <c r="A110" s="18" t="s">
        <v>167</v>
      </c>
      <c r="B110" s="21">
        <f>Assumptions!$G$11</f>
        <v>0</v>
      </c>
      <c r="C110" s="21">
        <f t="shared" ref="C110:V110" si="56">B113</f>
        <v>0</v>
      </c>
      <c r="D110" s="21">
        <f t="shared" si="56"/>
        <v>0</v>
      </c>
      <c r="E110" s="21">
        <f t="shared" si="56"/>
        <v>0</v>
      </c>
      <c r="F110" s="21">
        <f t="shared" si="56"/>
        <v>0</v>
      </c>
      <c r="G110" s="21">
        <f t="shared" si="56"/>
        <v>0</v>
      </c>
      <c r="H110" s="21">
        <f t="shared" si="56"/>
        <v>0</v>
      </c>
      <c r="I110" s="21">
        <f t="shared" si="56"/>
        <v>0</v>
      </c>
      <c r="J110" s="21">
        <f t="shared" si="56"/>
        <v>0</v>
      </c>
      <c r="K110" s="21">
        <f t="shared" si="56"/>
        <v>0</v>
      </c>
      <c r="L110" s="21">
        <f t="shared" si="56"/>
        <v>0</v>
      </c>
      <c r="M110" s="21">
        <f t="shared" si="56"/>
        <v>0</v>
      </c>
      <c r="N110" s="21">
        <f t="shared" si="56"/>
        <v>0</v>
      </c>
      <c r="O110" s="21">
        <f t="shared" si="56"/>
        <v>0</v>
      </c>
      <c r="P110" s="21">
        <f t="shared" si="56"/>
        <v>0</v>
      </c>
      <c r="Q110" s="21">
        <f t="shared" si="56"/>
        <v>0</v>
      </c>
      <c r="R110" s="21">
        <f t="shared" si="56"/>
        <v>0</v>
      </c>
      <c r="S110" s="21">
        <f t="shared" si="56"/>
        <v>0</v>
      </c>
      <c r="T110" s="21">
        <f t="shared" si="56"/>
        <v>0</v>
      </c>
      <c r="U110" s="21">
        <f t="shared" si="56"/>
        <v>0</v>
      </c>
      <c r="V110" s="21">
        <f t="shared" si="56"/>
        <v>0</v>
      </c>
    </row>
    <row r="111" spans="1:22">
      <c r="A111" s="18" t="s">
        <v>148</v>
      </c>
      <c r="B111" s="325">
        <v>0</v>
      </c>
      <c r="C111" s="325">
        <f t="shared" ref="C111:V111" si="57">1/20</f>
        <v>0.05</v>
      </c>
      <c r="D111" s="325">
        <f t="shared" si="57"/>
        <v>0.05</v>
      </c>
      <c r="E111" s="325">
        <f t="shared" si="57"/>
        <v>0.05</v>
      </c>
      <c r="F111" s="325">
        <f t="shared" si="57"/>
        <v>0.05</v>
      </c>
      <c r="G111" s="325">
        <f t="shared" si="57"/>
        <v>0.05</v>
      </c>
      <c r="H111" s="325">
        <f t="shared" si="57"/>
        <v>0.05</v>
      </c>
      <c r="I111" s="325">
        <f t="shared" si="57"/>
        <v>0.05</v>
      </c>
      <c r="J111" s="325">
        <f t="shared" si="57"/>
        <v>0.05</v>
      </c>
      <c r="K111" s="325">
        <f t="shared" si="57"/>
        <v>0.05</v>
      </c>
      <c r="L111" s="325">
        <f t="shared" si="57"/>
        <v>0.05</v>
      </c>
      <c r="M111" s="325">
        <f t="shared" si="57"/>
        <v>0.05</v>
      </c>
      <c r="N111" s="325">
        <f t="shared" si="57"/>
        <v>0.05</v>
      </c>
      <c r="O111" s="325">
        <f t="shared" si="57"/>
        <v>0.05</v>
      </c>
      <c r="P111" s="325">
        <f t="shared" si="57"/>
        <v>0.05</v>
      </c>
      <c r="Q111" s="325">
        <f t="shared" si="57"/>
        <v>0.05</v>
      </c>
      <c r="R111" s="325">
        <f t="shared" si="57"/>
        <v>0.05</v>
      </c>
      <c r="S111" s="325">
        <f t="shared" si="57"/>
        <v>0.05</v>
      </c>
      <c r="T111" s="325">
        <f t="shared" si="57"/>
        <v>0.05</v>
      </c>
      <c r="U111" s="325">
        <f t="shared" si="57"/>
        <v>0.05</v>
      </c>
      <c r="V111" s="325">
        <f t="shared" si="57"/>
        <v>0.05</v>
      </c>
    </row>
    <row r="112" spans="1:22">
      <c r="A112" s="18" t="s">
        <v>150</v>
      </c>
      <c r="B112" s="206">
        <f>B110*B111</f>
        <v>0</v>
      </c>
      <c r="C112" s="206">
        <f t="shared" ref="C112:V112" si="58">$B$110*C111</f>
        <v>0</v>
      </c>
      <c r="D112" s="206">
        <f t="shared" si="58"/>
        <v>0</v>
      </c>
      <c r="E112" s="206">
        <f t="shared" si="58"/>
        <v>0</v>
      </c>
      <c r="F112" s="206">
        <f t="shared" si="58"/>
        <v>0</v>
      </c>
      <c r="G112" s="206">
        <f t="shared" si="58"/>
        <v>0</v>
      </c>
      <c r="H112" s="206">
        <f t="shared" si="58"/>
        <v>0</v>
      </c>
      <c r="I112" s="206">
        <f t="shared" si="58"/>
        <v>0</v>
      </c>
      <c r="J112" s="206">
        <f t="shared" si="58"/>
        <v>0</v>
      </c>
      <c r="K112" s="206">
        <f t="shared" si="58"/>
        <v>0</v>
      </c>
      <c r="L112" s="206">
        <f t="shared" si="58"/>
        <v>0</v>
      </c>
      <c r="M112" s="206">
        <f t="shared" si="58"/>
        <v>0</v>
      </c>
      <c r="N112" s="206">
        <f t="shared" si="58"/>
        <v>0</v>
      </c>
      <c r="O112" s="206">
        <f t="shared" si="58"/>
        <v>0</v>
      </c>
      <c r="P112" s="206">
        <f t="shared" si="58"/>
        <v>0</v>
      </c>
      <c r="Q112" s="206">
        <f t="shared" si="58"/>
        <v>0</v>
      </c>
      <c r="R112" s="206">
        <f t="shared" si="58"/>
        <v>0</v>
      </c>
      <c r="S112" s="206">
        <f t="shared" si="58"/>
        <v>0</v>
      </c>
      <c r="T112" s="206">
        <f t="shared" si="58"/>
        <v>0</v>
      </c>
      <c r="U112" s="206">
        <f t="shared" si="58"/>
        <v>0</v>
      </c>
      <c r="V112" s="206">
        <f t="shared" si="58"/>
        <v>0</v>
      </c>
    </row>
    <row r="113" spans="1:22">
      <c r="A113" s="18" t="s">
        <v>165</v>
      </c>
      <c r="B113" s="21">
        <f t="shared" ref="B113:V113" si="59">B110-B112</f>
        <v>0</v>
      </c>
      <c r="C113" s="21">
        <f t="shared" si="59"/>
        <v>0</v>
      </c>
      <c r="D113" s="21">
        <f t="shared" si="59"/>
        <v>0</v>
      </c>
      <c r="E113" s="21">
        <f t="shared" si="59"/>
        <v>0</v>
      </c>
      <c r="F113" s="21">
        <f t="shared" si="59"/>
        <v>0</v>
      </c>
      <c r="G113" s="21">
        <f t="shared" si="59"/>
        <v>0</v>
      </c>
      <c r="H113" s="21">
        <f t="shared" si="59"/>
        <v>0</v>
      </c>
      <c r="I113" s="21">
        <f t="shared" si="59"/>
        <v>0</v>
      </c>
      <c r="J113" s="21">
        <f t="shared" si="59"/>
        <v>0</v>
      </c>
      <c r="K113" s="21">
        <f t="shared" si="59"/>
        <v>0</v>
      </c>
      <c r="L113" s="21">
        <f t="shared" si="59"/>
        <v>0</v>
      </c>
      <c r="M113" s="21">
        <f t="shared" si="59"/>
        <v>0</v>
      </c>
      <c r="N113" s="21">
        <f t="shared" si="59"/>
        <v>0</v>
      </c>
      <c r="O113" s="21">
        <f t="shared" si="59"/>
        <v>0</v>
      </c>
      <c r="P113" s="21">
        <f t="shared" si="59"/>
        <v>0</v>
      </c>
      <c r="Q113" s="21">
        <f t="shared" si="59"/>
        <v>0</v>
      </c>
      <c r="R113" s="21">
        <f t="shared" si="59"/>
        <v>0</v>
      </c>
      <c r="S113" s="21">
        <f t="shared" si="59"/>
        <v>0</v>
      </c>
      <c r="T113" s="21">
        <f t="shared" si="59"/>
        <v>0</v>
      </c>
      <c r="U113" s="21">
        <f t="shared" si="59"/>
        <v>0</v>
      </c>
      <c r="V113" s="21">
        <f t="shared" si="59"/>
        <v>0</v>
      </c>
    </row>
    <row r="117" spans="1:22">
      <c r="A117" s="46" t="s">
        <v>309</v>
      </c>
      <c r="B117" s="538">
        <f>SUM(B112,B104)</f>
        <v>0</v>
      </c>
      <c r="C117" s="538">
        <f t="shared" ref="C117:V117" si="60">SUM(C112,C104)</f>
        <v>61049.231708733569</v>
      </c>
      <c r="D117" s="538">
        <f t="shared" si="60"/>
        <v>115993.5402465938</v>
      </c>
      <c r="E117" s="538">
        <f t="shared" si="60"/>
        <v>104394.18622193442</v>
      </c>
      <c r="F117" s="538">
        <f t="shared" si="60"/>
        <v>94015.816831449687</v>
      </c>
      <c r="G117" s="538">
        <f t="shared" si="60"/>
        <v>84614.235148304724</v>
      </c>
      <c r="H117" s="538">
        <f t="shared" si="60"/>
        <v>76067.342709082033</v>
      </c>
      <c r="I117" s="538">
        <f t="shared" si="60"/>
        <v>72038.093416305608</v>
      </c>
      <c r="J117" s="538">
        <f t="shared" si="60"/>
        <v>72160.191879723076</v>
      </c>
      <c r="K117" s="538">
        <f t="shared" si="60"/>
        <v>72038.093416305608</v>
      </c>
      <c r="L117" s="538">
        <f t="shared" si="60"/>
        <v>72160.191879723076</v>
      </c>
      <c r="M117" s="538">
        <f t="shared" si="60"/>
        <v>72038.093416305608</v>
      </c>
      <c r="N117" s="538">
        <f t="shared" si="60"/>
        <v>72160.191879723076</v>
      </c>
      <c r="O117" s="538">
        <f t="shared" si="60"/>
        <v>72038.093416305608</v>
      </c>
      <c r="P117" s="538">
        <f t="shared" si="60"/>
        <v>72160.191879723076</v>
      </c>
      <c r="Q117" s="538">
        <f t="shared" si="60"/>
        <v>72038.093416305608</v>
      </c>
      <c r="R117" s="538">
        <f t="shared" si="60"/>
        <v>36019.046708152804</v>
      </c>
      <c r="S117" s="538">
        <f t="shared" si="60"/>
        <v>0</v>
      </c>
      <c r="T117" s="538">
        <f t="shared" si="60"/>
        <v>0</v>
      </c>
      <c r="U117" s="538">
        <f t="shared" si="60"/>
        <v>0</v>
      </c>
      <c r="V117" s="538">
        <f t="shared" si="60"/>
        <v>0</v>
      </c>
    </row>
    <row r="118" spans="1:22">
      <c r="A118" s="456" t="s">
        <v>310</v>
      </c>
      <c r="B118" s="539">
        <v>0</v>
      </c>
      <c r="C118" s="539">
        <f>SUM(Brownsville!B100,Caledonia!B97,'New Albany'!B95,Gleason!B100,Wheatland!B101,Wilton!B94)</f>
        <v>-61049.231708733569</v>
      </c>
      <c r="D118" s="539">
        <f>SUM(Brownsville!C100,Caledonia!C97,'New Albany'!C95,Gleason!C100,Wheatland!C101,Wilton!C94)</f>
        <v>-115993.5402465938</v>
      </c>
      <c r="E118" s="539">
        <f>SUM(Brownsville!D100,Caledonia!D97,'New Albany'!D95,Gleason!D100,Wheatland!D101,Wilton!D94)</f>
        <v>-104394.18622193442</v>
      </c>
      <c r="F118" s="539">
        <f>SUM(Brownsville!E100,Caledonia!E97,'New Albany'!E95,Gleason!E100,Wheatland!E101,Wilton!E94)</f>
        <v>-94015.816831449687</v>
      </c>
      <c r="G118" s="539">
        <f>SUM(Brownsville!F100,Caledonia!F97,'New Albany'!F95,Gleason!F100,Wheatland!F101,Wilton!F94)</f>
        <v>-84614.235148304724</v>
      </c>
      <c r="H118" s="539">
        <f>SUM(Brownsville!G100,Caledonia!G97,'New Albany'!G95,Gleason!G100,Wheatland!G101,Wilton!G94)</f>
        <v>-76067.342709082033</v>
      </c>
      <c r="I118" s="539">
        <f>SUM(Brownsville!H100,Caledonia!H97,'New Albany'!H95,Gleason!H100,Wheatland!H101,Wilton!H94)</f>
        <v>-72038.093416305608</v>
      </c>
      <c r="J118" s="539">
        <f>SUM(Brownsville!I100,Caledonia!I97,'New Albany'!I95,Gleason!I100,Wheatland!I101,Wilton!I94)</f>
        <v>-72160.191879723076</v>
      </c>
      <c r="K118" s="539">
        <f>SUM(Brownsville!J100,Caledonia!J97,'New Albany'!J95,Gleason!J100,Wheatland!J101,Wilton!J94)</f>
        <v>-72038.093416305608</v>
      </c>
      <c r="L118" s="539">
        <f>SUM(Brownsville!K100,Caledonia!K97,'New Albany'!K95,Gleason!K100,Wheatland!K101,Wilton!K94)</f>
        <v>-72160.191879723076</v>
      </c>
      <c r="M118" s="539">
        <f>SUM(Brownsville!L100,Caledonia!L97,'New Albany'!L95,Gleason!L100,Wheatland!L101,Wilton!L94)</f>
        <v>-72038.093416305608</v>
      </c>
      <c r="N118" s="539">
        <f>SUM(Brownsville!M100,Caledonia!M97,'New Albany'!M95,Gleason!M100,Wheatland!M101,Wilton!M94)</f>
        <v>-72160.191879723076</v>
      </c>
      <c r="O118" s="539">
        <f>SUM(Brownsville!N100,Caledonia!N97,'New Albany'!N95,Gleason!N100,Wheatland!N101,Wilton!N94)</f>
        <v>-72038.093416305608</v>
      </c>
      <c r="P118" s="539">
        <f>SUM(Brownsville!O100,Caledonia!O97,'New Albany'!O95,Gleason!O100,Wheatland!O101,Wilton!O94)</f>
        <v>-72160.191879723076</v>
      </c>
      <c r="Q118" s="539">
        <f>SUM(Brownsville!P100,Caledonia!P97,'New Albany'!P95,Gleason!P100,Wheatland!P101,Wilton!P94)</f>
        <v>-72038.093416305608</v>
      </c>
      <c r="R118" s="539">
        <f>SUM(Brownsville!Q100,Caledonia!Q97,'New Albany'!Q95,Gleason!Q100,Wheatland!Q101,Wilton!Q94)</f>
        <v>-36019.046708152804</v>
      </c>
      <c r="S118" s="539">
        <f>SUM(Brownsville!R100,Caledonia!R97,'New Albany'!R95,Gleason!R100,Wheatland!R101,Wilton!R94)</f>
        <v>0</v>
      </c>
      <c r="T118" s="539">
        <f>SUM(Brownsville!S100,Caledonia!S97,'New Albany'!S95,Gleason!S100,Wheatland!S101,Wilton!S94)</f>
        <v>0</v>
      </c>
      <c r="U118" s="539">
        <f>SUM(Brownsville!T100,Caledonia!T97,'New Albany'!T95,Gleason!T100,Wheatland!T101,Wilton!T94)</f>
        <v>0</v>
      </c>
      <c r="V118" s="539">
        <f>SUM(Brownsville!U100,Caledonia!U97,'New Albany'!U95,Gleason!U100,Wheatland!U101,Wilton!U94)</f>
        <v>0</v>
      </c>
    </row>
    <row r="119" spans="1:22">
      <c r="A119" s="46" t="s">
        <v>311</v>
      </c>
      <c r="B119" s="538">
        <f>B117+B118</f>
        <v>0</v>
      </c>
      <c r="C119" s="538">
        <f t="shared" ref="C119:V119" si="61">C117+C118</f>
        <v>0</v>
      </c>
      <c r="D119" s="538">
        <f t="shared" si="61"/>
        <v>0</v>
      </c>
      <c r="E119" s="538">
        <f t="shared" si="61"/>
        <v>0</v>
      </c>
      <c r="F119" s="538">
        <f t="shared" si="61"/>
        <v>0</v>
      </c>
      <c r="G119" s="538">
        <f t="shared" si="61"/>
        <v>0</v>
      </c>
      <c r="H119" s="538">
        <f t="shared" si="61"/>
        <v>0</v>
      </c>
      <c r="I119" s="538">
        <f t="shared" si="61"/>
        <v>0</v>
      </c>
      <c r="J119" s="538">
        <f t="shared" si="61"/>
        <v>0</v>
      </c>
      <c r="K119" s="538">
        <f t="shared" si="61"/>
        <v>0</v>
      </c>
      <c r="L119" s="538">
        <f t="shared" si="61"/>
        <v>0</v>
      </c>
      <c r="M119" s="538">
        <f t="shared" si="61"/>
        <v>0</v>
      </c>
      <c r="N119" s="538">
        <f t="shared" si="61"/>
        <v>0</v>
      </c>
      <c r="O119" s="538">
        <f t="shared" si="61"/>
        <v>0</v>
      </c>
      <c r="P119" s="538">
        <f t="shared" si="61"/>
        <v>0</v>
      </c>
      <c r="Q119" s="538">
        <f t="shared" si="61"/>
        <v>0</v>
      </c>
      <c r="R119" s="538">
        <f t="shared" si="61"/>
        <v>0</v>
      </c>
      <c r="S119" s="538">
        <f t="shared" si="61"/>
        <v>0</v>
      </c>
      <c r="T119" s="538">
        <f t="shared" si="61"/>
        <v>0</v>
      </c>
      <c r="U119" s="538">
        <f t="shared" si="61"/>
        <v>0</v>
      </c>
      <c r="V119" s="538">
        <f t="shared" si="61"/>
        <v>0</v>
      </c>
    </row>
  </sheetData>
  <pageMargins left="0.18" right="0.17" top="0.37" bottom="0.4" header="0.17" footer="0.21"/>
  <pageSetup scale="45" fitToHeight="2" orientation="landscape" r:id="rId1"/>
  <headerFooter alignWithMargins="0">
    <oddHeader>&amp;L&amp;12Enron Generation Company</oddHeader>
    <oddFooter>&amp;L&amp;T, &amp;D&amp;C&amp;F&amp;RPage &amp;P</oddFooter>
  </headerFooter>
  <rowBreaks count="1" manualBreakCount="1">
    <brk id="61" max="2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2:Y36"/>
  <sheetViews>
    <sheetView zoomScale="75" zoomScaleNormal="75" workbookViewId="0"/>
  </sheetViews>
  <sheetFormatPr defaultRowHeight="12.75"/>
  <cols>
    <col min="1" max="1" width="43.42578125" style="18" customWidth="1"/>
    <col min="2" max="3" width="10.42578125" style="18" customWidth="1"/>
    <col min="4" max="7" width="10.140625" style="18" customWidth="1"/>
    <col min="8" max="21" width="10" style="18" customWidth="1"/>
    <col min="22" max="22" width="10" style="6" customWidth="1"/>
    <col min="23" max="23" width="12" style="6" bestFit="1" customWidth="1"/>
    <col min="24" max="24" width="12.28515625" style="6" bestFit="1" customWidth="1"/>
    <col min="25" max="25" width="9.7109375" style="6" bestFit="1" customWidth="1"/>
    <col min="26" max="16384" width="9.140625" style="6"/>
  </cols>
  <sheetData>
    <row r="2" spans="1:25" ht="18.75">
      <c r="A2" s="55" t="s">
        <v>262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28"/>
      <c r="W2" s="128"/>
    </row>
    <row r="3" spans="1:25">
      <c r="A3" s="59"/>
      <c r="B3" s="20"/>
      <c r="C3" s="20"/>
      <c r="D3" s="20"/>
      <c r="E3" s="20"/>
      <c r="F3" s="20"/>
      <c r="G3" s="140"/>
      <c r="H3" s="20"/>
      <c r="I3" s="20"/>
      <c r="J3" s="20"/>
      <c r="K3" s="20"/>
      <c r="L3" s="20"/>
      <c r="M3" s="140"/>
      <c r="N3" s="20"/>
      <c r="O3" s="20"/>
      <c r="P3" s="20"/>
      <c r="Q3" s="20"/>
      <c r="R3" s="20"/>
      <c r="S3" s="140"/>
      <c r="T3" s="20"/>
      <c r="U3" s="20"/>
      <c r="V3" s="158"/>
      <c r="W3" s="158"/>
    </row>
    <row r="4" spans="1:25">
      <c r="A4" s="236"/>
      <c r="B4" s="257">
        <v>3</v>
      </c>
      <c r="C4" s="257">
        <v>4</v>
      </c>
      <c r="D4" s="257">
        <v>5</v>
      </c>
      <c r="E4" s="258">
        <v>6</v>
      </c>
      <c r="F4" s="257">
        <v>7</v>
      </c>
      <c r="G4" s="257">
        <v>8</v>
      </c>
      <c r="H4" s="257">
        <v>9</v>
      </c>
      <c r="I4" s="257">
        <v>10</v>
      </c>
      <c r="J4" s="257">
        <v>11</v>
      </c>
      <c r="K4" s="258">
        <v>12</v>
      </c>
      <c r="L4" s="257">
        <v>13</v>
      </c>
      <c r="M4" s="257">
        <v>14</v>
      </c>
      <c r="N4" s="257">
        <v>15</v>
      </c>
      <c r="O4" s="257">
        <v>16</v>
      </c>
      <c r="P4" s="257">
        <v>17</v>
      </c>
      <c r="Q4" s="258">
        <v>18</v>
      </c>
      <c r="R4" s="257">
        <v>19</v>
      </c>
      <c r="S4" s="257">
        <v>20</v>
      </c>
      <c r="T4" s="257">
        <v>21</v>
      </c>
      <c r="U4" s="257">
        <v>22</v>
      </c>
      <c r="V4" s="159"/>
      <c r="W4" s="158"/>
    </row>
    <row r="5" spans="1:25" ht="13.5" thickBot="1">
      <c r="A5" s="202" t="s">
        <v>83</v>
      </c>
      <c r="B5" s="8">
        <v>2001</v>
      </c>
      <c r="C5" s="8">
        <v>2002</v>
      </c>
      <c r="D5" s="8">
        <v>2003</v>
      </c>
      <c r="E5" s="8">
        <v>2004</v>
      </c>
      <c r="F5" s="8">
        <v>2005</v>
      </c>
      <c r="G5" s="8">
        <v>2006</v>
      </c>
      <c r="H5" s="8">
        <v>2007</v>
      </c>
      <c r="I5" s="8">
        <v>2008</v>
      </c>
      <c r="J5" s="8">
        <v>2009</v>
      </c>
      <c r="K5" s="8">
        <v>2010</v>
      </c>
      <c r="L5" s="8">
        <v>2011</v>
      </c>
      <c r="M5" s="8">
        <v>2012</v>
      </c>
      <c r="N5" s="8">
        <v>2013</v>
      </c>
      <c r="O5" s="8">
        <v>2014</v>
      </c>
      <c r="P5" s="8">
        <v>2015</v>
      </c>
      <c r="Q5" s="8">
        <v>2016</v>
      </c>
      <c r="R5" s="8">
        <v>2017</v>
      </c>
      <c r="S5" s="8">
        <v>2018</v>
      </c>
      <c r="T5" s="8">
        <v>2019</v>
      </c>
      <c r="U5" s="8">
        <v>2020</v>
      </c>
    </row>
    <row r="6" spans="1:25">
      <c r="A6" s="236"/>
      <c r="B6" s="264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5">
      <c r="A7" s="237" t="s">
        <v>112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42"/>
      <c r="W7" s="142"/>
    </row>
    <row r="8" spans="1:25" ht="13.5" thickBot="1">
      <c r="A8" s="34" t="s">
        <v>180</v>
      </c>
      <c r="B8" s="367">
        <f>SUM(Caledonia!B109,'New Albany'!B107,Wheatland!B115,Wilton!B106,Brownsville!B112,Gleason!B112)</f>
        <v>400.79141118266904</v>
      </c>
      <c r="C8" s="367">
        <f>SUM(Caledonia!C109,'New Albany'!C107,Wheatland!C115,Wilton!C106,Brownsville!C112,Gleason!C112)</f>
        <v>295.61650492623687</v>
      </c>
      <c r="D8" s="367">
        <f>SUM(Caledonia!D109,'New Albany'!D107,Wheatland!D115,Wilton!D106,Brownsville!D112,Gleason!D112)</f>
        <v>296.2491704690438</v>
      </c>
      <c r="E8" s="367">
        <f>SUM(Caledonia!E109,'New Albany'!E107,Wheatland!E115,Wilton!E106,Brownsville!E112,Gleason!E112)</f>
        <v>547.93141162124391</v>
      </c>
      <c r="F8" s="367">
        <f>SUM(Caledonia!F109,'New Albany'!F107,Wheatland!F115,Wilton!F106,Brownsville!F112,Gleason!F112)</f>
        <v>1481.5747500520624</v>
      </c>
      <c r="G8" s="367">
        <f>SUM(Caledonia!G109,'New Albany'!G107,Wheatland!G115,Wilton!G106,Brownsville!G112,Gleason!G112)</f>
        <v>3236.4619641617546</v>
      </c>
      <c r="H8" s="367">
        <f>SUM(Caledonia!H109,'New Albany'!H107,Wheatland!H115,Wilton!H106,Brownsville!H112,Gleason!H112)</f>
        <v>3999.3571134898302</v>
      </c>
      <c r="I8" s="367">
        <f>SUM(Caledonia!I109,'New Albany'!I107,Wheatland!I115,Wilton!I106,Brownsville!I112,Gleason!I112)</f>
        <v>5150.6960158670981</v>
      </c>
      <c r="J8" s="367">
        <f>SUM(Caledonia!J109,'New Albany'!J107,Wheatland!J115,Wilton!J106,Brownsville!J112,Gleason!J112)</f>
        <v>5477.2948272496169</v>
      </c>
      <c r="K8" s="367">
        <f>SUM(Caledonia!K109,'New Albany'!K107,Wheatland!K115,Wilton!K106,Brownsville!K112,Gleason!K112)</f>
        <v>5738.365783981777</v>
      </c>
      <c r="L8" s="367">
        <f>SUM(Caledonia!L109,'New Albany'!L107,Wheatland!L115,Wilton!L106,Brownsville!L112,Gleason!L112)</f>
        <v>6126.8308927819562</v>
      </c>
      <c r="M8" s="367">
        <f>SUM(Caledonia!M109,'New Albany'!M107,Wheatland!M115,Wilton!M106,Brownsville!M112,Gleason!M112)</f>
        <v>6536.8676194698237</v>
      </c>
      <c r="N8" s="367">
        <f>SUM(Caledonia!N109,'New Albany'!N107,Wheatland!N115,Wilton!N106,Brownsville!N112,Gleason!N112)</f>
        <v>6976.5570562164203</v>
      </c>
      <c r="O8" s="367">
        <f>SUM(Caledonia!O109,'New Albany'!O107,Wheatland!O115,Wilton!O106,Brownsville!O112,Gleason!O112)</f>
        <v>7432.6696721362614</v>
      </c>
      <c r="P8" s="367">
        <f>SUM(Caledonia!P109,'New Albany'!P107,Wheatland!P115,Wilton!P106,Brownsville!P112,Gleason!P112)</f>
        <v>7906.5152135289263</v>
      </c>
      <c r="Q8" s="367">
        <f>SUM(Caledonia!Q109,'New Albany'!Q107,Wheatland!Q115,Wilton!Q106,Brownsville!Q112,Gleason!Q112)</f>
        <v>10481.94143360851</v>
      </c>
      <c r="R8" s="367">
        <f>SUM(Caledonia!R109,'New Albany'!R107,Wheatland!R115,Wilton!R106,Brownsville!R112,Gleason!R112)</f>
        <v>13062.076985405738</v>
      </c>
      <c r="S8" s="367">
        <f>SUM(Caledonia!S109,'New Albany'!S107,Wheatland!S115,Wilton!S106,Brownsville!S112,Gleason!S112)</f>
        <v>13604.787765611323</v>
      </c>
      <c r="T8" s="367">
        <f>SUM(Caledonia!T109,'New Albany'!T107,Wheatland!T115,Wilton!T106,Brownsville!T112,Gleason!T112)</f>
        <v>14196.216216426894</v>
      </c>
      <c r="U8" s="367">
        <f>SUM(Caledonia!U109,'New Albany'!U107,Wheatland!U115,Wilton!U106,Brownsville!U112,Gleason!U112)</f>
        <v>14827.127454638132</v>
      </c>
      <c r="V8" s="232"/>
      <c r="W8" s="486">
        <f>SUM(B8:U8)</f>
        <v>127775.92926282533</v>
      </c>
      <c r="X8" s="485">
        <f>SUM(Brownsville!W112,Caledonia!W109,'New Albany'!W107,Gleason!W112,Wheatland!W115,Wilton!W106)</f>
        <v>127775.92926282532</v>
      </c>
      <c r="Y8" s="478">
        <f>W8-X8</f>
        <v>0</v>
      </c>
    </row>
    <row r="9" spans="1:25">
      <c r="A9" s="34"/>
      <c r="B9" s="243"/>
      <c r="C9" s="243"/>
      <c r="D9" s="243"/>
      <c r="E9" s="243"/>
      <c r="F9" s="243"/>
      <c r="G9" s="243"/>
      <c r="H9" s="243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243"/>
      <c r="T9" s="243"/>
      <c r="U9" s="243"/>
      <c r="V9" s="232"/>
      <c r="W9" s="232"/>
    </row>
    <row r="10" spans="1:25">
      <c r="A10" s="23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160"/>
      <c r="W10" s="160"/>
    </row>
    <row r="11" spans="1:25">
      <c r="A11" s="237" t="s">
        <v>113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157"/>
      <c r="W11" s="157"/>
    </row>
    <row r="12" spans="1:25">
      <c r="A12" s="23" t="s">
        <v>182</v>
      </c>
      <c r="B12" s="22">
        <f>IS!B44</f>
        <v>20561.057052532429</v>
      </c>
      <c r="C12" s="22">
        <f>IS!C44</f>
        <v>22044.132964897712</v>
      </c>
      <c r="D12" s="22">
        <f>IS!D44</f>
        <v>23927.264364025046</v>
      </c>
      <c r="E12" s="22">
        <f>IS!E44</f>
        <v>91717.076486463833</v>
      </c>
      <c r="F12" s="22">
        <f>IS!F44</f>
        <v>102466.80986898807</v>
      </c>
      <c r="G12" s="22">
        <f>IS!G44</f>
        <v>106156.56502796165</v>
      </c>
      <c r="H12" s="22">
        <f>IS!H44</f>
        <v>109857.55458178176</v>
      </c>
      <c r="I12" s="22">
        <f>IS!I44</f>
        <v>113903.47114499699</v>
      </c>
      <c r="J12" s="22">
        <f>IS!J44</f>
        <v>118839.33109493322</v>
      </c>
      <c r="K12" s="22">
        <f>IS!K44</f>
        <v>122735.89019206777</v>
      </c>
      <c r="L12" s="22">
        <f>IS!L44</f>
        <v>128909.034929077</v>
      </c>
      <c r="M12" s="22">
        <f>IS!M44</f>
        <v>135617.34786631027</v>
      </c>
      <c r="N12" s="22">
        <f>IS!N44</f>
        <v>142525.91223534898</v>
      </c>
      <c r="O12" s="22">
        <f>IS!O44</f>
        <v>149882.95836432837</v>
      </c>
      <c r="P12" s="22">
        <f>IS!P44</f>
        <v>157275.24610532966</v>
      </c>
      <c r="Q12" s="22">
        <f>IS!Q44</f>
        <v>165216.24165828072</v>
      </c>
      <c r="R12" s="22">
        <f>IS!R44</f>
        <v>173225.40350732201</v>
      </c>
      <c r="S12" s="22">
        <f>IS!S44</f>
        <v>181842.86970824472</v>
      </c>
      <c r="T12" s="22">
        <f>IS!T44</f>
        <v>191212.32593611439</v>
      </c>
      <c r="U12" s="22">
        <f>IS!U44</f>
        <v>201231.09248902395</v>
      </c>
      <c r="V12" s="160"/>
      <c r="W12" s="486">
        <f>SUM(B12:U12)</f>
        <v>2459147.5855780286</v>
      </c>
      <c r="X12" s="485">
        <f>SUM(Caledonia!W95,'New Albany'!W93,Wheatland!W99,Wilton!W92,Brownsville!W98,Gleason!W98)</f>
        <v>2459147.5855780281</v>
      </c>
      <c r="Y12" s="478">
        <f>W12-X12</f>
        <v>0</v>
      </c>
    </row>
    <row r="13" spans="1:25">
      <c r="A13" s="23" t="s">
        <v>183</v>
      </c>
      <c r="B13" s="22">
        <f>IS!B38</f>
        <v>36629.539025240148</v>
      </c>
      <c r="C13" s="22">
        <f>IS!C38</f>
        <v>36629.539025240148</v>
      </c>
      <c r="D13" s="22">
        <f>IS!D38</f>
        <v>36629.539025240148</v>
      </c>
      <c r="E13" s="22">
        <f>IS!E38</f>
        <v>36629.539025240148</v>
      </c>
      <c r="F13" s="22">
        <f>IS!F38</f>
        <v>36629.539025240148</v>
      </c>
      <c r="G13" s="22">
        <f>IS!G38</f>
        <v>36629.539025240148</v>
      </c>
      <c r="H13" s="22">
        <f>IS!H38</f>
        <v>36629.539025240148</v>
      </c>
      <c r="I13" s="22">
        <f>IS!I38</f>
        <v>36629.539025240148</v>
      </c>
      <c r="J13" s="22">
        <f>IS!J38</f>
        <v>36629.539025240148</v>
      </c>
      <c r="K13" s="22">
        <f>IS!K38</f>
        <v>36629.539025240148</v>
      </c>
      <c r="L13" s="22">
        <f>IS!L38</f>
        <v>36629.539025240148</v>
      </c>
      <c r="M13" s="22">
        <f>IS!M38</f>
        <v>36629.539025240148</v>
      </c>
      <c r="N13" s="22">
        <f>IS!N38</f>
        <v>36629.539025240148</v>
      </c>
      <c r="O13" s="22">
        <f>IS!O38</f>
        <v>36629.539025240148</v>
      </c>
      <c r="P13" s="22">
        <f>IS!P38</f>
        <v>36629.539025240148</v>
      </c>
      <c r="Q13" s="22">
        <f>IS!Q38</f>
        <v>36629.539025240148</v>
      </c>
      <c r="R13" s="22">
        <f>IS!R38</f>
        <v>36629.539025240148</v>
      </c>
      <c r="S13" s="22">
        <f>IS!S38</f>
        <v>36629.539025240148</v>
      </c>
      <c r="T13" s="22">
        <f>IS!T38</f>
        <v>36629.539025240148</v>
      </c>
      <c r="U13" s="22">
        <f>IS!U38</f>
        <v>36629.539025240148</v>
      </c>
      <c r="V13" s="160"/>
      <c r="W13" s="486">
        <f>SUM(B13:U13)</f>
        <v>732590.78050480294</v>
      </c>
      <c r="X13" s="485">
        <f>SUM(Caledonia!W96,'New Albany'!W94,Wheatland!W100,Wilton!W93,Brownsville!W99,Gleason!W99)</f>
        <v>732590.78050480294</v>
      </c>
      <c r="Y13" s="478">
        <f>W13-X13</f>
        <v>0</v>
      </c>
    </row>
    <row r="14" spans="1:25">
      <c r="A14" s="23" t="s">
        <v>307</v>
      </c>
      <c r="B14" s="24">
        <f>-Depreciation!C104-Depreciation!C112</f>
        <v>-61049.231708733569</v>
      </c>
      <c r="C14" s="24">
        <f>-Depreciation!D104-Depreciation!D112</f>
        <v>-115993.5402465938</v>
      </c>
      <c r="D14" s="24">
        <f>-Depreciation!E104-Depreciation!E112</f>
        <v>-104394.18622193442</v>
      </c>
      <c r="E14" s="24">
        <f>-Depreciation!F104-Depreciation!F112</f>
        <v>-94015.816831449687</v>
      </c>
      <c r="F14" s="24">
        <f>-Depreciation!G104-Depreciation!G112</f>
        <v>-84614.235148304724</v>
      </c>
      <c r="G14" s="24">
        <f>-Depreciation!H104-Depreciation!H112</f>
        <v>-76067.342709082033</v>
      </c>
      <c r="H14" s="24">
        <f>-Depreciation!I104-Depreciation!I112</f>
        <v>-72038.093416305608</v>
      </c>
      <c r="I14" s="24">
        <f>-Depreciation!J104-Depreciation!J112</f>
        <v>-72160.191879723076</v>
      </c>
      <c r="J14" s="24">
        <f>-Depreciation!K104-Depreciation!K112</f>
        <v>-72038.093416305608</v>
      </c>
      <c r="K14" s="24">
        <f>-Depreciation!L104-Depreciation!L112</f>
        <v>-72160.191879723076</v>
      </c>
      <c r="L14" s="24">
        <f>-Depreciation!M104-Depreciation!M112</f>
        <v>-72038.093416305608</v>
      </c>
      <c r="M14" s="24">
        <f>-Depreciation!N104-Depreciation!N112</f>
        <v>-72160.191879723076</v>
      </c>
      <c r="N14" s="24">
        <f>-Depreciation!O104-Depreciation!O112</f>
        <v>-72038.093416305608</v>
      </c>
      <c r="O14" s="24">
        <f>-Depreciation!P104-Depreciation!P112</f>
        <v>-72160.191879723076</v>
      </c>
      <c r="P14" s="24">
        <f>-Depreciation!Q104-Depreciation!Q112</f>
        <v>-72038.093416305608</v>
      </c>
      <c r="Q14" s="24">
        <f>-Depreciation!R104-Depreciation!R112</f>
        <v>-36019.046708152804</v>
      </c>
      <c r="R14" s="24">
        <f>-Depreciation!S104-Depreciation!S112</f>
        <v>0</v>
      </c>
      <c r="S14" s="24">
        <f>-Depreciation!T104-Depreciation!T112</f>
        <v>0</v>
      </c>
      <c r="T14" s="24">
        <f>-Depreciation!U104-Depreciation!U112</f>
        <v>0</v>
      </c>
      <c r="U14" s="24">
        <f>-Depreciation!V104-Depreciation!V112</f>
        <v>0</v>
      </c>
      <c r="V14" s="160"/>
      <c r="W14" s="486">
        <f>SUM(B14:U14)</f>
        <v>-1220984.6341746713</v>
      </c>
      <c r="X14" s="485">
        <f>SUM(Caledonia!W97,'New Albany'!W95,Wheatland!W101,Wilton!W94,Brownsville!W100,Gleason!W100)</f>
        <v>-1220984.6341746715</v>
      </c>
      <c r="Y14" s="478">
        <f>W14-X14</f>
        <v>0</v>
      </c>
    </row>
    <row r="15" spans="1:25" ht="15">
      <c r="A15" s="23" t="s">
        <v>190</v>
      </c>
      <c r="B15" s="244">
        <f>-B8</f>
        <v>-400.79141118266904</v>
      </c>
      <c r="C15" s="244">
        <f t="shared" ref="C15:U15" si="0">-C8</f>
        <v>-295.61650492623687</v>
      </c>
      <c r="D15" s="244">
        <f t="shared" si="0"/>
        <v>-296.2491704690438</v>
      </c>
      <c r="E15" s="244">
        <f t="shared" si="0"/>
        <v>-547.93141162124391</v>
      </c>
      <c r="F15" s="244">
        <f t="shared" si="0"/>
        <v>-1481.5747500520624</v>
      </c>
      <c r="G15" s="244">
        <f t="shared" si="0"/>
        <v>-3236.4619641617546</v>
      </c>
      <c r="H15" s="244">
        <f t="shared" si="0"/>
        <v>-3999.3571134898302</v>
      </c>
      <c r="I15" s="244">
        <f t="shared" si="0"/>
        <v>-5150.6960158670981</v>
      </c>
      <c r="J15" s="244">
        <f t="shared" si="0"/>
        <v>-5477.2948272496169</v>
      </c>
      <c r="K15" s="244">
        <f t="shared" si="0"/>
        <v>-5738.365783981777</v>
      </c>
      <c r="L15" s="244">
        <f t="shared" si="0"/>
        <v>-6126.8308927819562</v>
      </c>
      <c r="M15" s="244">
        <f t="shared" si="0"/>
        <v>-6536.8676194698237</v>
      </c>
      <c r="N15" s="244">
        <f t="shared" si="0"/>
        <v>-6976.5570562164203</v>
      </c>
      <c r="O15" s="244">
        <f t="shared" si="0"/>
        <v>-7432.6696721362614</v>
      </c>
      <c r="P15" s="244">
        <f t="shared" si="0"/>
        <v>-7906.5152135289263</v>
      </c>
      <c r="Q15" s="244">
        <f t="shared" si="0"/>
        <v>-10481.94143360851</v>
      </c>
      <c r="R15" s="244">
        <f t="shared" si="0"/>
        <v>-13062.076985405738</v>
      </c>
      <c r="S15" s="244">
        <f t="shared" si="0"/>
        <v>-13604.787765611323</v>
      </c>
      <c r="T15" s="244">
        <f t="shared" si="0"/>
        <v>-14196.216216426894</v>
      </c>
      <c r="U15" s="244">
        <f t="shared" si="0"/>
        <v>-14827.127454638132</v>
      </c>
      <c r="V15" s="162"/>
      <c r="W15" s="486">
        <f>SUM(B15:U15)</f>
        <v>-127775.92926282533</v>
      </c>
      <c r="X15" s="485">
        <f>SUM(Brownsville!W112,Caledonia!W109,'New Albany'!W107,Gleason!W112,Wheatland!W115,Wilton!W106)</f>
        <v>127775.92926282532</v>
      </c>
      <c r="Y15" s="478">
        <f>X15+W15</f>
        <v>0</v>
      </c>
    </row>
    <row r="16" spans="1:25">
      <c r="A16" s="239" t="s">
        <v>303</v>
      </c>
      <c r="B16" s="36">
        <f t="shared" ref="B16:U16" si="1">SUM(B12:B15)</f>
        <v>-4259.4270421436604</v>
      </c>
      <c r="C16" s="36">
        <f t="shared" si="1"/>
        <v>-57615.484761382169</v>
      </c>
      <c r="D16" s="36">
        <f t="shared" si="1"/>
        <v>-44133.632003138271</v>
      </c>
      <c r="E16" s="36">
        <f t="shared" si="1"/>
        <v>33782.867268633046</v>
      </c>
      <c r="F16" s="36">
        <f t="shared" si="1"/>
        <v>53000.538995871444</v>
      </c>
      <c r="G16" s="36">
        <f t="shared" si="1"/>
        <v>63482.299379958007</v>
      </c>
      <c r="H16" s="36">
        <f t="shared" si="1"/>
        <v>70449.643077226472</v>
      </c>
      <c r="I16" s="36">
        <f t="shared" si="1"/>
        <v>73222.122274646958</v>
      </c>
      <c r="J16" s="36">
        <f t="shared" si="1"/>
        <v>77953.481876618156</v>
      </c>
      <c r="K16" s="36">
        <f t="shared" si="1"/>
        <v>81466.871553603065</v>
      </c>
      <c r="L16" s="36">
        <f t="shared" si="1"/>
        <v>87373.649645229569</v>
      </c>
      <c r="M16" s="36">
        <f t="shared" si="1"/>
        <v>93549.827392357518</v>
      </c>
      <c r="N16" s="36">
        <f t="shared" si="1"/>
        <v>100140.80078806709</v>
      </c>
      <c r="O16" s="36">
        <f t="shared" si="1"/>
        <v>106919.63583770917</v>
      </c>
      <c r="P16" s="36">
        <f t="shared" si="1"/>
        <v>113960.17650073527</v>
      </c>
      <c r="Q16" s="36">
        <f t="shared" si="1"/>
        <v>155344.79254175955</v>
      </c>
      <c r="R16" s="36">
        <f t="shared" si="1"/>
        <v>196792.86554715643</v>
      </c>
      <c r="S16" s="36">
        <f t="shared" si="1"/>
        <v>204867.62096787355</v>
      </c>
      <c r="T16" s="36">
        <f t="shared" si="1"/>
        <v>213645.64874492763</v>
      </c>
      <c r="U16" s="36">
        <f t="shared" si="1"/>
        <v>223033.50405962596</v>
      </c>
      <c r="V16" s="161"/>
      <c r="W16" s="486">
        <f>SUM(B16:U16)</f>
        <v>1842977.802645335</v>
      </c>
      <c r="X16" s="485"/>
      <c r="Y16" s="478"/>
    </row>
    <row r="17" spans="1:23">
      <c r="A17" s="239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161"/>
      <c r="W17" s="161"/>
    </row>
    <row r="18" spans="1:23">
      <c r="A18" s="23" t="s">
        <v>191</v>
      </c>
      <c r="B18" s="245">
        <f>IF(B4&gt;2020,0,Summary!$C$36)</f>
        <v>0.35</v>
      </c>
      <c r="C18" s="245">
        <f>IF(C4&gt;2020,0,Summary!$C$36)</f>
        <v>0.35</v>
      </c>
      <c r="D18" s="245">
        <f>IF(D4&gt;2020,0,Summary!$C$36)</f>
        <v>0.35</v>
      </c>
      <c r="E18" s="245">
        <f>IF(E4&gt;2020,0,Summary!$C$36)</f>
        <v>0.35</v>
      </c>
      <c r="F18" s="245">
        <f>IF(F4&gt;2020,0,Summary!$C$36)</f>
        <v>0.35</v>
      </c>
      <c r="G18" s="245">
        <f>IF(G4&gt;2020,0,Summary!$C$36)</f>
        <v>0.35</v>
      </c>
      <c r="H18" s="245">
        <f>IF(H4&gt;2020,0,Summary!$C$36)</f>
        <v>0.35</v>
      </c>
      <c r="I18" s="245">
        <f>IF(I4&gt;2020,0,Summary!$C$36)</f>
        <v>0.35</v>
      </c>
      <c r="J18" s="245">
        <f>IF(J4&gt;2020,0,Summary!$C$36)</f>
        <v>0.35</v>
      </c>
      <c r="K18" s="245">
        <f>IF(K4&gt;2020,0,Summary!$C$36)</f>
        <v>0.35</v>
      </c>
      <c r="L18" s="245">
        <f>IF(L4&gt;2020,0,Summary!$C$36)</f>
        <v>0.35</v>
      </c>
      <c r="M18" s="245">
        <f>IF(M4&gt;2020,0,Summary!$C$36)</f>
        <v>0.35</v>
      </c>
      <c r="N18" s="245">
        <f>IF(N4&gt;2020,0,Summary!$C$36)</f>
        <v>0.35</v>
      </c>
      <c r="O18" s="245">
        <f>IF(O4&gt;2020,0,Summary!$C$36)</f>
        <v>0.35</v>
      </c>
      <c r="P18" s="245">
        <f>IF(P4&gt;2020,0,Summary!$C$36)</f>
        <v>0.35</v>
      </c>
      <c r="Q18" s="245">
        <f>IF(Q4&gt;2020,0,Summary!$C$36)</f>
        <v>0.35</v>
      </c>
      <c r="R18" s="245">
        <f>IF(R4&gt;2020,0,Summary!$C$36)</f>
        <v>0.35</v>
      </c>
      <c r="S18" s="245">
        <f>IF(S4&gt;2020,0,Summary!$C$36)</f>
        <v>0.35</v>
      </c>
      <c r="T18" s="245">
        <f>IF(T4&gt;2020,0,Summary!$C$36)</f>
        <v>0.35</v>
      </c>
      <c r="U18" s="245">
        <f>IF(U4&gt;2020,0,Summary!$C$36)</f>
        <v>0.35</v>
      </c>
      <c r="V18" s="163"/>
      <c r="W18" s="163"/>
    </row>
    <row r="19" spans="1:23">
      <c r="A19" s="23" t="s">
        <v>192</v>
      </c>
      <c r="B19" s="256">
        <f t="shared" ref="B19:U19" si="2">B16*B18</f>
        <v>-1490.799464750281</v>
      </c>
      <c r="C19" s="256">
        <f t="shared" si="2"/>
        <v>-20165.419666483758</v>
      </c>
      <c r="D19" s="256">
        <f t="shared" si="2"/>
        <v>-15446.771201098394</v>
      </c>
      <c r="E19" s="256">
        <f t="shared" si="2"/>
        <v>11824.003544021565</v>
      </c>
      <c r="F19" s="256">
        <f t="shared" si="2"/>
        <v>18550.188648555006</v>
      </c>
      <c r="G19" s="256">
        <f t="shared" si="2"/>
        <v>22218.804782985302</v>
      </c>
      <c r="H19" s="256">
        <f t="shared" si="2"/>
        <v>24657.375077029265</v>
      </c>
      <c r="I19" s="256">
        <f t="shared" si="2"/>
        <v>25627.742796126433</v>
      </c>
      <c r="J19" s="256">
        <f t="shared" si="2"/>
        <v>27283.718656816352</v>
      </c>
      <c r="K19" s="256">
        <f t="shared" si="2"/>
        <v>28513.405043761071</v>
      </c>
      <c r="L19" s="256">
        <f t="shared" si="2"/>
        <v>30580.777375830348</v>
      </c>
      <c r="M19" s="256">
        <f t="shared" si="2"/>
        <v>32742.439587325131</v>
      </c>
      <c r="N19" s="256">
        <f t="shared" si="2"/>
        <v>35049.280275823483</v>
      </c>
      <c r="O19" s="256">
        <f t="shared" si="2"/>
        <v>37421.872543198209</v>
      </c>
      <c r="P19" s="256">
        <f t="shared" si="2"/>
        <v>39886.061775257338</v>
      </c>
      <c r="Q19" s="256">
        <f t="shared" si="2"/>
        <v>54370.677389615841</v>
      </c>
      <c r="R19" s="256">
        <f t="shared" si="2"/>
        <v>68877.502941504747</v>
      </c>
      <c r="S19" s="256">
        <f t="shared" si="2"/>
        <v>71703.667338755738</v>
      </c>
      <c r="T19" s="256">
        <f t="shared" si="2"/>
        <v>74775.977060724661</v>
      </c>
      <c r="U19" s="256">
        <f t="shared" si="2"/>
        <v>78061.726420869076</v>
      </c>
      <c r="V19" s="160"/>
      <c r="W19" s="160"/>
    </row>
    <row r="20" spans="1:23">
      <c r="A20" s="19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157"/>
      <c r="W20" s="157"/>
    </row>
    <row r="21" spans="1:23">
      <c r="A21" s="19" t="s">
        <v>193</v>
      </c>
      <c r="B21" s="255">
        <v>0</v>
      </c>
      <c r="C21" s="255">
        <f>IF(C19&lt;0,-C19+B21-B22,B21-B22)</f>
        <v>20165.419666483758</v>
      </c>
      <c r="D21" s="255">
        <f t="shared" ref="D21:U21" si="3">IF(D19&lt;0,-D19+C21-C22,C21-C22)</f>
        <v>35612.190867582154</v>
      </c>
      <c r="E21" s="255">
        <f t="shared" si="3"/>
        <v>35612.190867582154</v>
      </c>
      <c r="F21" s="255">
        <f t="shared" si="3"/>
        <v>23788.187323560589</v>
      </c>
      <c r="G21" s="255">
        <f t="shared" si="3"/>
        <v>5237.9986750055832</v>
      </c>
      <c r="H21" s="255">
        <f t="shared" si="3"/>
        <v>0</v>
      </c>
      <c r="I21" s="255">
        <f t="shared" si="3"/>
        <v>0</v>
      </c>
      <c r="J21" s="255">
        <f t="shared" si="3"/>
        <v>0</v>
      </c>
      <c r="K21" s="255">
        <f t="shared" si="3"/>
        <v>0</v>
      </c>
      <c r="L21" s="255">
        <f t="shared" si="3"/>
        <v>0</v>
      </c>
      <c r="M21" s="255">
        <f t="shared" si="3"/>
        <v>0</v>
      </c>
      <c r="N21" s="255">
        <f t="shared" si="3"/>
        <v>0</v>
      </c>
      <c r="O21" s="255">
        <f t="shared" si="3"/>
        <v>0</v>
      </c>
      <c r="P21" s="255">
        <f t="shared" si="3"/>
        <v>0</v>
      </c>
      <c r="Q21" s="255">
        <f t="shared" si="3"/>
        <v>0</v>
      </c>
      <c r="R21" s="255">
        <f t="shared" si="3"/>
        <v>0</v>
      </c>
      <c r="S21" s="255">
        <f t="shared" si="3"/>
        <v>0</v>
      </c>
      <c r="T21" s="255">
        <f t="shared" si="3"/>
        <v>0</v>
      </c>
      <c r="U21" s="255">
        <f t="shared" si="3"/>
        <v>0</v>
      </c>
      <c r="V21" s="160"/>
      <c r="W21" s="160"/>
    </row>
    <row r="22" spans="1:23">
      <c r="A22" s="19" t="s">
        <v>188</v>
      </c>
      <c r="B22" s="22">
        <f t="shared" ref="B22:U22" si="4">IF(B19&lt;0,0,IF(B21&gt;B19,B19,B21))</f>
        <v>0</v>
      </c>
      <c r="C22" s="22">
        <f t="shared" si="4"/>
        <v>0</v>
      </c>
      <c r="D22" s="22">
        <f t="shared" si="4"/>
        <v>0</v>
      </c>
      <c r="E22" s="22">
        <f t="shared" si="4"/>
        <v>11824.003544021565</v>
      </c>
      <c r="F22" s="22">
        <f t="shared" si="4"/>
        <v>18550.188648555006</v>
      </c>
      <c r="G22" s="22">
        <f t="shared" si="4"/>
        <v>5237.9986750055832</v>
      </c>
      <c r="H22" s="255">
        <f t="shared" si="4"/>
        <v>0</v>
      </c>
      <c r="I22" s="255">
        <f t="shared" si="4"/>
        <v>0</v>
      </c>
      <c r="J22" s="255">
        <f t="shared" si="4"/>
        <v>0</v>
      </c>
      <c r="K22" s="255">
        <f t="shared" si="4"/>
        <v>0</v>
      </c>
      <c r="L22" s="255">
        <f t="shared" si="4"/>
        <v>0</v>
      </c>
      <c r="M22" s="255">
        <f t="shared" si="4"/>
        <v>0</v>
      </c>
      <c r="N22" s="255">
        <f t="shared" si="4"/>
        <v>0</v>
      </c>
      <c r="O22" s="255">
        <f t="shared" si="4"/>
        <v>0</v>
      </c>
      <c r="P22" s="255">
        <f t="shared" si="4"/>
        <v>0</v>
      </c>
      <c r="Q22" s="255">
        <f t="shared" si="4"/>
        <v>0</v>
      </c>
      <c r="R22" s="255">
        <f t="shared" si="4"/>
        <v>0</v>
      </c>
      <c r="S22" s="255">
        <f t="shared" si="4"/>
        <v>0</v>
      </c>
      <c r="T22" s="255">
        <f t="shared" si="4"/>
        <v>0</v>
      </c>
      <c r="U22" s="255">
        <f t="shared" si="4"/>
        <v>0</v>
      </c>
      <c r="V22" s="233"/>
      <c r="W22" s="233"/>
    </row>
    <row r="23" spans="1:23">
      <c r="A23" s="19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160"/>
      <c r="W23" s="160"/>
    </row>
    <row r="24" spans="1:23">
      <c r="A24" s="34" t="s">
        <v>194</v>
      </c>
      <c r="B24" s="246">
        <f t="shared" ref="B24:T24" si="5">IF(B19&lt;0,0,(B19-B22))</f>
        <v>0</v>
      </c>
      <c r="C24" s="246">
        <f t="shared" si="5"/>
        <v>0</v>
      </c>
      <c r="D24" s="246">
        <f t="shared" si="5"/>
        <v>0</v>
      </c>
      <c r="E24" s="246">
        <f t="shared" si="5"/>
        <v>0</v>
      </c>
      <c r="F24" s="246">
        <f t="shared" si="5"/>
        <v>0</v>
      </c>
      <c r="G24" s="246">
        <f t="shared" si="5"/>
        <v>16980.806107979719</v>
      </c>
      <c r="H24" s="246">
        <f t="shared" si="5"/>
        <v>24657.375077029265</v>
      </c>
      <c r="I24" s="246">
        <f t="shared" si="5"/>
        <v>25627.742796126433</v>
      </c>
      <c r="J24" s="246">
        <f t="shared" si="5"/>
        <v>27283.718656816352</v>
      </c>
      <c r="K24" s="246">
        <f t="shared" si="5"/>
        <v>28513.405043761071</v>
      </c>
      <c r="L24" s="246">
        <f t="shared" si="5"/>
        <v>30580.777375830348</v>
      </c>
      <c r="M24" s="246">
        <f t="shared" si="5"/>
        <v>32742.439587325131</v>
      </c>
      <c r="N24" s="246">
        <f t="shared" si="5"/>
        <v>35049.280275823483</v>
      </c>
      <c r="O24" s="246">
        <f t="shared" si="5"/>
        <v>37421.872543198209</v>
      </c>
      <c r="P24" s="246">
        <f t="shared" si="5"/>
        <v>39886.061775257338</v>
      </c>
      <c r="Q24" s="246">
        <f t="shared" si="5"/>
        <v>54370.677389615841</v>
      </c>
      <c r="R24" s="246">
        <f t="shared" si="5"/>
        <v>68877.502941504747</v>
      </c>
      <c r="S24" s="246">
        <f t="shared" si="5"/>
        <v>71703.667338755738</v>
      </c>
      <c r="T24" s="246">
        <f t="shared" si="5"/>
        <v>74775.977060724661</v>
      </c>
      <c r="U24" s="246">
        <f>IF(U19&lt;0,0,(U19-U22))</f>
        <v>78061.726420869076</v>
      </c>
      <c r="V24" s="164"/>
      <c r="W24" s="164"/>
    </row>
    <row r="25" spans="1:23">
      <c r="A25" s="34"/>
      <c r="B25" s="246"/>
      <c r="C25" s="246"/>
      <c r="D25" s="246"/>
      <c r="E25" s="246"/>
      <c r="F25" s="246"/>
      <c r="G25" s="246"/>
      <c r="H25" s="246"/>
      <c r="I25" s="246"/>
      <c r="J25" s="246"/>
      <c r="K25" s="246"/>
      <c r="L25" s="246"/>
      <c r="M25" s="246"/>
      <c r="N25" s="246"/>
      <c r="O25" s="246"/>
      <c r="P25" s="246"/>
      <c r="Q25" s="246"/>
      <c r="R25" s="246"/>
      <c r="S25" s="246"/>
      <c r="T25" s="246"/>
      <c r="U25" s="246"/>
      <c r="V25" s="164"/>
      <c r="W25" s="164"/>
    </row>
    <row r="26" spans="1:23"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60"/>
      <c r="W26" s="160"/>
    </row>
    <row r="27" spans="1:23">
      <c r="V27" s="7"/>
      <c r="W27" s="7"/>
    </row>
    <row r="28" spans="1:23">
      <c r="V28" s="7"/>
      <c r="W28" s="7"/>
    </row>
    <row r="29" spans="1:23">
      <c r="V29" s="7"/>
      <c r="W29" s="7"/>
    </row>
    <row r="30" spans="1:23">
      <c r="V30" s="7"/>
      <c r="W30" s="7"/>
    </row>
    <row r="31" spans="1:23">
      <c r="V31" s="7"/>
      <c r="W31" s="7"/>
    </row>
    <row r="32" spans="1:23">
      <c r="V32" s="7"/>
      <c r="W32" s="7"/>
    </row>
    <row r="33" spans="22:23">
      <c r="V33" s="7"/>
      <c r="W33" s="7"/>
    </row>
    <row r="34" spans="22:23">
      <c r="V34" s="7"/>
      <c r="W34" s="7"/>
    </row>
    <row r="35" spans="22:23">
      <c r="V35" s="7"/>
      <c r="W35" s="7"/>
    </row>
    <row r="36" spans="22:23">
      <c r="V36" s="7"/>
      <c r="W36" s="7"/>
    </row>
  </sheetData>
  <pageMargins left="0.18" right="0.17" top="0.37" bottom="0.4" header="0.17" footer="0.21"/>
  <pageSetup scale="56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1" min="1" max="38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417" r:id="rId4" name="Button 57">
              <controlPr defaultSize="0" print="0" autoFill="0" autoPict="0" macro="[0]!FranchiseTax">
                <anchor moveWithCells="1" sizeWithCells="1">
                  <from>
                    <xdr:col>2</xdr:col>
                    <xdr:colOff>9525</xdr:colOff>
                    <xdr:row>0</xdr:row>
                    <xdr:rowOff>123825</xdr:rowOff>
                  </from>
                  <to>
                    <xdr:col>4</xdr:col>
                    <xdr:colOff>228600</xdr:colOff>
                    <xdr:row>2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2:BC776"/>
  <sheetViews>
    <sheetView zoomScale="75" zoomScaleNormal="75" workbookViewId="0"/>
  </sheetViews>
  <sheetFormatPr defaultRowHeight="12.75" outlineLevelRow="1" outlineLevelCol="1"/>
  <cols>
    <col min="1" max="1" width="40.855468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2.28515625" style="7" bestFit="1" customWidth="1"/>
    <col min="24" max="16384" width="9.140625" style="7"/>
  </cols>
  <sheetData>
    <row r="2" spans="1:55" ht="18.75">
      <c r="A2" s="54" t="s">
        <v>129</v>
      </c>
      <c r="B2" s="413"/>
      <c r="C2" s="413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</row>
    <row r="5" spans="1:55" ht="13.5" thickBot="1">
      <c r="A5" s="202" t="s">
        <v>83</v>
      </c>
      <c r="B5" s="8"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  <c r="Y5" s="547">
        <f>SUM(Z5:AS5)-SUM(Z6:AS6)</f>
        <v>0</v>
      </c>
      <c r="Z5" s="548">
        <f>B11+B12</f>
        <v>1429.3876500000001</v>
      </c>
      <c r="AA5" s="548">
        <f>C11+C12</f>
        <v>1472.2692795</v>
      </c>
      <c r="AB5" s="548">
        <f>D11+D12</f>
        <v>1516.437357885</v>
      </c>
      <c r="AC5" s="548">
        <f t="shared" ref="AC5:AS5" si="1">E16</f>
        <v>1203.1688053391188</v>
      </c>
      <c r="AD5" s="548">
        <f t="shared" si="1"/>
        <v>1239.2638694992922</v>
      </c>
      <c r="AE5" s="548">
        <f t="shared" si="1"/>
        <v>1276.441785584271</v>
      </c>
      <c r="AF5" s="548">
        <f t="shared" si="1"/>
        <v>1314.7350391517994</v>
      </c>
      <c r="AG5" s="548">
        <f t="shared" si="1"/>
        <v>1354.1770903263532</v>
      </c>
      <c r="AH5" s="548">
        <f t="shared" si="1"/>
        <v>1394.8024030361439</v>
      </c>
      <c r="AI5" s="548">
        <f t="shared" si="1"/>
        <v>1436.6464751272281</v>
      </c>
      <c r="AJ5" s="548">
        <f t="shared" si="1"/>
        <v>1479.7458693810449</v>
      </c>
      <c r="AK5" s="548">
        <f t="shared" si="1"/>
        <v>1524.1382454624761</v>
      </c>
      <c r="AL5" s="548">
        <f t="shared" si="1"/>
        <v>1569.8623928263503</v>
      </c>
      <c r="AM5" s="548">
        <f t="shared" si="1"/>
        <v>1616.958264611141</v>
      </c>
      <c r="AN5" s="548">
        <f t="shared" si="1"/>
        <v>1665.4670125494756</v>
      </c>
      <c r="AO5" s="548">
        <f t="shared" si="1"/>
        <v>1715.4310229259595</v>
      </c>
      <c r="AP5" s="548">
        <f t="shared" si="1"/>
        <v>1766.8939536137382</v>
      </c>
      <c r="AQ5" s="548">
        <f t="shared" si="1"/>
        <v>1819.9007722221502</v>
      </c>
      <c r="AR5" s="548">
        <f t="shared" si="1"/>
        <v>1874.4977953888147</v>
      </c>
      <c r="AS5" s="548">
        <f t="shared" si="1"/>
        <v>1930.7327292504792</v>
      </c>
    </row>
    <row r="6" spans="1:55">
      <c r="A6" s="2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Y6" s="547">
        <v>0</v>
      </c>
      <c r="Z6" s="549">
        <f>B24+B25</f>
        <v>1429.3876500000001</v>
      </c>
      <c r="AA6" s="549">
        <f>C24+C25</f>
        <v>1472.2692795</v>
      </c>
      <c r="AB6" s="549">
        <f>D24+D25</f>
        <v>1516.437357885</v>
      </c>
      <c r="AC6" s="549">
        <f t="shared" ref="AC6:AS6" si="2">E24+1/3*E25</f>
        <v>1203.1688053391188</v>
      </c>
      <c r="AD6" s="549">
        <f t="shared" si="2"/>
        <v>1239.2638694992925</v>
      </c>
      <c r="AE6" s="549">
        <f t="shared" si="2"/>
        <v>1276.4417855842712</v>
      </c>
      <c r="AF6" s="549">
        <f t="shared" si="2"/>
        <v>1314.7350391517994</v>
      </c>
      <c r="AG6" s="549">
        <f t="shared" si="2"/>
        <v>1354.1770903263534</v>
      </c>
      <c r="AH6" s="549">
        <f t="shared" si="2"/>
        <v>1394.8024030361439</v>
      </c>
      <c r="AI6" s="549">
        <f t="shared" si="2"/>
        <v>1436.6464751272285</v>
      </c>
      <c r="AJ6" s="549">
        <f t="shared" si="2"/>
        <v>1479.7458693810452</v>
      </c>
      <c r="AK6" s="549">
        <f t="shared" si="2"/>
        <v>1524.1382454624768</v>
      </c>
      <c r="AL6" s="549">
        <f t="shared" si="2"/>
        <v>1569.862392826351</v>
      </c>
      <c r="AM6" s="549">
        <f t="shared" si="2"/>
        <v>1616.9582646111417</v>
      </c>
      <c r="AN6" s="549">
        <f t="shared" si="2"/>
        <v>1665.4670125494758</v>
      </c>
      <c r="AO6" s="549">
        <f t="shared" si="2"/>
        <v>1715.4310229259602</v>
      </c>
      <c r="AP6" s="549">
        <f t="shared" si="2"/>
        <v>1766.8939536137391</v>
      </c>
      <c r="AQ6" s="549">
        <f t="shared" si="2"/>
        <v>1819.9007722221513</v>
      </c>
      <c r="AR6" s="549">
        <f t="shared" si="2"/>
        <v>1874.4977953888158</v>
      </c>
      <c r="AS6" s="549">
        <f t="shared" si="2"/>
        <v>1930.7327292504801</v>
      </c>
    </row>
    <row r="7" spans="1:55">
      <c r="A7" s="2"/>
      <c r="B7" s="477"/>
      <c r="C7" s="477"/>
      <c r="D7" s="477"/>
      <c r="E7" s="477"/>
      <c r="F7" s="477"/>
      <c r="G7" s="477"/>
      <c r="H7" s="477"/>
      <c r="I7" s="477"/>
      <c r="J7" s="477"/>
      <c r="K7" s="477"/>
      <c r="L7" s="477"/>
      <c r="M7" s="477"/>
      <c r="N7" s="477"/>
      <c r="O7" s="477"/>
      <c r="P7" s="477"/>
      <c r="Q7" s="477"/>
      <c r="R7" s="477"/>
      <c r="S7" s="477"/>
      <c r="T7" s="477"/>
      <c r="U7" s="477"/>
    </row>
    <row r="8" spans="1:55">
      <c r="A8" s="1" t="s">
        <v>84</v>
      </c>
      <c r="B8" s="478"/>
      <c r="C8" s="478"/>
      <c r="D8" s="478"/>
      <c r="E8" s="478"/>
      <c r="F8" s="478"/>
      <c r="G8" s="478"/>
      <c r="H8" s="478"/>
      <c r="I8" s="478"/>
      <c r="J8" s="478"/>
      <c r="K8" s="478"/>
      <c r="L8" s="478"/>
      <c r="M8" s="478"/>
      <c r="N8" s="478"/>
      <c r="O8" s="478"/>
      <c r="P8" s="478"/>
      <c r="Q8" s="478"/>
      <c r="R8" s="478"/>
      <c r="S8" s="478"/>
      <c r="T8" s="478"/>
      <c r="U8" s="478"/>
      <c r="V8" s="60"/>
      <c r="W8" s="60"/>
      <c r="X8" s="60"/>
    </row>
    <row r="9" spans="1:55">
      <c r="A9" s="385" t="s">
        <v>198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60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55">
      <c r="A10" s="3" t="s">
        <v>85</v>
      </c>
      <c r="B10" s="58">
        <f>'Power Price Assumption'!E32*12*Summary!$C$11</f>
        <v>21984</v>
      </c>
      <c r="C10" s="58">
        <f>'Power Price Assumption'!F32*12*Summary!$C$11</f>
        <v>21984</v>
      </c>
      <c r="D10" s="58">
        <f>'Power Price Assumption'!G32*12*Summary!$C$11</f>
        <v>21984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60"/>
      <c r="W10" s="93">
        <f>SUM(B10:U10)</f>
        <v>65952</v>
      </c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1:55">
      <c r="A11" s="3" t="s">
        <v>317</v>
      </c>
      <c r="B11" s="58">
        <f>Summary!C24*Summary!C26/1000*(1+Summary!$C$48)</f>
        <v>965.88765000000001</v>
      </c>
      <c r="C11" s="58">
        <f>B11*(1+Summary!$C$48)</f>
        <v>994.86427950000007</v>
      </c>
      <c r="D11" s="58">
        <f>C11*(1+Summary!$C$48)</f>
        <v>1024.710207885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60"/>
      <c r="W11" s="93">
        <f>SUM(B11:U11)</f>
        <v>2985.4621373850005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1:55">
      <c r="A12" s="3" t="s">
        <v>213</v>
      </c>
      <c r="B12" s="129">
        <f>Summary!$C$25*Summary!$C$14*Summary!$C$9/1000*(1+Summary!$C$48)</f>
        <v>463.5</v>
      </c>
      <c r="C12" s="93">
        <f>B12*(1+Summary!$C$48)</f>
        <v>477.40500000000003</v>
      </c>
      <c r="D12" s="93">
        <f>C12*(1+Summary!$C$48)</f>
        <v>491.72715000000005</v>
      </c>
      <c r="E12" s="58"/>
      <c r="F12" s="58"/>
      <c r="G12" s="58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0"/>
      <c r="W12" s="93">
        <f>SUM(B12:U12)</f>
        <v>1432.6321499999999</v>
      </c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</row>
    <row r="13" spans="1:55">
      <c r="A13" s="1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60"/>
      <c r="W13" s="93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</row>
    <row r="14" spans="1:55">
      <c r="A14" s="385" t="s">
        <v>233</v>
      </c>
      <c r="B14" s="129"/>
      <c r="W14" s="93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</row>
    <row r="15" spans="1:55" s="64" customFormat="1" ht="12" customHeight="1">
      <c r="A15" s="3" t="s">
        <v>85</v>
      </c>
      <c r="B15" s="21">
        <v>0</v>
      </c>
      <c r="C15" s="21">
        <v>0</v>
      </c>
      <c r="D15" s="21">
        <v>0</v>
      </c>
      <c r="E15" s="21">
        <f>'Power Price Assumption'!H32*Summary!$C$11*12*(1-Summary!$C$29)</f>
        <v>32585.056712663834</v>
      </c>
      <c r="F15" s="21">
        <f>'Power Price Assumption'!I32*Summary!$C$11*12*(1-Summary!$C$29)</f>
        <v>34225.028316952514</v>
      </c>
      <c r="G15" s="21">
        <f>'Power Price Assumption'!J32*Summary!$C$11*12*(1-Summary!$C$29)</f>
        <v>34683.202083131073</v>
      </c>
      <c r="H15" s="21">
        <f>'Power Price Assumption'!K32*Summary!$C$11*12*(1-Summary!$C$29)</f>
        <v>35079.50031021209</v>
      </c>
      <c r="I15" s="21">
        <f>'Power Price Assumption'!L32*Summary!$C$11*12*(1-Summary!$C$29)</f>
        <v>35528.681891813641</v>
      </c>
      <c r="J15" s="21">
        <f>'Power Price Assumption'!M32*Summary!$C$11*12*(1-Summary!$C$29)</f>
        <v>36035.372771085684</v>
      </c>
      <c r="K15" s="21">
        <f>'Power Price Assumption'!N32*Summary!$C$11*12*(1-Summary!$C$29)</f>
        <v>36476.495437766214</v>
      </c>
      <c r="L15" s="21">
        <f>'Power Price Assumption'!O32*Summary!$C$11*12*(1-Summary!$C$29)</f>
        <v>37175.308297731834</v>
      </c>
      <c r="M15" s="21">
        <f>'Power Price Assumption'!P32*Summary!$C$11*12*(1-Summary!$C$29)</f>
        <v>37883.221083401411</v>
      </c>
      <c r="N15" s="21">
        <f>'Power Price Assumption'!Q32*Summary!$C$11*12*(1-Summary!$C$29)</f>
        <v>38600.150858743211</v>
      </c>
      <c r="O15" s="21">
        <f>'Power Price Assumption'!R32*Summary!$C$11*12*(1-Summary!$C$29)</f>
        <v>39326.001521630438</v>
      </c>
      <c r="P15" s="21">
        <f>'Power Price Assumption'!S32*Summary!$C$11*12*(1-Summary!$C$29)</f>
        <v>40060.663088518035</v>
      </c>
      <c r="Q15" s="21">
        <f>'Power Price Assumption'!T32*Summary!$C$11*12*(1-Summary!$C$29)</f>
        <v>40651.186937008039</v>
      </c>
      <c r="R15" s="21">
        <f>'Power Price Assumption'!U32*Summary!$C$11*12*(1-Summary!$C$29)</f>
        <v>41241.08761962779</v>
      </c>
      <c r="S15" s="21">
        <f>'Power Price Assumption'!V32*Summary!$C$11*12*(1-Summary!$C$29)</f>
        <v>41829.796274961402</v>
      </c>
      <c r="T15" s="21">
        <f>'Power Price Assumption'!W32*Summary!$C$11*12*(1-Summary!$C$29)</f>
        <v>42416.710470757367</v>
      </c>
      <c r="U15" s="21">
        <f>'Power Price Assumption'!X32*Summary!$C$11*12*(1-Summary!$C$29)</f>
        <v>43001.192701653628</v>
      </c>
      <c r="W15" s="93">
        <f t="shared" ref="W15:W20" si="3">SUM(B15:U15)</f>
        <v>646798.65637765813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 spans="1:55" s="64" customFormat="1" ht="12" customHeight="1">
      <c r="A16" s="3" t="s">
        <v>86</v>
      </c>
      <c r="B16" s="21">
        <v>0</v>
      </c>
      <c r="C16" s="21">
        <v>0</v>
      </c>
      <c r="D16" s="21">
        <v>0</v>
      </c>
      <c r="E16" s="129">
        <f>1/3*Summary!$C$25*Summary!$C$14*Summary!$C$9/1000*(1+Summary!$C$48)^(E5-2000)+Summary!$C$31*Summary!$C$24*(1+Summary!$C$48)^(E5-2000)/1000</f>
        <v>1203.1688053391188</v>
      </c>
      <c r="F16" s="129">
        <f>1/3*Summary!$C$25*Summary!$C$14*Summary!$C$9/1000*(1+Summary!$C$48)^(F5-2000)+Summary!$C$31*Summary!$C$24*(1+Summary!$C$48)^(F5-2000)/1000</f>
        <v>1239.2638694992922</v>
      </c>
      <c r="G16" s="129">
        <f>1/3*Summary!$C$25*Summary!$C$14*Summary!$C$9/1000*(1+Summary!$C$48)^(G5-2000)+Summary!$C$31*Summary!$C$24*(1+Summary!$C$48)^(G5-2000)/1000</f>
        <v>1276.441785584271</v>
      </c>
      <c r="H16" s="129">
        <f>1/3*Summary!$C$25*Summary!$C$14*Summary!$C$9/1000*(1+Summary!$C$48)^(H5-2000)+Summary!$C$31*Summary!$C$24*(1+Summary!$C$48)^(H5-2000)/1000</f>
        <v>1314.7350391517994</v>
      </c>
      <c r="I16" s="129">
        <f>1/3*Summary!$C$25*Summary!$C$14*Summary!$C$9/1000*(1+Summary!$C$48)^(I5-2000)+Summary!$C$31*Summary!$C$24*(1+Summary!$C$48)^(I5-2000)/1000</f>
        <v>1354.1770903263532</v>
      </c>
      <c r="J16" s="129">
        <f>1/3*Summary!$C$25*Summary!$C$14*Summary!$C$9/1000*(1+Summary!$C$48)^(J5-2000)+Summary!$C$31*Summary!$C$24*(1+Summary!$C$48)^(J5-2000)/1000</f>
        <v>1394.8024030361439</v>
      </c>
      <c r="K16" s="129">
        <f>1/3*Summary!$C$25*Summary!$C$14*Summary!$C$9/1000*(1+Summary!$C$48)^(K5-2000)+Summary!$C$31*Summary!$C$24*(1+Summary!$C$48)^(K5-2000)/1000</f>
        <v>1436.6464751272281</v>
      </c>
      <c r="L16" s="129">
        <f>1/3*Summary!$C$25*Summary!$C$14*Summary!$C$9/1000*(1+Summary!$C$48)^(L5-2000)+Summary!$C$31*Summary!$C$24*(1+Summary!$C$48)^(L5-2000)/1000</f>
        <v>1479.7458693810449</v>
      </c>
      <c r="M16" s="129">
        <f>1/3*Summary!$C$25*Summary!$C$14*Summary!$C$9/1000*(1+Summary!$C$48)^(M5-2000)+Summary!$C$31*Summary!$C$24*(1+Summary!$C$48)^(M5-2000)/1000</f>
        <v>1524.1382454624761</v>
      </c>
      <c r="N16" s="129">
        <f>1/3*Summary!$C$25*Summary!$C$14*Summary!$C$9/1000*(1+Summary!$C$48)^(N5-2000)+Summary!$C$31*Summary!$C$24*(1+Summary!$C$48)^(N5-2000)/1000</f>
        <v>1569.8623928263503</v>
      </c>
      <c r="O16" s="129">
        <f>1/3*Summary!$C$25*Summary!$C$14*Summary!$C$9/1000*(1+Summary!$C$48)^(O5-2000)+Summary!$C$31*Summary!$C$24*(1+Summary!$C$48)^(O5-2000)/1000</f>
        <v>1616.958264611141</v>
      </c>
      <c r="P16" s="129">
        <f>1/3*Summary!$C$25*Summary!$C$14*Summary!$C$9/1000*(1+Summary!$C$48)^(P5-2000)+Summary!$C$31*Summary!$C$24*(1+Summary!$C$48)^(P5-2000)/1000</f>
        <v>1665.4670125494756</v>
      </c>
      <c r="Q16" s="129">
        <f>1/3*Summary!$C$25*Summary!$C$14*Summary!$C$9/1000*(1+Summary!$C$48)^(Q5-2000)+Summary!$C$31*Summary!$C$24*(1+Summary!$C$48)^(Q5-2000)/1000</f>
        <v>1715.4310229259595</v>
      </c>
      <c r="R16" s="129">
        <f>1/3*Summary!$C$25*Summary!$C$14*Summary!$C$9/1000*(1+Summary!$C$48)^(R5-2000)+Summary!$C$31*Summary!$C$24*(1+Summary!$C$48)^(R5-2000)/1000</f>
        <v>1766.8939536137382</v>
      </c>
      <c r="S16" s="129">
        <f>1/3*Summary!$C$25*Summary!$C$14*Summary!$C$9/1000*(1+Summary!$C$48)^(S5-2000)+Summary!$C$31*Summary!$C$24*(1+Summary!$C$48)^(S5-2000)/1000</f>
        <v>1819.9007722221502</v>
      </c>
      <c r="T16" s="129">
        <f>1/3*Summary!$C$25*Summary!$C$14*Summary!$C$9/1000*(1+Summary!$C$48)^(T5-2000)+Summary!$C$31*Summary!$C$24*(1+Summary!$C$48)^(T5-2000)/1000</f>
        <v>1874.4977953888147</v>
      </c>
      <c r="U16" s="129">
        <f>1/3*Summary!$C$25*Summary!$C$14*Summary!$C$9/1000*(1+Summary!$C$48)^(U5-2000)+Summary!$C$31*Summary!$C$24*(1+Summary!$C$48)^(U5-2000)/1000</f>
        <v>1930.7327292504792</v>
      </c>
      <c r="W16" s="93">
        <f t="shared" si="3"/>
        <v>26182.863526295838</v>
      </c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 spans="1:55" s="64" customFormat="1" ht="12" customHeight="1">
      <c r="A17" s="3" t="s">
        <v>87</v>
      </c>
      <c r="B17" s="21">
        <v>0</v>
      </c>
      <c r="C17" s="21">
        <v>0</v>
      </c>
      <c r="D17" s="21">
        <v>0</v>
      </c>
      <c r="E17" s="21">
        <f>Summary!$C$11*Summary!$C$29*Summary!$C$30*Summary!$C$15/1000</f>
        <v>12.503399999999999</v>
      </c>
      <c r="F17" s="21">
        <f>Summary!$C$11*Summary!$C$29*Summary!$C$30*Summary!$C$15/1000</f>
        <v>12.503399999999999</v>
      </c>
      <c r="G17" s="21">
        <f>Summary!$C$11*Summary!$C$29*Summary!$C$30*Summary!$C$15/1000</f>
        <v>12.503399999999999</v>
      </c>
      <c r="H17" s="21">
        <f>Summary!$C$11*Summary!$C$29*Summary!$C$30*Summary!$C$15/1000</f>
        <v>12.503399999999999</v>
      </c>
      <c r="I17" s="21">
        <f>Summary!$C$11*Summary!$C$29*Summary!$C$30*Summary!$C$15/1000</f>
        <v>12.503399999999999</v>
      </c>
      <c r="J17" s="21">
        <f>Summary!$C$11*Summary!$C$29*Summary!$C$30*Summary!$C$15/1000</f>
        <v>12.503399999999999</v>
      </c>
      <c r="K17" s="21">
        <f>Summary!$C$11*Summary!$C$29*Summary!$C$30*Summary!$C$15/1000</f>
        <v>12.503399999999999</v>
      </c>
      <c r="L17" s="21">
        <f>Summary!$C$11*Summary!$C$29*Summary!$C$30*Summary!$C$15/1000</f>
        <v>12.503399999999999</v>
      </c>
      <c r="M17" s="21">
        <f>Summary!$C$11*Summary!$C$29*Summary!$C$30*Summary!$C$15/1000</f>
        <v>12.503399999999999</v>
      </c>
      <c r="N17" s="21">
        <f>Summary!$C$11*Summary!$C$29*Summary!$C$30*Summary!$C$15/1000</f>
        <v>12.503399999999999</v>
      </c>
      <c r="O17" s="21">
        <f>Summary!$C$11*Summary!$C$29*Summary!$C$30*Summary!$C$15/1000</f>
        <v>12.503399999999999</v>
      </c>
      <c r="P17" s="21">
        <f>Summary!$C$11*Summary!$C$29*Summary!$C$30*Summary!$C$15/1000</f>
        <v>12.503399999999999</v>
      </c>
      <c r="Q17" s="21">
        <f>Summary!$C$11*Summary!$C$29*Summary!$C$30*Summary!$C$15/1000</f>
        <v>12.503399999999999</v>
      </c>
      <c r="R17" s="21">
        <f>Summary!$C$11*Summary!$C$29*Summary!$C$30*Summary!$C$15/1000</f>
        <v>12.503399999999999</v>
      </c>
      <c r="S17" s="21">
        <f>Summary!$C$11*Summary!$C$29*Summary!$C$30*Summary!$C$15/1000</f>
        <v>12.503399999999999</v>
      </c>
      <c r="T17" s="21">
        <f>Summary!$C$11*Summary!$C$29*Summary!$C$30*Summary!$C$15/1000</f>
        <v>12.503399999999999</v>
      </c>
      <c r="U17" s="21">
        <f>Summary!$C$11*Summary!$C$29*Summary!$C$30*Summary!$C$15/1000</f>
        <v>12.503399999999999</v>
      </c>
      <c r="W17" s="93">
        <f t="shared" si="3"/>
        <v>212.55779999999999</v>
      </c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 spans="1:55" s="64" customFormat="1" ht="12" customHeight="1">
      <c r="A18" s="3"/>
      <c r="W18" s="93">
        <f t="shared" si="3"/>
        <v>0</v>
      </c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</row>
    <row r="19" spans="1:55" s="64" customFormat="1" ht="12" customHeight="1">
      <c r="A19" s="3" t="s">
        <v>254</v>
      </c>
      <c r="B19" s="206">
        <f>(SUM(B10:B17)-SUM(B23:B32))*Assumptions!$B$32/4</f>
        <v>234.30831245389504</v>
      </c>
      <c r="C19" s="206">
        <f>(SUM(C10:C17)-SUM(C23:C32))*Assumptions!$B$32/4</f>
        <v>232.98484003639749</v>
      </c>
      <c r="D19" s="206">
        <f>(SUM(D10:D17)-SUM(D23:D32))*Assumptions!$B$32/4</f>
        <v>232.21985491280836</v>
      </c>
      <c r="E19" s="206">
        <f>(SUM(E10:E17)-SUM(E23:E32))*Assumptions!$B$32/4</f>
        <v>355.33343457332472</v>
      </c>
      <c r="F19" s="206">
        <f>(SUM(F10:F17)-SUM(F23:F32))*Assumptions!$B$32/4</f>
        <v>374.58254065784774</v>
      </c>
      <c r="G19" s="206">
        <f>(SUM(G10:G17)-SUM(G23:G32))*Assumptions!$B$32/4</f>
        <v>379.04880379922537</v>
      </c>
      <c r="H19" s="206">
        <f>(SUM(H10:H17)-SUM(H23:H32))*Assumptions!$B$32/4</f>
        <v>382.71130598557619</v>
      </c>
      <c r="I19" s="206">
        <f>(SUM(I10:I17)-SUM(I23:I32))*Assumptions!$B$32/4</f>
        <v>387.0037873243532</v>
      </c>
      <c r="J19" s="206">
        <f>(SUM(J10:J17)-SUM(J23:J32))*Assumptions!$B$32/4</f>
        <v>391.97265549626309</v>
      </c>
      <c r="K19" s="206">
        <f>(SUM(K10:K17)-SUM(K23:K32))*Assumptions!$B$32/4</f>
        <v>396.08325364914043</v>
      </c>
      <c r="L19" s="206">
        <f>(SUM(L10:L17)-SUM(L23:L32))*Assumptions!$B$32/4</f>
        <v>403.48258100476392</v>
      </c>
      <c r="M19" s="206">
        <f>(SUM(M10:M17)-SUM(M23:M32))*Assumptions!$B$32/4</f>
        <v>410.96969607115528</v>
      </c>
      <c r="N19" s="206">
        <f>(SUM(N10:N17)-SUM(N23:N32))*Assumptions!$B$32/4</f>
        <v>418.54511160776428</v>
      </c>
      <c r="O19" s="206">
        <f>(SUM(O10:O17)-SUM(O23:O32))*Assumptions!$B$32/4</f>
        <v>426.20683785645599</v>
      </c>
      <c r="P19" s="206">
        <f>(SUM(P10:P17)-SUM(P23:P32))*Assumptions!$B$32/4</f>
        <v>433.29786993874262</v>
      </c>
      <c r="Q19" s="206">
        <f>(SUM(Q10:Q17)-SUM(Q23:Q32))*Assumptions!$B$32/4</f>
        <v>439.04440235147399</v>
      </c>
      <c r="R19" s="206">
        <f>(SUM(R10:R17)-SUM(R23:R32))*Assumptions!$B$32/4</f>
        <v>444.76130872187991</v>
      </c>
      <c r="S19" s="206">
        <f>(SUM(S10:S17)-SUM(S23:S32))*Assumptions!$B$32/4</f>
        <v>450.50423646665644</v>
      </c>
      <c r="T19" s="206">
        <f>(SUM(T10:T17)-SUM(T23:T32))*Assumptions!$B$32/4</f>
        <v>456.20172076651909</v>
      </c>
      <c r="U19" s="206">
        <f>(SUM(U10:U17)-SUM(U23:U32))*Assumptions!$B$32/4</f>
        <v>461.96300067489966</v>
      </c>
      <c r="W19" s="93">
        <f t="shared" si="3"/>
        <v>7711.2255543491419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 spans="1:55" s="64" customFormat="1" ht="12" customHeight="1">
      <c r="A20" s="3" t="s">
        <v>88</v>
      </c>
      <c r="B20" s="58">
        <f>SUM(B10:B19)</f>
        <v>23647.695962453894</v>
      </c>
      <c r="C20" s="58">
        <f t="shared" ref="C20:U20" si="4">SUM(C10:C19)</f>
        <v>23689.254119536399</v>
      </c>
      <c r="D20" s="58">
        <f t="shared" si="4"/>
        <v>23732.657212797807</v>
      </c>
      <c r="E20" s="58">
        <f t="shared" si="4"/>
        <v>34156.062352576278</v>
      </c>
      <c r="F20" s="58">
        <f t="shared" si="4"/>
        <v>35851.378127109652</v>
      </c>
      <c r="G20" s="58">
        <f t="shared" si="4"/>
        <v>36351.196072514569</v>
      </c>
      <c r="H20" s="58">
        <f t="shared" si="4"/>
        <v>36789.450055349465</v>
      </c>
      <c r="I20" s="58">
        <f t="shared" si="4"/>
        <v>37282.366169464352</v>
      </c>
      <c r="J20" s="58">
        <f t="shared" si="4"/>
        <v>37834.651229618088</v>
      </c>
      <c r="K20" s="58">
        <f t="shared" si="4"/>
        <v>38321.728566542588</v>
      </c>
      <c r="L20" s="58">
        <f t="shared" si="4"/>
        <v>39071.040148117645</v>
      </c>
      <c r="M20" s="58">
        <f t="shared" si="4"/>
        <v>39830.832424935041</v>
      </c>
      <c r="N20" s="58">
        <f t="shared" si="4"/>
        <v>40601.061763177328</v>
      </c>
      <c r="O20" s="58">
        <f t="shared" si="4"/>
        <v>41381.670024098035</v>
      </c>
      <c r="P20" s="58">
        <f t="shared" si="4"/>
        <v>42171.931371006256</v>
      </c>
      <c r="Q20" s="58">
        <f t="shared" si="4"/>
        <v>42818.165762285469</v>
      </c>
      <c r="R20" s="58">
        <f t="shared" si="4"/>
        <v>43465.246281963409</v>
      </c>
      <c r="S20" s="58">
        <f t="shared" si="4"/>
        <v>44112.704683650212</v>
      </c>
      <c r="T20" s="58">
        <f t="shared" si="4"/>
        <v>44759.913386912704</v>
      </c>
      <c r="U20" s="58">
        <f t="shared" si="4"/>
        <v>45406.391831579007</v>
      </c>
      <c r="W20" s="93">
        <f t="shared" si="3"/>
        <v>751275.39754568809</v>
      </c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</row>
    <row r="21" spans="1:55" s="64" customFormat="1" ht="12" customHeight="1">
      <c r="A21" s="4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W21" s="93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</row>
    <row r="22" spans="1:55">
      <c r="A22" s="1" t="s">
        <v>89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W22" s="93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</row>
    <row r="23" spans="1:55">
      <c r="A23" s="3" t="s">
        <v>63</v>
      </c>
      <c r="B23" s="129">
        <f>Summary!C51*(1+Summary!$C$48)</f>
        <v>1610.5404141000004</v>
      </c>
      <c r="C23" s="93">
        <f>B23*(1+Summary!$C$48)</f>
        <v>1658.8566265230004</v>
      </c>
      <c r="D23" s="93">
        <f>C23*(1+Summary!$C$48)</f>
        <v>1708.6223253186904</v>
      </c>
      <c r="E23" s="93">
        <f>D23*(1+Summary!$C$48)</f>
        <v>1759.8809950782511</v>
      </c>
      <c r="F23" s="93">
        <f>E23*(1+Summary!$C$48)</f>
        <v>1812.6774249305986</v>
      </c>
      <c r="G23" s="93">
        <f>F23*(1+Summary!$C$48)</f>
        <v>1867.0577476785165</v>
      </c>
      <c r="H23" s="93">
        <f>G23*(1+Summary!$C$48)</f>
        <v>1923.0694801088721</v>
      </c>
      <c r="I23" s="93">
        <f>H23*(1+Summary!$C$48)</f>
        <v>1980.7615645121382</v>
      </c>
      <c r="J23" s="93">
        <f>I23*(1+Summary!$C$48)</f>
        <v>2040.1844114475025</v>
      </c>
      <c r="K23" s="93">
        <f>J23*(1+Summary!$C$48)</f>
        <v>2101.3899437909276</v>
      </c>
      <c r="L23" s="93">
        <f>K23*(1+Summary!$C$48)</f>
        <v>2164.4316421046556</v>
      </c>
      <c r="M23" s="93">
        <f>L23*(1+Summary!$C$48)</f>
        <v>2229.3645913677951</v>
      </c>
      <c r="N23" s="93">
        <f>M23*(1+Summary!$C$48)</f>
        <v>2296.245529108829</v>
      </c>
      <c r="O23" s="93">
        <f>N23*(1+Summary!$C$48)</f>
        <v>2365.1328949820941</v>
      </c>
      <c r="P23" s="93">
        <f>O23*(1+Summary!$C$48)</f>
        <v>2436.0868818315571</v>
      </c>
      <c r="Q23" s="93">
        <f>P23*(1+Summary!$C$48)</f>
        <v>2509.169488286504</v>
      </c>
      <c r="R23" s="93">
        <f>Q23*(1+Summary!$C$48)</f>
        <v>2584.4445729350991</v>
      </c>
      <c r="S23" s="93">
        <f>R23*(1+Summary!$C$48)</f>
        <v>2661.977910123152</v>
      </c>
      <c r="T23" s="93">
        <f>S23*(1+Summary!$C$48)</f>
        <v>2741.8372474268467</v>
      </c>
      <c r="U23" s="93">
        <f>T23*(1+Summary!$C$48)</f>
        <v>2824.0923648496523</v>
      </c>
      <c r="W23" s="93">
        <f t="shared" ref="W23:W33" si="5">SUM(B23:U23)</f>
        <v>43275.824056504687</v>
      </c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</row>
    <row r="24" spans="1:55">
      <c r="A24" s="3" t="s">
        <v>64</v>
      </c>
      <c r="B24" s="129">
        <f>Summary!$C$52*(1+Summary!$C$48)</f>
        <v>965.88765000000001</v>
      </c>
      <c r="C24" s="129">
        <f>B24*(1+Summary!$C$48)</f>
        <v>994.86427950000007</v>
      </c>
      <c r="D24" s="129">
        <f>C24*(1+Summary!$C$48)</f>
        <v>1024.710207885</v>
      </c>
      <c r="E24" s="129">
        <f>Summary!$C$31*Summary!$C$45*(1+Summary!$C$48)^(E5-2000)/1000</f>
        <v>1034.3424838391188</v>
      </c>
      <c r="F24" s="129">
        <f>E24*(1+Summary!$C$48)</f>
        <v>1065.3727583542925</v>
      </c>
      <c r="G24" s="129">
        <f>F24*(1+Summary!$C$48)</f>
        <v>1097.3339411049212</v>
      </c>
      <c r="H24" s="129">
        <f>G24*(1+Summary!$C$48)</f>
        <v>1130.2539593380689</v>
      </c>
      <c r="I24" s="129">
        <f>H24*(1+Summary!$C$48)</f>
        <v>1164.1615781182109</v>
      </c>
      <c r="J24" s="129">
        <f>I24*(1+Summary!$C$48)</f>
        <v>1199.0864254617572</v>
      </c>
      <c r="K24" s="129">
        <f>J24*(1+Summary!$C$48)</f>
        <v>1235.0590182256101</v>
      </c>
      <c r="L24" s="129">
        <f>K24*(1+Summary!$C$48)</f>
        <v>1272.1107887723783</v>
      </c>
      <c r="M24" s="129">
        <f>L24*(1+Summary!$C$48)</f>
        <v>1310.2741124355498</v>
      </c>
      <c r="N24" s="129">
        <f>M24*(1+Summary!$C$48)</f>
        <v>1349.5823358086163</v>
      </c>
      <c r="O24" s="129">
        <f>N24*(1+Summary!$C$48)</f>
        <v>1390.0698058828748</v>
      </c>
      <c r="P24" s="129">
        <f>O24*(1+Summary!$C$48)</f>
        <v>1431.7719000593611</v>
      </c>
      <c r="Q24" s="129">
        <f>P24*(1+Summary!$C$48)</f>
        <v>1474.725057061142</v>
      </c>
      <c r="R24" s="129">
        <f>Q24*(1+Summary!$C$48)</f>
        <v>1518.9668087729763</v>
      </c>
      <c r="S24" s="129">
        <f>R24*(1+Summary!$C$48)</f>
        <v>1564.5358130361656</v>
      </c>
      <c r="T24" s="129">
        <f>S24*(1+Summary!$C$48)</f>
        <v>1611.4718874272505</v>
      </c>
      <c r="U24" s="129">
        <f>T24*(1+Summary!$C$48)</f>
        <v>1659.8160440500681</v>
      </c>
      <c r="W24" s="93">
        <f t="shared" si="5"/>
        <v>25494.396855133364</v>
      </c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</row>
    <row r="25" spans="1:55">
      <c r="A25" s="3" t="s">
        <v>65</v>
      </c>
      <c r="B25" s="129">
        <f>Summary!$C$53*Summary!$C$14*Summary!$C$9/1000*(1+Summary!$C$48)</f>
        <v>463.5</v>
      </c>
      <c r="C25" s="93">
        <f>B25*(1+Summary!$C$48)</f>
        <v>477.40500000000003</v>
      </c>
      <c r="D25" s="93">
        <f>C25*(1+Summary!$C$48)</f>
        <v>491.72715000000005</v>
      </c>
      <c r="E25" s="93">
        <f>D25*(1+Summary!$C$48)</f>
        <v>506.47896450000007</v>
      </c>
      <c r="F25" s="93">
        <f>E25*(1+Summary!$C$48)</f>
        <v>521.67333343500013</v>
      </c>
      <c r="G25" s="93">
        <f>F25*(1+Summary!$C$48)</f>
        <v>537.32353343805016</v>
      </c>
      <c r="H25" s="93">
        <f>G25*(1+Summary!$C$48)</f>
        <v>553.44323944119174</v>
      </c>
      <c r="I25" s="93">
        <f>H25*(1+Summary!$C$48)</f>
        <v>570.04653662442752</v>
      </c>
      <c r="J25" s="93">
        <f>I25*(1+Summary!$C$48)</f>
        <v>587.14793272316035</v>
      </c>
      <c r="K25" s="93">
        <f>J25*(1+Summary!$C$48)</f>
        <v>604.76237070485513</v>
      </c>
      <c r="L25" s="93">
        <f>K25*(1+Summary!$C$48)</f>
        <v>622.90524182600075</v>
      </c>
      <c r="M25" s="93">
        <f>L25*(1+Summary!$C$48)</f>
        <v>641.59239908078075</v>
      </c>
      <c r="N25" s="93">
        <f>M25*(1+Summary!$C$48)</f>
        <v>660.84017105320424</v>
      </c>
      <c r="O25" s="93">
        <f>N25*(1+Summary!$C$48)</f>
        <v>680.66537618480038</v>
      </c>
      <c r="P25" s="93">
        <f>O25*(1+Summary!$C$48)</f>
        <v>701.08533747034437</v>
      </c>
      <c r="Q25" s="93">
        <f>P25*(1+Summary!$C$48)</f>
        <v>722.11789759445469</v>
      </c>
      <c r="R25" s="93">
        <f>Q25*(1+Summary!$C$48)</f>
        <v>743.78143452228835</v>
      </c>
      <c r="S25" s="93">
        <f>R25*(1+Summary!$C$48)</f>
        <v>766.09487755795703</v>
      </c>
      <c r="T25" s="93">
        <f>S25*(1+Summary!$C$48)</f>
        <v>789.07772388469573</v>
      </c>
      <c r="U25" s="93">
        <f>T25*(1+Summary!$C$48)</f>
        <v>812.75005560123657</v>
      </c>
      <c r="W25" s="93">
        <f t="shared" si="5"/>
        <v>12454.418575642445</v>
      </c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</row>
    <row r="26" spans="1:55">
      <c r="A26" s="3" t="s">
        <v>158</v>
      </c>
      <c r="B26" s="129">
        <f>Summary!C54*(1+Summary!$C$48)</f>
        <v>213.22957000000002</v>
      </c>
      <c r="C26" s="93">
        <f>B26*(1+Summary!$C$48)</f>
        <v>219.62645710000004</v>
      </c>
      <c r="D26" s="93">
        <f>C26*(1+Summary!$C$48)</f>
        <v>226.21525081300004</v>
      </c>
      <c r="E26" s="93">
        <f>D26*(1+Summary!$C$48)</f>
        <v>233.00170833739006</v>
      </c>
      <c r="F26" s="93">
        <f>E26*(1+Summary!$C$48)</f>
        <v>239.99175958751175</v>
      </c>
      <c r="G26" s="93">
        <f>F26*(1+Summary!$C$48)</f>
        <v>247.19151237513711</v>
      </c>
      <c r="H26" s="93">
        <f>G26*(1+Summary!$C$48)</f>
        <v>254.60725774639124</v>
      </c>
      <c r="I26" s="93">
        <f>H26*(1+Summary!$C$48)</f>
        <v>262.24547547878296</v>
      </c>
      <c r="J26" s="93">
        <f>I26*(1+Summary!$C$48)</f>
        <v>270.11283974314648</v>
      </c>
      <c r="K26" s="93">
        <f>J26*(1+Summary!$C$48)</f>
        <v>278.21622493544089</v>
      </c>
      <c r="L26" s="93">
        <f>K26*(1+Summary!$C$48)</f>
        <v>286.56271168350412</v>
      </c>
      <c r="M26" s="93">
        <f>L26*(1+Summary!$C$48)</f>
        <v>295.15959303400928</v>
      </c>
      <c r="N26" s="93">
        <f>M26*(1+Summary!$C$48)</f>
        <v>304.01438082502955</v>
      </c>
      <c r="O26" s="93">
        <f>N26*(1+Summary!$C$48)</f>
        <v>313.13481224978045</v>
      </c>
      <c r="P26" s="93">
        <f>O26*(1+Summary!$C$48)</f>
        <v>322.5288566172739</v>
      </c>
      <c r="Q26" s="93">
        <f>P26*(1+Summary!$C$48)</f>
        <v>332.20472231579214</v>
      </c>
      <c r="R26" s="93">
        <f>Q26*(1+Summary!$C$48)</f>
        <v>342.1708639852659</v>
      </c>
      <c r="S26" s="93">
        <f>R26*(1+Summary!$C$48)</f>
        <v>352.43598990482388</v>
      </c>
      <c r="T26" s="93">
        <f>S26*(1+Summary!$C$48)</f>
        <v>363.00906960196863</v>
      </c>
      <c r="U26" s="93">
        <f>T26*(1+Summary!$C$48)</f>
        <v>373.89934169002771</v>
      </c>
      <c r="W26" s="93">
        <f t="shared" si="5"/>
        <v>5729.5583980242764</v>
      </c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</row>
    <row r="27" spans="1:55">
      <c r="A27" s="3" t="s">
        <v>159</v>
      </c>
      <c r="B27" s="129">
        <f>Summary!C55*(1+Summary!$C$48)</f>
        <v>444.73872166666666</v>
      </c>
      <c r="C27" s="93">
        <f>B27*(1+Summary!$C$48)</f>
        <v>458.0808833166667</v>
      </c>
      <c r="D27" s="93">
        <f>C27*(1+Summary!$C$48)</f>
        <v>471.82330981616673</v>
      </c>
      <c r="E27" s="93">
        <f>D27*(1+Summary!$C$48)</f>
        <v>485.97800911065173</v>
      </c>
      <c r="F27" s="93">
        <f>E27*(1+Summary!$C$48)</f>
        <v>500.55734938397131</v>
      </c>
      <c r="G27" s="93">
        <f>F27*(1+Summary!$C$48)</f>
        <v>515.57406986549051</v>
      </c>
      <c r="H27" s="93">
        <f>G27*(1+Summary!$C$48)</f>
        <v>531.04129196145527</v>
      </c>
      <c r="I27" s="93">
        <f>H27*(1+Summary!$C$48)</f>
        <v>546.97253072029889</v>
      </c>
      <c r="J27" s="93">
        <f>I27*(1+Summary!$C$48)</f>
        <v>563.38170664190784</v>
      </c>
      <c r="K27" s="93">
        <f>J27*(1+Summary!$C$48)</f>
        <v>580.28315784116512</v>
      </c>
      <c r="L27" s="93">
        <f>K27*(1+Summary!$C$48)</f>
        <v>597.69165257640009</v>
      </c>
      <c r="M27" s="93">
        <f>L27*(1+Summary!$C$48)</f>
        <v>615.62240215369206</v>
      </c>
      <c r="N27" s="93">
        <f>M27*(1+Summary!$C$48)</f>
        <v>634.09107421830288</v>
      </c>
      <c r="O27" s="93">
        <f>N27*(1+Summary!$C$48)</f>
        <v>653.113806444852</v>
      </c>
      <c r="P27" s="93">
        <f>O27*(1+Summary!$C$48)</f>
        <v>672.70722063819755</v>
      </c>
      <c r="Q27" s="93">
        <f>P27*(1+Summary!$C$48)</f>
        <v>692.88843725734353</v>
      </c>
      <c r="R27" s="93">
        <f>Q27*(1+Summary!$C$48)</f>
        <v>713.67509037506386</v>
      </c>
      <c r="S27" s="93">
        <f>R27*(1+Summary!$C$48)</f>
        <v>735.08534308631579</v>
      </c>
      <c r="T27" s="93">
        <f>S27*(1+Summary!$C$48)</f>
        <v>757.13790337890532</v>
      </c>
      <c r="U27" s="93">
        <f>T27*(1+Summary!$C$48)</f>
        <v>779.85204048027254</v>
      </c>
      <c r="W27" s="93">
        <f t="shared" si="5"/>
        <v>11950.296000933786</v>
      </c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</row>
    <row r="28" spans="1:55">
      <c r="A28" s="3" t="s">
        <v>289</v>
      </c>
      <c r="B28" s="527">
        <v>325</v>
      </c>
      <c r="C28" s="527">
        <v>375</v>
      </c>
      <c r="D28" s="527">
        <v>375</v>
      </c>
      <c r="E28" s="527">
        <v>375</v>
      </c>
      <c r="F28" s="527">
        <v>375</v>
      </c>
      <c r="G28" s="527">
        <v>375</v>
      </c>
      <c r="H28" s="527">
        <v>375</v>
      </c>
      <c r="I28" s="527">
        <v>375</v>
      </c>
      <c r="J28" s="527">
        <v>375</v>
      </c>
      <c r="K28" s="527">
        <v>375</v>
      </c>
      <c r="L28" s="527">
        <v>375</v>
      </c>
      <c r="M28" s="527">
        <v>375</v>
      </c>
      <c r="N28" s="527">
        <v>375</v>
      </c>
      <c r="O28" s="527">
        <v>375</v>
      </c>
      <c r="P28" s="527">
        <v>427.64830117962356</v>
      </c>
      <c r="Q28" s="527">
        <v>436.20126720321605</v>
      </c>
      <c r="R28" s="527">
        <v>444.92529254728038</v>
      </c>
      <c r="S28" s="527">
        <v>453.82379839822596</v>
      </c>
      <c r="T28" s="527">
        <v>462.9002743661905</v>
      </c>
      <c r="U28" s="527">
        <f>T28</f>
        <v>462.9002743661905</v>
      </c>
      <c r="W28" s="93">
        <f t="shared" si="5"/>
        <v>7888.3992080607268</v>
      </c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</row>
    <row r="29" spans="1:55">
      <c r="A29" s="3" t="s">
        <v>66</v>
      </c>
      <c r="B29" s="129">
        <f>Summary!C57*(1+Summary!$C$48)</f>
        <v>0</v>
      </c>
      <c r="C29" s="93">
        <f>B29*(1+Summary!$C$48)</f>
        <v>0</v>
      </c>
      <c r="D29" s="93">
        <f>C29*(1+Summary!$C$48)</f>
        <v>0</v>
      </c>
      <c r="E29" s="93">
        <f>D29*(1+Summary!$C$48)</f>
        <v>0</v>
      </c>
      <c r="F29" s="93">
        <f>E29*(1+Summary!$C$48)</f>
        <v>0</v>
      </c>
      <c r="G29" s="93">
        <f>F29*(1+Summary!$C$48)</f>
        <v>0</v>
      </c>
      <c r="H29" s="93">
        <f>G29*(1+Summary!$C$48)</f>
        <v>0</v>
      </c>
      <c r="I29" s="93">
        <f>H29*(1+Summary!$C$48)</f>
        <v>0</v>
      </c>
      <c r="J29" s="93">
        <f>I29*(1+Summary!$C$48)</f>
        <v>0</v>
      </c>
      <c r="K29" s="93">
        <f>J29*(1+Summary!$C$48)</f>
        <v>0</v>
      </c>
      <c r="L29" s="93">
        <f>K29*(1+Summary!$C$48)</f>
        <v>0</v>
      </c>
      <c r="M29" s="93">
        <f>L29*(1+Summary!$C$48)</f>
        <v>0</v>
      </c>
      <c r="N29" s="93">
        <f>M29*(1+Summary!$C$48)</f>
        <v>0</v>
      </c>
      <c r="O29" s="93">
        <f>N29*(1+Summary!$C$48)</f>
        <v>0</v>
      </c>
      <c r="P29" s="93">
        <f>O29*(1+Summary!$C$48)</f>
        <v>0</v>
      </c>
      <c r="Q29" s="93">
        <f>P29*(1+Summary!$C$48)</f>
        <v>0</v>
      </c>
      <c r="R29" s="93">
        <f>Q29*(1+Summary!$C$48)</f>
        <v>0</v>
      </c>
      <c r="S29" s="93">
        <f>R29*(1+Summary!$C$48)</f>
        <v>0</v>
      </c>
      <c r="T29" s="93">
        <f>S29*(1+Summary!$C$48)</f>
        <v>0</v>
      </c>
      <c r="U29" s="93">
        <f>T29*(1+Summary!$C$48)</f>
        <v>0</v>
      </c>
      <c r="W29" s="93">
        <f t="shared" si="5"/>
        <v>0</v>
      </c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</row>
    <row r="30" spans="1:55" s="18" customFormat="1">
      <c r="A30" s="3" t="s">
        <v>214</v>
      </c>
      <c r="B30" s="129">
        <v>0</v>
      </c>
      <c r="C30" s="93">
        <v>0</v>
      </c>
      <c r="D30" s="93">
        <v>0</v>
      </c>
      <c r="E30" s="93">
        <f>Summary!C46*Summary!C11*12</f>
        <v>384.72</v>
      </c>
      <c r="F30" s="93">
        <f>E30*(1+Summary!$C$48)</f>
        <v>396.26160000000004</v>
      </c>
      <c r="G30" s="93">
        <f>F30*(1+Summary!$C$48)</f>
        <v>408.14944800000006</v>
      </c>
      <c r="H30" s="93">
        <f>G30*(1+Summary!$C$48)</f>
        <v>420.39393144000007</v>
      </c>
      <c r="I30" s="93">
        <f>H30*(1+Summary!$C$48)</f>
        <v>433.00574938320011</v>
      </c>
      <c r="J30" s="93">
        <f>I30*(1+Summary!$C$48)</f>
        <v>445.99592186469613</v>
      </c>
      <c r="K30" s="93">
        <f>J30*(1+Summary!$C$48)</f>
        <v>459.37579952063703</v>
      </c>
      <c r="L30" s="93">
        <f>K30*(1+Summary!$C$48)</f>
        <v>473.15707350625615</v>
      </c>
      <c r="M30" s="93">
        <f>L30*(1+Summary!$C$48)</f>
        <v>487.35178571144382</v>
      </c>
      <c r="N30" s="93">
        <f>M30*(1+Summary!$C$48)</f>
        <v>501.97233928278717</v>
      </c>
      <c r="O30" s="93">
        <f>N30*(1+Summary!$C$48)</f>
        <v>517.03150946127084</v>
      </c>
      <c r="P30" s="93">
        <f>O30*(1+Summary!$C$48)</f>
        <v>532.54245474510901</v>
      </c>
      <c r="Q30" s="93">
        <f>P30*(1+Summary!$C$48)</f>
        <v>548.51872838746226</v>
      </c>
      <c r="R30" s="93">
        <f>Q30*(1+Summary!$C$48)</f>
        <v>564.97429023908614</v>
      </c>
      <c r="S30" s="93">
        <f>R30*(1+Summary!$C$48)</f>
        <v>581.9235189462587</v>
      </c>
      <c r="T30" s="93">
        <f>S30*(1+Summary!$C$48)</f>
        <v>599.38122451464642</v>
      </c>
      <c r="U30" s="93">
        <f>T30*(1+Summary!$C$48)</f>
        <v>617.36266125008581</v>
      </c>
      <c r="V30" s="93"/>
      <c r="W30" s="93">
        <f t="shared" si="5"/>
        <v>8372.1180362529394</v>
      </c>
    </row>
    <row r="31" spans="1:55" s="18" customFormat="1">
      <c r="A31" s="3" t="s">
        <v>37</v>
      </c>
      <c r="B31" s="148">
        <f>IS!B31*Allocation!$F$7</f>
        <v>275.68574732485922</v>
      </c>
      <c r="C31" s="148">
        <f>IS!C31*Allocation!$F$7</f>
        <v>274.95592544641079</v>
      </c>
      <c r="D31" s="148">
        <f>IS!D31*Allocation!$F$7</f>
        <v>273.59429329349899</v>
      </c>
      <c r="E31" s="148">
        <f>IS!E31*Allocation!$F$7</f>
        <v>252.3483459134394</v>
      </c>
      <c r="F31" s="148">
        <f>IS!F31*Allocation!$F$7</f>
        <v>252.3483459134394</v>
      </c>
      <c r="G31" s="148">
        <f>IS!G31*Allocation!$F$7</f>
        <v>252.3483459134394</v>
      </c>
      <c r="H31" s="148">
        <f>IS!H31*Allocation!$F$7</f>
        <v>252.3483459134394</v>
      </c>
      <c r="I31" s="148">
        <f>IS!I31*Allocation!$F$7</f>
        <v>252.3483459134394</v>
      </c>
      <c r="J31" s="148">
        <f>IS!J31*Allocation!$F$7</f>
        <v>252.3483459134394</v>
      </c>
      <c r="K31" s="148">
        <f>IS!K31*Allocation!$F$7</f>
        <v>252.3483459134394</v>
      </c>
      <c r="L31" s="148">
        <f>IS!L31*Allocation!$F$7</f>
        <v>252.3483459134394</v>
      </c>
      <c r="M31" s="148">
        <f>IS!M31*Allocation!$F$7</f>
        <v>252.3483459134394</v>
      </c>
      <c r="N31" s="148">
        <f>IS!N31*Allocation!$F$7</f>
        <v>252.3483459134394</v>
      </c>
      <c r="O31" s="148">
        <f>IS!O31*Allocation!$F$7</f>
        <v>252.3483459134394</v>
      </c>
      <c r="P31" s="148">
        <f>IS!P31*Allocation!$F$7</f>
        <v>252.3483459134394</v>
      </c>
      <c r="Q31" s="148">
        <f>IS!Q31*Allocation!$F$7</f>
        <v>252.3483459134394</v>
      </c>
      <c r="R31" s="148">
        <f>IS!R31*Allocation!$F$7</f>
        <v>252.3483459134394</v>
      </c>
      <c r="S31" s="148">
        <f>IS!S31*Allocation!$F$7</f>
        <v>252.3483459134394</v>
      </c>
      <c r="T31" s="148">
        <f>IS!T31*Allocation!$F$7</f>
        <v>252.3483459134394</v>
      </c>
      <c r="U31" s="148">
        <f>IS!U31*Allocation!$F$7</f>
        <v>252.3483459134394</v>
      </c>
      <c r="V31" s="93"/>
      <c r="W31" s="93">
        <f t="shared" si="5"/>
        <v>5114.1578465932407</v>
      </c>
    </row>
    <row r="32" spans="1:55" s="18" customFormat="1">
      <c r="A32" s="3" t="s">
        <v>283</v>
      </c>
      <c r="B32" s="149">
        <f>B93</f>
        <v>370.14055059687178</v>
      </c>
      <c r="C32" s="149">
        <f t="shared" ref="C32:U32" si="6">C93</f>
        <v>358.69290470212314</v>
      </c>
      <c r="D32" s="149">
        <f t="shared" si="6"/>
        <v>351.15642773397605</v>
      </c>
      <c r="E32" s="149">
        <f t="shared" si="6"/>
        <v>342.30364535812566</v>
      </c>
      <c r="F32" s="149">
        <f t="shared" si="6"/>
        <v>346.30976221917751</v>
      </c>
      <c r="G32" s="149">
        <f t="shared" si="6"/>
        <v>348.26436640176291</v>
      </c>
      <c r="H32" s="149">
        <f t="shared" si="6"/>
        <v>349.67676456837864</v>
      </c>
      <c r="I32" s="149">
        <f t="shared" si="6"/>
        <v>350.51761544124105</v>
      </c>
      <c r="J32" s="149">
        <f t="shared" si="6"/>
        <v>351.60855062517157</v>
      </c>
      <c r="K32" s="149">
        <f t="shared" si="6"/>
        <v>352.55016003013867</v>
      </c>
      <c r="L32" s="149">
        <f t="shared" si="6"/>
        <v>344.74363034913767</v>
      </c>
      <c r="M32" s="149">
        <f t="shared" si="6"/>
        <v>335.57381347476195</v>
      </c>
      <c r="N32" s="149">
        <f t="shared" si="6"/>
        <v>324.81354673820817</v>
      </c>
      <c r="O32" s="149">
        <f t="shared" si="6"/>
        <v>312.41960660598454</v>
      </c>
      <c r="P32" s="149">
        <f t="shared" si="6"/>
        <v>298.0846075131999</v>
      </c>
      <c r="Q32" s="149">
        <f t="shared" si="6"/>
        <v>287.39522779672996</v>
      </c>
      <c r="R32" s="149">
        <f t="shared" si="6"/>
        <v>274.29357620064229</v>
      </c>
      <c r="S32" s="149">
        <f t="shared" si="6"/>
        <v>253.63593288469863</v>
      </c>
      <c r="T32" s="149">
        <f t="shared" si="6"/>
        <v>230.41032831071789</v>
      </c>
      <c r="U32" s="149">
        <f t="shared" si="6"/>
        <v>204.36764871116134</v>
      </c>
      <c r="V32" s="93"/>
      <c r="W32" s="93">
        <f t="shared" si="5"/>
        <v>6386.9586662622096</v>
      </c>
    </row>
    <row r="33" spans="1:55">
      <c r="A33" s="3" t="s">
        <v>90</v>
      </c>
      <c r="B33" s="129">
        <f>SUM(B23:B32)</f>
        <v>4668.7226536883982</v>
      </c>
      <c r="C33" s="129">
        <f t="shared" ref="C33:U33" si="7">SUM(C23:C32)</f>
        <v>4817.4820765882023</v>
      </c>
      <c r="D33" s="129">
        <f t="shared" si="7"/>
        <v>4922.8489648603318</v>
      </c>
      <c r="E33" s="129">
        <f t="shared" si="7"/>
        <v>5374.0541521369769</v>
      </c>
      <c r="F33" s="129">
        <f t="shared" si="7"/>
        <v>5510.1923338239912</v>
      </c>
      <c r="G33" s="129">
        <f t="shared" si="7"/>
        <v>5648.2429647773188</v>
      </c>
      <c r="H33" s="129">
        <f t="shared" si="7"/>
        <v>5789.8342705177974</v>
      </c>
      <c r="I33" s="129">
        <f t="shared" si="7"/>
        <v>5935.0593961917393</v>
      </c>
      <c r="J33" s="129">
        <f t="shared" si="7"/>
        <v>6084.8661344207812</v>
      </c>
      <c r="K33" s="129">
        <f t="shared" si="7"/>
        <v>6238.9850209622136</v>
      </c>
      <c r="L33" s="129">
        <f t="shared" si="7"/>
        <v>6388.9510867317722</v>
      </c>
      <c r="M33" s="129">
        <f t="shared" si="7"/>
        <v>6542.2870431714719</v>
      </c>
      <c r="N33" s="129">
        <f t="shared" si="7"/>
        <v>6698.9077229484174</v>
      </c>
      <c r="O33" s="129">
        <f t="shared" si="7"/>
        <v>6858.916157725097</v>
      </c>
      <c r="P33" s="129">
        <f t="shared" si="7"/>
        <v>7074.8039059681068</v>
      </c>
      <c r="Q33" s="129">
        <f t="shared" si="7"/>
        <v>7255.5691718160851</v>
      </c>
      <c r="R33" s="129">
        <f t="shared" si="7"/>
        <v>7439.5802754911419</v>
      </c>
      <c r="S33" s="129">
        <f t="shared" si="7"/>
        <v>7621.8615298510376</v>
      </c>
      <c r="T33" s="129">
        <f t="shared" si="7"/>
        <v>7807.5740048246616</v>
      </c>
      <c r="U33" s="129">
        <f t="shared" si="7"/>
        <v>7987.3887769121338</v>
      </c>
      <c r="W33" s="93">
        <f t="shared" si="5"/>
        <v>126666.12764340769</v>
      </c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</row>
    <row r="34" spans="1:55" s="64" customFormat="1">
      <c r="A34" s="5"/>
      <c r="B34" s="132"/>
      <c r="C34" s="133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W34" s="93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</row>
    <row r="35" spans="1:55" s="64" customFormat="1" ht="6.75" customHeight="1">
      <c r="A35" s="5"/>
      <c r="B35" s="132"/>
      <c r="C35" s="133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W35" s="93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</row>
    <row r="36" spans="1:55" s="59" customFormat="1">
      <c r="A36" s="1" t="s">
        <v>91</v>
      </c>
      <c r="B36" s="134">
        <f t="shared" ref="B36:U36" si="8">B20-B33</f>
        <v>18978.973308765497</v>
      </c>
      <c r="C36" s="135">
        <f t="shared" si="8"/>
        <v>18871.772042948196</v>
      </c>
      <c r="D36" s="134">
        <f t="shared" si="8"/>
        <v>18809.808247937475</v>
      </c>
      <c r="E36" s="134">
        <f t="shared" si="8"/>
        <v>28782.008200439301</v>
      </c>
      <c r="F36" s="134">
        <f t="shared" si="8"/>
        <v>30341.185793285662</v>
      </c>
      <c r="G36" s="134">
        <f t="shared" si="8"/>
        <v>30702.953107737252</v>
      </c>
      <c r="H36" s="134">
        <f t="shared" si="8"/>
        <v>30999.615784831669</v>
      </c>
      <c r="I36" s="134">
        <f t="shared" si="8"/>
        <v>31347.306773272612</v>
      </c>
      <c r="J36" s="134">
        <f t="shared" si="8"/>
        <v>31749.785095197309</v>
      </c>
      <c r="K36" s="134">
        <f t="shared" si="8"/>
        <v>32082.743545580375</v>
      </c>
      <c r="L36" s="134">
        <f t="shared" si="8"/>
        <v>32682.089061385872</v>
      </c>
      <c r="M36" s="134">
        <f t="shared" si="8"/>
        <v>33288.545381763572</v>
      </c>
      <c r="N36" s="134">
        <f t="shared" si="8"/>
        <v>33902.15404022891</v>
      </c>
      <c r="O36" s="134">
        <f t="shared" si="8"/>
        <v>34522.753866372936</v>
      </c>
      <c r="P36" s="134">
        <f t="shared" si="8"/>
        <v>35097.127465038153</v>
      </c>
      <c r="Q36" s="134">
        <f t="shared" si="8"/>
        <v>35562.596590469388</v>
      </c>
      <c r="R36" s="134">
        <f t="shared" si="8"/>
        <v>36025.666006472267</v>
      </c>
      <c r="S36" s="134">
        <f t="shared" si="8"/>
        <v>36490.843153799171</v>
      </c>
      <c r="T36" s="134">
        <f t="shared" si="8"/>
        <v>36952.339382088045</v>
      </c>
      <c r="U36" s="134">
        <f t="shared" si="8"/>
        <v>37419.003054666871</v>
      </c>
      <c r="W36" s="93">
        <f>SUM(B36:U36)</f>
        <v>624609.26990228053</v>
      </c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</row>
    <row r="37" spans="1:55" s="59" customFormat="1">
      <c r="A37" s="1"/>
      <c r="B37" s="134"/>
      <c r="C37" s="135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W37" s="93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</row>
    <row r="38" spans="1:55">
      <c r="A38" s="3" t="s">
        <v>92</v>
      </c>
      <c r="B38" s="129">
        <f>Depreciation!C13</f>
        <v>4580.136991468813</v>
      </c>
      <c r="C38" s="129">
        <f>Depreciation!D13</f>
        <v>4580.136991468813</v>
      </c>
      <c r="D38" s="129">
        <f>Depreciation!E13</f>
        <v>4580.136991468813</v>
      </c>
      <c r="E38" s="129">
        <f>Depreciation!F13</f>
        <v>4580.136991468813</v>
      </c>
      <c r="F38" s="129">
        <f>Depreciation!G13</f>
        <v>4580.136991468813</v>
      </c>
      <c r="G38" s="129">
        <f>Depreciation!H13</f>
        <v>4580.136991468813</v>
      </c>
      <c r="H38" s="129">
        <f>Depreciation!I13</f>
        <v>4580.136991468813</v>
      </c>
      <c r="I38" s="129">
        <f>Depreciation!J13</f>
        <v>4580.136991468813</v>
      </c>
      <c r="J38" s="129">
        <f>Depreciation!K13</f>
        <v>4580.136991468813</v>
      </c>
      <c r="K38" s="129">
        <f>Depreciation!L13</f>
        <v>4580.136991468813</v>
      </c>
      <c r="L38" s="129">
        <f>Depreciation!M13</f>
        <v>4580.136991468813</v>
      </c>
      <c r="M38" s="129">
        <f>Depreciation!N13</f>
        <v>4580.136991468813</v>
      </c>
      <c r="N38" s="129">
        <f>Depreciation!O13</f>
        <v>4580.136991468813</v>
      </c>
      <c r="O38" s="129">
        <f>Depreciation!P13</f>
        <v>4580.136991468813</v>
      </c>
      <c r="P38" s="129">
        <f>Depreciation!Q13</f>
        <v>4580.136991468813</v>
      </c>
      <c r="Q38" s="129">
        <f>Depreciation!R13</f>
        <v>4580.136991468813</v>
      </c>
      <c r="R38" s="129">
        <f>Depreciation!S13</f>
        <v>4580.136991468813</v>
      </c>
      <c r="S38" s="129">
        <f>Depreciation!T13</f>
        <v>4580.136991468813</v>
      </c>
      <c r="T38" s="129">
        <f>Depreciation!U13</f>
        <v>4580.136991468813</v>
      </c>
      <c r="U38" s="129">
        <f>Depreciation!V13</f>
        <v>4580.136991468813</v>
      </c>
      <c r="W38" s="93">
        <f>SUM(B38:U38)</f>
        <v>91602.739829376238</v>
      </c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</row>
    <row r="39" spans="1:55" ht="7.5" customHeight="1">
      <c r="A39" s="3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W39" s="93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</row>
    <row r="40" spans="1:55" s="59" customFormat="1">
      <c r="A40" s="1" t="s">
        <v>93</v>
      </c>
      <c r="B40" s="134">
        <f t="shared" ref="B40:U40" si="9">B36-B38</f>
        <v>14398.836317296684</v>
      </c>
      <c r="C40" s="134">
        <f t="shared" si="9"/>
        <v>14291.635051479383</v>
      </c>
      <c r="D40" s="134">
        <f t="shared" si="9"/>
        <v>14229.671256468662</v>
      </c>
      <c r="E40" s="134">
        <f t="shared" si="9"/>
        <v>24201.871208970486</v>
      </c>
      <c r="F40" s="134">
        <f t="shared" si="9"/>
        <v>25761.048801816847</v>
      </c>
      <c r="G40" s="134">
        <f t="shared" si="9"/>
        <v>26122.816116268441</v>
      </c>
      <c r="H40" s="134">
        <f t="shared" si="9"/>
        <v>26419.478793362854</v>
      </c>
      <c r="I40" s="134">
        <f t="shared" si="9"/>
        <v>26767.169781803801</v>
      </c>
      <c r="J40" s="134">
        <f t="shared" si="9"/>
        <v>27169.648103728498</v>
      </c>
      <c r="K40" s="134">
        <f t="shared" si="9"/>
        <v>27502.60655411156</v>
      </c>
      <c r="L40" s="134">
        <f t="shared" si="9"/>
        <v>28101.952069917061</v>
      </c>
      <c r="M40" s="134">
        <f t="shared" si="9"/>
        <v>28708.40839029476</v>
      </c>
      <c r="N40" s="134">
        <f t="shared" si="9"/>
        <v>29322.017048760099</v>
      </c>
      <c r="O40" s="134">
        <f t="shared" si="9"/>
        <v>29942.616874904124</v>
      </c>
      <c r="P40" s="134">
        <f t="shared" si="9"/>
        <v>30516.990473569342</v>
      </c>
      <c r="Q40" s="134">
        <f t="shared" si="9"/>
        <v>30982.459599000576</v>
      </c>
      <c r="R40" s="134">
        <f t="shared" si="9"/>
        <v>31445.529015003456</v>
      </c>
      <c r="S40" s="134">
        <f t="shared" si="9"/>
        <v>31910.70616233036</v>
      </c>
      <c r="T40" s="134">
        <f t="shared" si="9"/>
        <v>32372.202390619233</v>
      </c>
      <c r="U40" s="134">
        <f t="shared" si="9"/>
        <v>32838.86606319806</v>
      </c>
      <c r="W40" s="93">
        <f>SUM(B40:U40)</f>
        <v>533006.53007290431</v>
      </c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</row>
    <row r="41" spans="1:55" s="59" customFormat="1">
      <c r="A41" s="1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W41" s="93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</row>
    <row r="42" spans="1:55">
      <c r="A42" s="6" t="s">
        <v>94</v>
      </c>
      <c r="B42" s="129">
        <f>IS!B42*Allocation!$F$7</f>
        <v>9808.4102434695506</v>
      </c>
      <c r="C42" s="129">
        <f>IS!C42*Allocation!$F$7</f>
        <v>9478.2271863774949</v>
      </c>
      <c r="D42" s="129">
        <f>IS!D42*Allocation!$F$7</f>
        <v>9094.7016599255912</v>
      </c>
      <c r="E42" s="129">
        <f>IS!E42*Allocation!$F$7</f>
        <v>8794.2298492610716</v>
      </c>
      <c r="F42" s="129">
        <f>IS!F42*Allocation!$F$7</f>
        <v>8677.2855353952891</v>
      </c>
      <c r="G42" s="129">
        <f>IS!G42*Allocation!$F$7</f>
        <v>8531.8335565509169</v>
      </c>
      <c r="H42" s="129">
        <f>IS!H42*Allocation!$F$7</f>
        <v>8357.3414164953247</v>
      </c>
      <c r="I42" s="129">
        <f>IS!I42*Allocation!$F$7</f>
        <v>8173.3629772046188</v>
      </c>
      <c r="J42" s="129">
        <f>IS!J42*Allocation!$F$7</f>
        <v>7907.8898483493904</v>
      </c>
      <c r="K42" s="129">
        <f>IS!K42*Allocation!$F$7</f>
        <v>7625.0306335473533</v>
      </c>
      <c r="L42" s="129">
        <f>IS!L42*Allocation!$F$7</f>
        <v>7297.3671902018395</v>
      </c>
      <c r="M42" s="129">
        <f>IS!M42*Allocation!$F$7</f>
        <v>6923.5644082716253</v>
      </c>
      <c r="N42" s="129">
        <f>IS!N42*Allocation!$F$7</f>
        <v>6447.3065508437267</v>
      </c>
      <c r="O42" s="129">
        <f>IS!O42*Allocation!$F$7</f>
        <v>5921.8491629783066</v>
      </c>
      <c r="P42" s="129">
        <f>IS!P42*Allocation!$F$7</f>
        <v>5320.2428941710332</v>
      </c>
      <c r="Q42" s="129">
        <f>IS!Q42*Allocation!$F$7</f>
        <v>4648.4210788368855</v>
      </c>
      <c r="R42" s="129">
        <f>IS!R42*Allocation!$F$7</f>
        <v>3859.4980931167688</v>
      </c>
      <c r="S42" s="129">
        <f>IS!S42*Allocation!$F$7</f>
        <v>2987.3611681387342</v>
      </c>
      <c r="T42" s="129">
        <f>IS!T42*Allocation!$F$7</f>
        <v>2007.2594664450012</v>
      </c>
      <c r="U42" s="129">
        <f>IS!U42*Allocation!$F$7</f>
        <v>909.43872135334016</v>
      </c>
      <c r="W42" s="93">
        <f>SUM(B42:U42)</f>
        <v>132770.62164093388</v>
      </c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</row>
    <row r="43" spans="1:55" ht="6" customHeight="1">
      <c r="B43" s="69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W43" s="93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</row>
    <row r="44" spans="1:55" s="59" customFormat="1">
      <c r="A44" s="1" t="s">
        <v>95</v>
      </c>
      <c r="B44" s="134">
        <f t="shared" ref="B44:U44" si="10">B40-B42</f>
        <v>4590.4260738271332</v>
      </c>
      <c r="C44" s="134">
        <f t="shared" si="10"/>
        <v>4813.4078651018881</v>
      </c>
      <c r="D44" s="134">
        <f t="shared" si="10"/>
        <v>5134.969596543071</v>
      </c>
      <c r="E44" s="134">
        <f t="shared" si="10"/>
        <v>15407.641359709414</v>
      </c>
      <c r="F44" s="134">
        <f t="shared" si="10"/>
        <v>17083.763266421556</v>
      </c>
      <c r="G44" s="134">
        <f t="shared" si="10"/>
        <v>17590.982559717522</v>
      </c>
      <c r="H44" s="134">
        <f t="shared" si="10"/>
        <v>18062.137376867529</v>
      </c>
      <c r="I44" s="134">
        <f t="shared" si="10"/>
        <v>18593.806804599182</v>
      </c>
      <c r="J44" s="134">
        <f t="shared" si="10"/>
        <v>19261.758255379107</v>
      </c>
      <c r="K44" s="134">
        <f t="shared" si="10"/>
        <v>19877.575920564206</v>
      </c>
      <c r="L44" s="134">
        <f t="shared" si="10"/>
        <v>20804.584879715221</v>
      </c>
      <c r="M44" s="134">
        <f t="shared" si="10"/>
        <v>21784.843982023136</v>
      </c>
      <c r="N44" s="134">
        <f t="shared" si="10"/>
        <v>22874.710497916371</v>
      </c>
      <c r="O44" s="134">
        <f t="shared" si="10"/>
        <v>24020.767711925819</v>
      </c>
      <c r="P44" s="134">
        <f t="shared" si="10"/>
        <v>25196.74757939831</v>
      </c>
      <c r="Q44" s="134">
        <f t="shared" si="10"/>
        <v>26334.038520163689</v>
      </c>
      <c r="R44" s="134">
        <f t="shared" si="10"/>
        <v>27586.030921886686</v>
      </c>
      <c r="S44" s="134">
        <f t="shared" si="10"/>
        <v>28923.344994191626</v>
      </c>
      <c r="T44" s="134">
        <f t="shared" si="10"/>
        <v>30364.942924174233</v>
      </c>
      <c r="U44" s="134">
        <f t="shared" si="10"/>
        <v>31929.427341844719</v>
      </c>
      <c r="W44" s="93">
        <f>SUM(B44:U44)</f>
        <v>400235.9084319704</v>
      </c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</row>
    <row r="45" spans="1:55" s="59" customFormat="1">
      <c r="A45" s="1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W45" s="93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</row>
    <row r="46" spans="1:55">
      <c r="A46" s="3" t="s">
        <v>96</v>
      </c>
      <c r="B46" s="129">
        <f>B44*-Summary!$C$37</f>
        <v>-275.42556442962797</v>
      </c>
      <c r="C46" s="129">
        <f>C44*-Summary!$C$37</f>
        <v>-288.80447190611329</v>
      </c>
      <c r="D46" s="129">
        <f>D44*-Summary!$C$37</f>
        <v>-308.09817579258424</v>
      </c>
      <c r="E46" s="129">
        <f>E44*-Summary!$C$37</f>
        <v>-924.45848158256479</v>
      </c>
      <c r="F46" s="129">
        <f>F44*-Summary!$C$37</f>
        <v>-1025.0257959852934</v>
      </c>
      <c r="G46" s="129">
        <f>G44*-Summary!$C$37</f>
        <v>-1055.4589535830512</v>
      </c>
      <c r="H46" s="129">
        <f>H44*-Summary!$C$37</f>
        <v>-1083.7282426120516</v>
      </c>
      <c r="I46" s="129">
        <f>I44*-Summary!$C$37</f>
        <v>-1115.628408275951</v>
      </c>
      <c r="J46" s="129">
        <f>J44*-Summary!$C$37</f>
        <v>-1155.7054953227464</v>
      </c>
      <c r="K46" s="129">
        <f>K44*-Summary!$C$37</f>
        <v>-1192.6545552338523</v>
      </c>
      <c r="L46" s="129">
        <f>L44*-Summary!$C$37</f>
        <v>-1248.2750927829131</v>
      </c>
      <c r="M46" s="129">
        <f>M44*-Summary!$C$37</f>
        <v>-1307.0906389213881</v>
      </c>
      <c r="N46" s="129">
        <f>N44*-Summary!$C$37</f>
        <v>-1372.4826298749822</v>
      </c>
      <c r="O46" s="129">
        <f>O44*-Summary!$C$37</f>
        <v>-1441.246062715549</v>
      </c>
      <c r="P46" s="129">
        <f>P44*-Summary!$C$37</f>
        <v>-1511.8048547638987</v>
      </c>
      <c r="Q46" s="129">
        <f>Q44*-Summary!$C$37</f>
        <v>-1580.0423112098213</v>
      </c>
      <c r="R46" s="129">
        <f>R44*-Summary!$C$37</f>
        <v>-1655.1618553132012</v>
      </c>
      <c r="S46" s="129">
        <f>S44*-Summary!$C$37</f>
        <v>-1735.4006996514975</v>
      </c>
      <c r="T46" s="129">
        <f>T44*-Summary!$C$37</f>
        <v>-1821.8965754504538</v>
      </c>
      <c r="U46" s="129">
        <f>U44*-Summary!$C$37</f>
        <v>-1915.7656405106832</v>
      </c>
      <c r="W46" s="93">
        <f>SUM(B46:U46)</f>
        <v>-24014.154505918221</v>
      </c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</row>
    <row r="47" spans="1:55">
      <c r="A47" s="3" t="s">
        <v>97</v>
      </c>
      <c r="B47" s="123">
        <f>(B44+B46)*-Summary!$C$36</f>
        <v>-1510.2501782891268</v>
      </c>
      <c r="C47" s="123">
        <f>(C44+C46)*-Summary!$C$36</f>
        <v>-1583.6111876185209</v>
      </c>
      <c r="D47" s="123">
        <f>(D44+D46)*-Summary!$C$36</f>
        <v>-1689.4049972626703</v>
      </c>
      <c r="E47" s="123">
        <f>(E44+E46)*-Summary!$C$36</f>
        <v>-5069.1140073443967</v>
      </c>
      <c r="F47" s="123">
        <f>(F44+F46)*-Summary!$C$36</f>
        <v>-5620.558114652692</v>
      </c>
      <c r="G47" s="123">
        <f>(G44+G46)*-Summary!$C$36</f>
        <v>-5787.4332621470639</v>
      </c>
      <c r="H47" s="123">
        <f>(H44+H46)*-Summary!$C$36</f>
        <v>-5942.4431969894167</v>
      </c>
      <c r="I47" s="123">
        <f>(I44+I46)*-Summary!$C$36</f>
        <v>-6117.3624387131304</v>
      </c>
      <c r="J47" s="123">
        <f>(J44+J46)*-Summary!$C$36</f>
        <v>-6337.1184660197259</v>
      </c>
      <c r="K47" s="123">
        <f>(K44+K46)*-Summary!$C$36</f>
        <v>-6539.7224778656227</v>
      </c>
      <c r="L47" s="123">
        <f>(L44+L46)*-Summary!$C$36</f>
        <v>-6844.7084254263073</v>
      </c>
      <c r="M47" s="123">
        <f>(M44+M46)*-Summary!$C$36</f>
        <v>-7167.2136700856108</v>
      </c>
      <c r="N47" s="123">
        <f>(N44+N46)*-Summary!$C$36</f>
        <v>-7525.779753814485</v>
      </c>
      <c r="O47" s="123">
        <f>(O44+O46)*-Summary!$C$36</f>
        <v>-7902.8325772235939</v>
      </c>
      <c r="P47" s="123">
        <f>(P44+P46)*-Summary!$C$36</f>
        <v>-8289.7299536220435</v>
      </c>
      <c r="Q47" s="123">
        <f>(Q44+Q46)*-Summary!$C$36</f>
        <v>-8663.8986731338537</v>
      </c>
      <c r="R47" s="123">
        <f>(R44+R46)*-Summary!$C$36</f>
        <v>-9075.8041733007176</v>
      </c>
      <c r="S47" s="123">
        <f>(S44+S46)*-Summary!$C$36</f>
        <v>-9515.7805030890449</v>
      </c>
      <c r="T47" s="123">
        <f>(T44+T46)*-Summary!$C$36</f>
        <v>-9990.0662220533213</v>
      </c>
      <c r="U47" s="123">
        <f>(U44+U46)*-Summary!$C$36</f>
        <v>-10504.781595466911</v>
      </c>
      <c r="W47" s="93">
        <f>SUM(B47:U47)</f>
        <v>-131677.61387411825</v>
      </c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</row>
    <row r="48" spans="1:55" ht="6" customHeight="1"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W48" s="93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</row>
    <row r="49" spans="1:55" s="66" customFormat="1" ht="15.75">
      <c r="A49" s="47" t="s">
        <v>114</v>
      </c>
      <c r="B49" s="136">
        <f t="shared" ref="B49:U49" si="11">SUM(B44:B47)</f>
        <v>2804.7503311083783</v>
      </c>
      <c r="C49" s="136">
        <f t="shared" si="11"/>
        <v>2940.9922055772536</v>
      </c>
      <c r="D49" s="136">
        <f t="shared" si="11"/>
        <v>3137.4664234878169</v>
      </c>
      <c r="E49" s="136">
        <f t="shared" si="11"/>
        <v>9414.068870782452</v>
      </c>
      <c r="F49" s="136">
        <f t="shared" si="11"/>
        <v>10438.17935578357</v>
      </c>
      <c r="G49" s="136">
        <f t="shared" si="11"/>
        <v>10748.090343987406</v>
      </c>
      <c r="H49" s="136">
        <f t="shared" si="11"/>
        <v>11035.965937266061</v>
      </c>
      <c r="I49" s="136">
        <f t="shared" si="11"/>
        <v>11360.815957610099</v>
      </c>
      <c r="J49" s="136">
        <f t="shared" si="11"/>
        <v>11768.934294036637</v>
      </c>
      <c r="K49" s="136">
        <f t="shared" si="11"/>
        <v>12145.198887464729</v>
      </c>
      <c r="L49" s="136">
        <f t="shared" si="11"/>
        <v>12711.601361506</v>
      </c>
      <c r="M49" s="136">
        <f t="shared" si="11"/>
        <v>13310.539673016137</v>
      </c>
      <c r="N49" s="136">
        <f t="shared" si="11"/>
        <v>13976.448114226903</v>
      </c>
      <c r="O49" s="136">
        <f t="shared" si="11"/>
        <v>14676.689071986675</v>
      </c>
      <c r="P49" s="136">
        <f t="shared" si="11"/>
        <v>15395.21277101237</v>
      </c>
      <c r="Q49" s="136">
        <f t="shared" si="11"/>
        <v>16090.097535820014</v>
      </c>
      <c r="R49" s="136">
        <f t="shared" si="11"/>
        <v>16855.064893272764</v>
      </c>
      <c r="S49" s="136">
        <f t="shared" si="11"/>
        <v>17672.163791451083</v>
      </c>
      <c r="T49" s="136">
        <f t="shared" si="11"/>
        <v>18552.98012667046</v>
      </c>
      <c r="U49" s="136">
        <f t="shared" si="11"/>
        <v>19508.880105867123</v>
      </c>
      <c r="W49" s="93">
        <f>SUM(B49:U49)</f>
        <v>244544.14005193388</v>
      </c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</row>
    <row r="50" spans="1:55" s="64" customFormat="1">
      <c r="A50" s="4"/>
      <c r="B50" s="62"/>
      <c r="C50" s="63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</row>
    <row r="51" spans="1:55">
      <c r="A51" s="1"/>
      <c r="B51" s="58"/>
      <c r="C51" s="61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</row>
    <row r="52" spans="1:55">
      <c r="A52" s="13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</row>
    <row r="53" spans="1:55" ht="18.75">
      <c r="A53" s="57" t="s">
        <v>115</v>
      </c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</row>
    <row r="54" spans="1:55">
      <c r="A54" s="1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</row>
    <row r="55" spans="1:55" ht="12.75" customHeight="1">
      <c r="A55" s="1" t="s">
        <v>116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</row>
    <row r="56" spans="1:55" ht="12.75" customHeight="1">
      <c r="A56" s="1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</row>
    <row r="57" spans="1:55" ht="13.5" thickBot="1">
      <c r="A57" s="202" t="s">
        <v>83</v>
      </c>
      <c r="B57" s="8">
        <v>2001</v>
      </c>
      <c r="C57" s="8">
        <f t="shared" ref="C57:U57" si="12">B57+1</f>
        <v>2002</v>
      </c>
      <c r="D57" s="8">
        <f t="shared" si="12"/>
        <v>2003</v>
      </c>
      <c r="E57" s="8">
        <f t="shared" si="12"/>
        <v>2004</v>
      </c>
      <c r="F57" s="8">
        <f t="shared" si="12"/>
        <v>2005</v>
      </c>
      <c r="G57" s="8">
        <f t="shared" si="12"/>
        <v>2006</v>
      </c>
      <c r="H57" s="8">
        <f t="shared" si="12"/>
        <v>2007</v>
      </c>
      <c r="I57" s="8">
        <f t="shared" si="12"/>
        <v>2008</v>
      </c>
      <c r="J57" s="8">
        <f t="shared" si="12"/>
        <v>2009</v>
      </c>
      <c r="K57" s="8">
        <f t="shared" si="12"/>
        <v>2010</v>
      </c>
      <c r="L57" s="8">
        <f t="shared" si="12"/>
        <v>2011</v>
      </c>
      <c r="M57" s="8">
        <f t="shared" si="12"/>
        <v>2012</v>
      </c>
      <c r="N57" s="8">
        <f t="shared" si="12"/>
        <v>2013</v>
      </c>
      <c r="O57" s="8">
        <f t="shared" si="12"/>
        <v>2014</v>
      </c>
      <c r="P57" s="8">
        <f t="shared" si="12"/>
        <v>2015</v>
      </c>
      <c r="Q57" s="8">
        <f t="shared" si="12"/>
        <v>2016</v>
      </c>
      <c r="R57" s="8">
        <f t="shared" si="12"/>
        <v>2017</v>
      </c>
      <c r="S57" s="8">
        <f t="shared" si="12"/>
        <v>2018</v>
      </c>
      <c r="T57" s="8">
        <f t="shared" si="12"/>
        <v>2019</v>
      </c>
      <c r="U57" s="8">
        <f t="shared" si="12"/>
        <v>2020</v>
      </c>
      <c r="W57" s="456" t="s">
        <v>231</v>
      </c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</row>
    <row r="58" spans="1:55">
      <c r="A58" s="12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W58" s="46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</row>
    <row r="59" spans="1:55">
      <c r="A59" s="13" t="s">
        <v>91</v>
      </c>
      <c r="B59" s="69">
        <f t="shared" ref="B59:U59" si="13">B36</f>
        <v>18978.973308765497</v>
      </c>
      <c r="C59" s="69">
        <f t="shared" si="13"/>
        <v>18871.772042948196</v>
      </c>
      <c r="D59" s="69">
        <f t="shared" si="13"/>
        <v>18809.808247937475</v>
      </c>
      <c r="E59" s="69">
        <f t="shared" si="13"/>
        <v>28782.008200439301</v>
      </c>
      <c r="F59" s="69">
        <f t="shared" si="13"/>
        <v>30341.185793285662</v>
      </c>
      <c r="G59" s="69">
        <f t="shared" si="13"/>
        <v>30702.953107737252</v>
      </c>
      <c r="H59" s="69">
        <f t="shared" si="13"/>
        <v>30999.615784831669</v>
      </c>
      <c r="I59" s="69">
        <f t="shared" si="13"/>
        <v>31347.306773272612</v>
      </c>
      <c r="J59" s="69">
        <f t="shared" si="13"/>
        <v>31749.785095197309</v>
      </c>
      <c r="K59" s="69">
        <f t="shared" si="13"/>
        <v>32082.743545580375</v>
      </c>
      <c r="L59" s="69">
        <f t="shared" si="13"/>
        <v>32682.089061385872</v>
      </c>
      <c r="M59" s="69">
        <f t="shared" si="13"/>
        <v>33288.545381763572</v>
      </c>
      <c r="N59" s="69">
        <f t="shared" si="13"/>
        <v>33902.15404022891</v>
      </c>
      <c r="O59" s="69">
        <f t="shared" si="13"/>
        <v>34522.753866372936</v>
      </c>
      <c r="P59" s="69">
        <f t="shared" si="13"/>
        <v>35097.127465038153</v>
      </c>
      <c r="Q59" s="69">
        <f t="shared" si="13"/>
        <v>35562.596590469388</v>
      </c>
      <c r="R59" s="69">
        <f t="shared" si="13"/>
        <v>36025.666006472267</v>
      </c>
      <c r="S59" s="69">
        <f t="shared" si="13"/>
        <v>36490.843153799171</v>
      </c>
      <c r="T59" s="69">
        <f t="shared" si="13"/>
        <v>36952.339382088045</v>
      </c>
      <c r="U59" s="69">
        <f t="shared" si="13"/>
        <v>37419.003054666871</v>
      </c>
      <c r="W59" s="457">
        <f>SUM(B59:U59)</f>
        <v>624609.26990228053</v>
      </c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</row>
    <row r="60" spans="1:55" ht="12" customHeight="1">
      <c r="A60" s="13" t="s">
        <v>255</v>
      </c>
      <c r="B60" s="69">
        <f>B28</f>
        <v>325</v>
      </c>
      <c r="C60" s="69">
        <f t="shared" ref="C60:T60" si="14">C28</f>
        <v>375</v>
      </c>
      <c r="D60" s="69">
        <f t="shared" si="14"/>
        <v>375</v>
      </c>
      <c r="E60" s="69">
        <f t="shared" si="14"/>
        <v>375</v>
      </c>
      <c r="F60" s="69">
        <f t="shared" si="14"/>
        <v>375</v>
      </c>
      <c r="G60" s="69">
        <f t="shared" si="14"/>
        <v>375</v>
      </c>
      <c r="H60" s="69">
        <f t="shared" si="14"/>
        <v>375</v>
      </c>
      <c r="I60" s="69">
        <f t="shared" si="14"/>
        <v>375</v>
      </c>
      <c r="J60" s="69">
        <f t="shared" si="14"/>
        <v>375</v>
      </c>
      <c r="K60" s="69">
        <f t="shared" si="14"/>
        <v>375</v>
      </c>
      <c r="L60" s="69">
        <f t="shared" si="14"/>
        <v>375</v>
      </c>
      <c r="M60" s="69">
        <f t="shared" si="14"/>
        <v>375</v>
      </c>
      <c r="N60" s="69">
        <f t="shared" si="14"/>
        <v>375</v>
      </c>
      <c r="O60" s="69">
        <f t="shared" si="14"/>
        <v>375</v>
      </c>
      <c r="P60" s="69">
        <f t="shared" si="14"/>
        <v>427.64830117962356</v>
      </c>
      <c r="Q60" s="69">
        <f t="shared" si="14"/>
        <v>436.20126720321605</v>
      </c>
      <c r="R60" s="69">
        <f t="shared" si="14"/>
        <v>444.92529254728038</v>
      </c>
      <c r="S60" s="69">
        <f t="shared" si="14"/>
        <v>453.82379839822596</v>
      </c>
      <c r="T60" s="69">
        <f t="shared" si="14"/>
        <v>462.9002743661905</v>
      </c>
      <c r="U60" s="69">
        <f>T60</f>
        <v>462.9002743661905</v>
      </c>
      <c r="W60" s="457">
        <f>SUM(B60:U60)</f>
        <v>7888.3992080607268</v>
      </c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</row>
    <row r="61" spans="1:55">
      <c r="A61" s="13" t="s">
        <v>256</v>
      </c>
      <c r="B61" s="537">
        <v>-250</v>
      </c>
      <c r="C61" s="69">
        <f>-B60</f>
        <v>-325</v>
      </c>
      <c r="D61" s="69">
        <f t="shared" ref="D61:U61" si="15">-C60</f>
        <v>-375</v>
      </c>
      <c r="E61" s="69">
        <f t="shared" si="15"/>
        <v>-375</v>
      </c>
      <c r="F61" s="69">
        <f t="shared" si="15"/>
        <v>-375</v>
      </c>
      <c r="G61" s="69">
        <f t="shared" si="15"/>
        <v>-375</v>
      </c>
      <c r="H61" s="69">
        <f t="shared" si="15"/>
        <v>-375</v>
      </c>
      <c r="I61" s="69">
        <f t="shared" si="15"/>
        <v>-375</v>
      </c>
      <c r="J61" s="69">
        <f t="shared" si="15"/>
        <v>-375</v>
      </c>
      <c r="K61" s="69">
        <f t="shared" si="15"/>
        <v>-375</v>
      </c>
      <c r="L61" s="69">
        <f t="shared" si="15"/>
        <v>-375</v>
      </c>
      <c r="M61" s="69">
        <f t="shared" si="15"/>
        <v>-375</v>
      </c>
      <c r="N61" s="69">
        <f t="shared" si="15"/>
        <v>-375</v>
      </c>
      <c r="O61" s="69">
        <f t="shared" si="15"/>
        <v>-375</v>
      </c>
      <c r="P61" s="69">
        <f t="shared" si="15"/>
        <v>-375</v>
      </c>
      <c r="Q61" s="69">
        <f t="shared" si="15"/>
        <v>-427.64830117962356</v>
      </c>
      <c r="R61" s="69">
        <f t="shared" si="15"/>
        <v>-436.20126720321605</v>
      </c>
      <c r="S61" s="69">
        <f t="shared" si="15"/>
        <v>-444.92529254728038</v>
      </c>
      <c r="T61" s="69">
        <f t="shared" si="15"/>
        <v>-453.82379839822596</v>
      </c>
      <c r="U61" s="69">
        <f t="shared" si="15"/>
        <v>-462.9002743661905</v>
      </c>
      <c r="W61" s="457">
        <f>SUM(B61:U61)</f>
        <v>-7675.4989336945364</v>
      </c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</row>
    <row r="62" spans="1:55">
      <c r="A62" s="13" t="s">
        <v>99</v>
      </c>
      <c r="B62" s="455">
        <f>-Debt!B75*Allocation!$F$7</f>
        <v>-13783.830122231358</v>
      </c>
      <c r="C62" s="455">
        <f>-Debt!C75*Allocation!$F$7</f>
        <v>-13747.430789739125</v>
      </c>
      <c r="D62" s="455">
        <f>-Debt!D75*Allocation!$F$7</f>
        <v>-13677.387252361781</v>
      </c>
      <c r="E62" s="455">
        <f>-Debt!E75*Allocation!$F$7</f>
        <v>-9581.6277246364425</v>
      </c>
      <c r="F62" s="455">
        <f>-Debt!F75*Allocation!$F$7</f>
        <v>-10071.46128012601</v>
      </c>
      <c r="G62" s="455">
        <f>-Debt!G75*Allocation!$F$7</f>
        <v>-10213.498420272468</v>
      </c>
      <c r="H62" s="455">
        <f>-Debt!H75*Allocation!$F$7</f>
        <v>-10346.442121158196</v>
      </c>
      <c r="I62" s="455">
        <f>-Debt!I75*Allocation!$F$7</f>
        <v>-10522.783924731202</v>
      </c>
      <c r="J62" s="455">
        <f>-Debt!J75*Allocation!$F$7</f>
        <v>-10660.422247160945</v>
      </c>
      <c r="K62" s="455">
        <f>-Debt!K75*Allocation!$F$7</f>
        <v>-10764.928477080415</v>
      </c>
      <c r="L62" s="455">
        <f>-Debt!L75*Allocation!$F$7</f>
        <v>-10976.914285750607</v>
      </c>
      <c r="M62" s="455">
        <f>-Debt!M75*Allocation!$F$7</f>
        <v>-11229.404617917546</v>
      </c>
      <c r="N62" s="455">
        <f>-Debt!N75*Allocation!$F$7</f>
        <v>-11396.741982620926</v>
      </c>
      <c r="O62" s="455">
        <f>-Debt!O75*Allocation!$F$7</f>
        <v>-11601.525560382603</v>
      </c>
      <c r="P62" s="455">
        <f>-Debt!P75*Allocation!$F$7</f>
        <v>-11782.762941169065</v>
      </c>
      <c r="Q62" s="455">
        <f>-Debt!Q75*Allocation!$F$7</f>
        <v>-12001.730458860371</v>
      </c>
      <c r="R62" s="455">
        <f>-Debt!R75*Allocation!$F$7</f>
        <v>-12119.626908835366</v>
      </c>
      <c r="S62" s="455">
        <f>-Debt!S75*Allocation!$F$7</f>
        <v>-12274.000405209772</v>
      </c>
      <c r="T62" s="455">
        <f>-Debt!T75*Allocation!$F$7</f>
        <v>-12431.232644450109</v>
      </c>
      <c r="U62" s="455">
        <f>-Debt!U75*Allocation!$F$7</f>
        <v>-12613.071487359772</v>
      </c>
      <c r="W62" s="457">
        <f>SUM(B62:U62)</f>
        <v>-231796.82365205407</v>
      </c>
    </row>
    <row r="63" spans="1:55">
      <c r="A63" s="13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W63" s="458"/>
    </row>
    <row r="64" spans="1:55" s="59" customFormat="1">
      <c r="A64" s="12" t="s">
        <v>100</v>
      </c>
      <c r="B64" s="138">
        <f t="shared" ref="B64:U64" si="16">SUM(B59:B62)</f>
        <v>5270.1431865341383</v>
      </c>
      <c r="C64" s="138">
        <f t="shared" si="16"/>
        <v>5174.3412532090715</v>
      </c>
      <c r="D64" s="138">
        <f t="shared" si="16"/>
        <v>5132.4209955756942</v>
      </c>
      <c r="E64" s="138">
        <f t="shared" si="16"/>
        <v>19200.380475802856</v>
      </c>
      <c r="F64" s="138">
        <f t="shared" si="16"/>
        <v>20269.72451315965</v>
      </c>
      <c r="G64" s="138">
        <f t="shared" si="16"/>
        <v>20489.454687464786</v>
      </c>
      <c r="H64" s="138">
        <f t="shared" si="16"/>
        <v>20653.173663673471</v>
      </c>
      <c r="I64" s="138">
        <f t="shared" si="16"/>
        <v>20824.522848541412</v>
      </c>
      <c r="J64" s="138">
        <f t="shared" si="16"/>
        <v>21089.362848036362</v>
      </c>
      <c r="K64" s="138">
        <f t="shared" si="16"/>
        <v>21317.81506849996</v>
      </c>
      <c r="L64" s="138">
        <f t="shared" si="16"/>
        <v>21705.174775635263</v>
      </c>
      <c r="M64" s="138">
        <f t="shared" si="16"/>
        <v>22059.140763846026</v>
      </c>
      <c r="N64" s="138">
        <f t="shared" si="16"/>
        <v>22505.412057607984</v>
      </c>
      <c r="O64" s="138">
        <f t="shared" si="16"/>
        <v>22921.228305990335</v>
      </c>
      <c r="P64" s="138">
        <f t="shared" si="16"/>
        <v>23367.012825048711</v>
      </c>
      <c r="Q64" s="138">
        <f t="shared" si="16"/>
        <v>23569.419097632606</v>
      </c>
      <c r="R64" s="138">
        <f t="shared" si="16"/>
        <v>23914.76312298097</v>
      </c>
      <c r="S64" s="138">
        <f t="shared" si="16"/>
        <v>24225.741254440341</v>
      </c>
      <c r="T64" s="138">
        <f t="shared" si="16"/>
        <v>24530.183213605902</v>
      </c>
      <c r="U64" s="138">
        <f t="shared" si="16"/>
        <v>24805.9315673071</v>
      </c>
      <c r="W64" s="457">
        <f>SUM(B64:U64)</f>
        <v>393025.34652459266</v>
      </c>
    </row>
    <row r="65" spans="1:23">
      <c r="A65" s="12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W65" s="458"/>
    </row>
    <row r="66" spans="1:23">
      <c r="A66" s="13" t="s">
        <v>136</v>
      </c>
      <c r="B66" s="131">
        <f>-B112</f>
        <v>-92.220084770875502</v>
      </c>
      <c r="C66" s="131">
        <f t="shared" ref="C66:U66" si="17">-C112</f>
        <v>0</v>
      </c>
      <c r="D66" s="131">
        <f t="shared" si="17"/>
        <v>0</v>
      </c>
      <c r="E66" s="131">
        <f t="shared" si="17"/>
        <v>0</v>
      </c>
      <c r="F66" s="131">
        <f t="shared" si="17"/>
        <v>-652.0422655950548</v>
      </c>
      <c r="G66" s="131">
        <f t="shared" si="17"/>
        <v>-759.58210393416596</v>
      </c>
      <c r="H66" s="131">
        <f t="shared" si="17"/>
        <v>-818.08029710686071</v>
      </c>
      <c r="I66" s="131">
        <f t="shared" si="17"/>
        <v>-849.06443537246594</v>
      </c>
      <c r="J66" s="131">
        <f t="shared" si="17"/>
        <v>-890.05754981755513</v>
      </c>
      <c r="K66" s="131">
        <f t="shared" si="17"/>
        <v>-926.09058233036762</v>
      </c>
      <c r="L66" s="131">
        <f t="shared" si="17"/>
        <v>-982.62714727772197</v>
      </c>
      <c r="M66" s="131">
        <f t="shared" si="17"/>
        <v>-1040.5266660179034</v>
      </c>
      <c r="N66" s="131">
        <f t="shared" si="17"/>
        <v>-1106.8346843697909</v>
      </c>
      <c r="O66" s="131">
        <f t="shared" si="17"/>
        <v>-1174.6820898120645</v>
      </c>
      <c r="P66" s="131">
        <f t="shared" si="17"/>
        <v>-1246.1569092587074</v>
      </c>
      <c r="Q66" s="131">
        <f t="shared" si="17"/>
        <v>-1584.6224482012899</v>
      </c>
      <c r="R66" s="131">
        <f t="shared" si="17"/>
        <v>-1929.9700748013299</v>
      </c>
      <c r="S66" s="131">
        <f t="shared" si="17"/>
        <v>-2010.2089191396262</v>
      </c>
      <c r="T66" s="131">
        <f t="shared" si="17"/>
        <v>-2096.7047949385824</v>
      </c>
      <c r="U66" s="131">
        <f t="shared" si="17"/>
        <v>-2190.5738599988117</v>
      </c>
      <c r="W66" s="457">
        <f>SUM(B66:U66)</f>
        <v>-20350.044912743171</v>
      </c>
    </row>
    <row r="67" spans="1:23">
      <c r="A67" s="13" t="s">
        <v>137</v>
      </c>
      <c r="B67" s="130">
        <f>-Allocation!$F$7*Tax!B19</f>
        <v>231.05097044549299</v>
      </c>
      <c r="C67" s="130">
        <f>-Allocation!$F$7*Tax!C19</f>
        <v>3125.3296593865871</v>
      </c>
      <c r="D67" s="130">
        <f>-Allocation!$F$7*Tax!D19</f>
        <v>2394.0117773392867</v>
      </c>
      <c r="E67" s="130">
        <f>-Allocation!$F$7*Tax!E19</f>
        <v>-1832.5385526313903</v>
      </c>
      <c r="F67" s="130">
        <f>-Allocation!$F$7*Tax!F19</f>
        <v>-2874.9937134660449</v>
      </c>
      <c r="G67" s="130">
        <f>-Allocation!$F$7*Tax!G19</f>
        <v>-3443.5727464576471</v>
      </c>
      <c r="H67" s="130">
        <f>-Allocation!$F$7*Tax!H19</f>
        <v>-3821.5136072244491</v>
      </c>
      <c r="I67" s="130">
        <f>-Allocation!$F$7*Tax!I19</f>
        <v>-3971.9056676508567</v>
      </c>
      <c r="J67" s="130">
        <f>-Allocation!$F$7*Tax!J19</f>
        <v>-4228.5564370491456</v>
      </c>
      <c r="K67" s="130">
        <f>-Allocation!$F$7*Tax!K19</f>
        <v>-4419.1388995232528</v>
      </c>
      <c r="L67" s="130">
        <f>-Allocation!$F$7*Tax!L19</f>
        <v>-4739.5497897141613</v>
      </c>
      <c r="M67" s="130">
        <f>-Allocation!$F$7*Tax!M19</f>
        <v>-5074.5741598932063</v>
      </c>
      <c r="N67" s="130">
        <f>-Allocation!$F$7*Tax!N19</f>
        <v>-5432.0989594006805</v>
      </c>
      <c r="O67" s="130">
        <f>-Allocation!$F$7*Tax!O19</f>
        <v>-5799.8142415766288</v>
      </c>
      <c r="P67" s="130">
        <f>-Allocation!$F$7*Tax!P19</f>
        <v>-6181.7256434055571</v>
      </c>
      <c r="Q67" s="130">
        <f>-Allocation!$F$7*Tax!Q19</f>
        <v>-8426.6181144315415</v>
      </c>
      <c r="R67" s="130">
        <f>-Allocation!$F$7*Tax!R19</f>
        <v>-10674.952783916318</v>
      </c>
      <c r="S67" s="130">
        <f>-Allocation!$F$7*Tax!S19</f>
        <v>-11112.964764778362</v>
      </c>
      <c r="T67" s="130">
        <f>-Allocation!$F$7*Tax!T19</f>
        <v>-11589.125482268926</v>
      </c>
      <c r="U67" s="130">
        <f>-Allocation!$F$7*Tax!U19</f>
        <v>-12098.366058384367</v>
      </c>
      <c r="W67" s="457">
        <f>SUM(B67:U67)</f>
        <v>-99971.617214601167</v>
      </c>
    </row>
    <row r="68" spans="1:23">
      <c r="A68" s="13"/>
      <c r="B68" s="137"/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W68" s="458"/>
    </row>
    <row r="69" spans="1:23" s="66" customFormat="1" ht="15.75">
      <c r="A69" s="234" t="s">
        <v>101</v>
      </c>
      <c r="B69" s="139">
        <f t="shared" ref="B69:U69" si="18">B64+B67+B66</f>
        <v>5408.9740722087554</v>
      </c>
      <c r="C69" s="139">
        <f t="shared" si="18"/>
        <v>8299.6709125956586</v>
      </c>
      <c r="D69" s="139">
        <f t="shared" si="18"/>
        <v>7526.4327729149809</v>
      </c>
      <c r="E69" s="139">
        <f t="shared" si="18"/>
        <v>17367.841923171465</v>
      </c>
      <c r="F69" s="139">
        <f t="shared" si="18"/>
        <v>16742.688534098554</v>
      </c>
      <c r="G69" s="139">
        <f t="shared" si="18"/>
        <v>16286.299837072971</v>
      </c>
      <c r="H69" s="139">
        <f t="shared" si="18"/>
        <v>16013.579759342161</v>
      </c>
      <c r="I69" s="139">
        <f t="shared" si="18"/>
        <v>16003.552745518091</v>
      </c>
      <c r="J69" s="139">
        <f t="shared" si="18"/>
        <v>15970.748861169663</v>
      </c>
      <c r="K69" s="139">
        <f t="shared" si="18"/>
        <v>15972.585586646341</v>
      </c>
      <c r="L69" s="139">
        <f t="shared" si="18"/>
        <v>15982.99783864338</v>
      </c>
      <c r="M69" s="139">
        <f t="shared" si="18"/>
        <v>15944.039937934915</v>
      </c>
      <c r="N69" s="139">
        <f t="shared" si="18"/>
        <v>15966.478413837514</v>
      </c>
      <c r="O69" s="139">
        <f t="shared" si="18"/>
        <v>15946.731974601644</v>
      </c>
      <c r="P69" s="139">
        <f t="shared" si="18"/>
        <v>15939.130272384447</v>
      </c>
      <c r="Q69" s="139">
        <f t="shared" si="18"/>
        <v>13558.178534999775</v>
      </c>
      <c r="R69" s="139">
        <f t="shared" si="18"/>
        <v>11309.840264263323</v>
      </c>
      <c r="S69" s="139">
        <f t="shared" si="18"/>
        <v>11102.567570522353</v>
      </c>
      <c r="T69" s="139">
        <f t="shared" si="18"/>
        <v>10844.352936398394</v>
      </c>
      <c r="U69" s="139">
        <f t="shared" si="18"/>
        <v>10516.991648923922</v>
      </c>
      <c r="W69" s="457">
        <f>SUM(B69:U69)</f>
        <v>272703.68439724826</v>
      </c>
    </row>
    <row r="70" spans="1:23">
      <c r="A70" s="15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</row>
    <row r="71" spans="1:23">
      <c r="A71" s="14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</row>
    <row r="72" spans="1:23">
      <c r="A72" s="14">
        <v>0</v>
      </c>
      <c r="B72" s="69">
        <f>B36</f>
        <v>18978.973308765497</v>
      </c>
      <c r="C72" s="69">
        <f t="shared" ref="C72:U72" si="19">C36</f>
        <v>18871.772042948196</v>
      </c>
      <c r="D72" s="69">
        <f t="shared" si="19"/>
        <v>18809.808247937475</v>
      </c>
      <c r="E72" s="69">
        <f t="shared" si="19"/>
        <v>28782.008200439301</v>
      </c>
      <c r="F72" s="69">
        <f t="shared" si="19"/>
        <v>30341.185793285662</v>
      </c>
      <c r="G72" s="69">
        <f t="shared" si="19"/>
        <v>30702.953107737252</v>
      </c>
      <c r="H72" s="69">
        <f t="shared" si="19"/>
        <v>30999.615784831669</v>
      </c>
      <c r="I72" s="69">
        <f t="shared" si="19"/>
        <v>31347.306773272612</v>
      </c>
      <c r="J72" s="69">
        <f t="shared" si="19"/>
        <v>31749.785095197309</v>
      </c>
      <c r="K72" s="69">
        <f t="shared" si="19"/>
        <v>32082.743545580375</v>
      </c>
      <c r="L72" s="69">
        <f t="shared" si="19"/>
        <v>32682.089061385872</v>
      </c>
      <c r="M72" s="69">
        <f t="shared" si="19"/>
        <v>33288.545381763572</v>
      </c>
      <c r="N72" s="69">
        <f t="shared" si="19"/>
        <v>33902.15404022891</v>
      </c>
      <c r="O72" s="69">
        <f t="shared" si="19"/>
        <v>34522.753866372936</v>
      </c>
      <c r="P72" s="69">
        <f t="shared" si="19"/>
        <v>35097.127465038153</v>
      </c>
      <c r="Q72" s="69">
        <f t="shared" si="19"/>
        <v>35562.596590469388</v>
      </c>
      <c r="R72" s="69">
        <f t="shared" si="19"/>
        <v>36025.666006472267</v>
      </c>
      <c r="S72" s="69">
        <f t="shared" si="19"/>
        <v>36490.843153799171</v>
      </c>
      <c r="T72" s="69">
        <f t="shared" si="19"/>
        <v>36952.339382088045</v>
      </c>
      <c r="U72" s="69">
        <f t="shared" si="19"/>
        <v>37419.003054666871</v>
      </c>
    </row>
    <row r="73" spans="1:23">
      <c r="A73" s="14" t="s">
        <v>239</v>
      </c>
      <c r="B73" s="463">
        <f>Assumptions!B39</f>
        <v>0.11443483820421446</v>
      </c>
      <c r="C73" s="464">
        <f>[7]!_xludf.xnpv(B73,A72:U72,CF!$B$8:$V$8)</f>
        <v>216589.49208721155</v>
      </c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</row>
    <row r="74" spans="1:23"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</row>
    <row r="75" spans="1:23">
      <c r="A75" s="70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</row>
    <row r="76" spans="1:23">
      <c r="A76" s="70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</row>
    <row r="77" spans="1:23" ht="18.75">
      <c r="A77" s="57" t="s">
        <v>290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</row>
    <row r="78" spans="1:23">
      <c r="A78" s="59"/>
      <c r="B78" s="20"/>
      <c r="C78" s="20"/>
      <c r="D78" s="20"/>
      <c r="E78" s="20"/>
      <c r="F78" s="20"/>
      <c r="G78" s="140"/>
      <c r="H78" s="20"/>
      <c r="I78" s="20"/>
      <c r="J78" s="20"/>
      <c r="K78" s="20"/>
      <c r="L78" s="20"/>
      <c r="M78" s="140"/>
      <c r="N78" s="20"/>
      <c r="O78" s="20"/>
      <c r="P78" s="20"/>
      <c r="Q78" s="20"/>
      <c r="R78" s="20"/>
      <c r="S78" s="140"/>
      <c r="T78" s="20"/>
      <c r="U78" s="20"/>
    </row>
    <row r="79" spans="1:23">
      <c r="A79" s="236"/>
      <c r="B79" s="257">
        <v>3</v>
      </c>
      <c r="C79" s="257">
        <v>4</v>
      </c>
      <c r="D79" s="257">
        <v>5</v>
      </c>
      <c r="E79" s="258">
        <v>6</v>
      </c>
      <c r="F79" s="257">
        <v>7</v>
      </c>
      <c r="G79" s="257">
        <v>8</v>
      </c>
      <c r="H79" s="257">
        <v>9</v>
      </c>
      <c r="I79" s="257">
        <v>10</v>
      </c>
      <c r="J79" s="257">
        <v>11</v>
      </c>
      <c r="K79" s="258">
        <v>12</v>
      </c>
      <c r="L79" s="257">
        <v>13</v>
      </c>
      <c r="M79" s="257">
        <v>14</v>
      </c>
      <c r="N79" s="257">
        <v>15</v>
      </c>
      <c r="O79" s="257">
        <v>16</v>
      </c>
      <c r="P79" s="257">
        <v>17</v>
      </c>
      <c r="Q79" s="258">
        <v>18</v>
      </c>
      <c r="R79" s="257">
        <v>19</v>
      </c>
      <c r="S79" s="257">
        <v>20</v>
      </c>
      <c r="T79" s="257">
        <v>21</v>
      </c>
      <c r="U79" s="257">
        <v>22</v>
      </c>
    </row>
    <row r="80" spans="1:23" ht="13.5" thickBot="1">
      <c r="A80" s="202" t="s">
        <v>83</v>
      </c>
      <c r="B80" s="8">
        <v>2001</v>
      </c>
      <c r="C80" s="8">
        <v>2002</v>
      </c>
      <c r="D80" s="8">
        <v>2003</v>
      </c>
      <c r="E80" s="8">
        <v>2004</v>
      </c>
      <c r="F80" s="8">
        <v>2005</v>
      </c>
      <c r="G80" s="8">
        <v>2006</v>
      </c>
      <c r="H80" s="8">
        <v>2007</v>
      </c>
      <c r="I80" s="8">
        <v>2008</v>
      </c>
      <c r="J80" s="8">
        <v>2009</v>
      </c>
      <c r="K80" s="8">
        <v>2010</v>
      </c>
      <c r="L80" s="8">
        <v>2011</v>
      </c>
      <c r="M80" s="8">
        <v>2012</v>
      </c>
      <c r="N80" s="8">
        <v>2013</v>
      </c>
      <c r="O80" s="8">
        <v>2014</v>
      </c>
      <c r="P80" s="8">
        <v>2015</v>
      </c>
      <c r="Q80" s="8">
        <v>2016</v>
      </c>
      <c r="R80" s="8">
        <v>2017</v>
      </c>
      <c r="S80" s="8">
        <v>2018</v>
      </c>
      <c r="T80" s="8">
        <v>2019</v>
      </c>
      <c r="U80" s="8">
        <v>2020</v>
      </c>
    </row>
    <row r="81" spans="1:44">
      <c r="A81" s="236"/>
      <c r="B81" s="264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44">
      <c r="A82" s="236"/>
      <c r="B82" s="264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44">
      <c r="A83" s="237" t="s">
        <v>279</v>
      </c>
      <c r="B83" s="264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44">
      <c r="A84" s="236"/>
      <c r="B84" s="264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44">
      <c r="A85" s="59" t="s">
        <v>292</v>
      </c>
      <c r="B85" s="508">
        <f>Depreciation!C14</f>
        <v>148091.09605749161</v>
      </c>
      <c r="C85" s="508">
        <f>Depreciation!D14</f>
        <v>143510.9590660228</v>
      </c>
      <c r="D85" s="508">
        <f>Depreciation!E14</f>
        <v>138930.82207455399</v>
      </c>
      <c r="E85" s="508">
        <f>Depreciation!F14</f>
        <v>134350.68508308518</v>
      </c>
      <c r="F85" s="508">
        <f>Depreciation!G14</f>
        <v>129770.54809161637</v>
      </c>
      <c r="G85" s="508">
        <f>Depreciation!H14</f>
        <v>125190.41110014755</v>
      </c>
      <c r="H85" s="508">
        <f>Depreciation!I14</f>
        <v>120610.27410867874</v>
      </c>
      <c r="I85" s="508">
        <f>Depreciation!J14</f>
        <v>116030.13711720993</v>
      </c>
      <c r="J85" s="508">
        <f>Depreciation!K14</f>
        <v>111450.00012574112</v>
      </c>
      <c r="K85" s="508">
        <f>Depreciation!L14</f>
        <v>106869.86313427231</v>
      </c>
      <c r="L85" s="508">
        <f>Depreciation!M14</f>
        <v>102289.7261428035</v>
      </c>
      <c r="M85" s="508">
        <f>Depreciation!N14</f>
        <v>97709.589151334687</v>
      </c>
      <c r="N85" s="508">
        <f>Depreciation!O14</f>
        <v>93129.452159865876</v>
      </c>
      <c r="O85" s="508">
        <f>Depreciation!P14</f>
        <v>88549.315168397065</v>
      </c>
      <c r="P85" s="508">
        <f>Depreciation!Q14</f>
        <v>83969.178176928253</v>
      </c>
      <c r="Q85" s="508">
        <f>Depreciation!R14</f>
        <v>79389.041185459442</v>
      </c>
      <c r="R85" s="508">
        <f>Depreciation!S14</f>
        <v>74808.904193990631</v>
      </c>
      <c r="S85" s="508">
        <f>Depreciation!T14</f>
        <v>70228.76720252182</v>
      </c>
      <c r="T85" s="508">
        <f>Depreciation!U14</f>
        <v>65648.630211053009</v>
      </c>
      <c r="U85" s="508">
        <f>Depreciation!V14</f>
        <v>61068.493219584198</v>
      </c>
      <c r="W85" s="483">
        <f t="shared" ref="W85:W93" si="20">SUM(B85:U85)</f>
        <v>2091595.8927707581</v>
      </c>
    </row>
    <row r="86" spans="1:44">
      <c r="A86" s="7" t="s">
        <v>276</v>
      </c>
      <c r="B86" s="508">
        <f>Depreciation!$B$12*Assumptions!$B$8</f>
        <v>72778.262611468977</v>
      </c>
      <c r="C86" s="508">
        <f>Depreciation!$B$12*Assumptions!$B$8</f>
        <v>72778.262611468977</v>
      </c>
      <c r="D86" s="508">
        <f>Depreciation!$B$12*Assumptions!$B$8</f>
        <v>72778.262611468977</v>
      </c>
      <c r="E86" s="508">
        <f>Depreciation!$B$12*Assumptions!$B$8</f>
        <v>72778.262611468977</v>
      </c>
      <c r="F86" s="508">
        <f>Depreciation!$B$12*Assumptions!$B$8</f>
        <v>72778.262611468977</v>
      </c>
      <c r="G86" s="508">
        <f>Depreciation!$B$12*Assumptions!$B$8</f>
        <v>72778.262611468977</v>
      </c>
      <c r="H86" s="508">
        <f>Depreciation!$B$12*Assumptions!$B$8</f>
        <v>72778.262611468977</v>
      </c>
      <c r="I86" s="508">
        <f>Depreciation!$B$12*Assumptions!$B$8</f>
        <v>72778.262611468977</v>
      </c>
      <c r="J86" s="508">
        <f>Depreciation!$B$12*Assumptions!$B$8</f>
        <v>72778.262611468977</v>
      </c>
      <c r="K86" s="508">
        <f>Depreciation!$B$12*Assumptions!$B$8</f>
        <v>72778.262611468977</v>
      </c>
      <c r="L86" s="508">
        <f>Depreciation!$B$12*Assumptions!$B$8</f>
        <v>72778.262611468977</v>
      </c>
      <c r="M86" s="508">
        <f>Depreciation!$B$12*Assumptions!$B$8</f>
        <v>72778.262611468977</v>
      </c>
      <c r="N86" s="508">
        <f>Depreciation!$B$12*Assumptions!$B$8</f>
        <v>72778.262611468977</v>
      </c>
      <c r="O86" s="508">
        <f>Depreciation!$B$12*Assumptions!$B$8</f>
        <v>72778.262611468977</v>
      </c>
      <c r="P86" s="508">
        <f>Depreciation!$B$12*Assumptions!$B$8</f>
        <v>72778.262611468977</v>
      </c>
      <c r="Q86" s="508">
        <f>Depreciation!$B$12*Assumptions!$B$8</f>
        <v>72778.262611468977</v>
      </c>
      <c r="R86" s="508">
        <f>Depreciation!$B$12*Assumptions!$B$8</f>
        <v>72778.262611468977</v>
      </c>
      <c r="S86" s="508">
        <f>Depreciation!$B$12*Assumptions!$B$8</f>
        <v>72778.262611468977</v>
      </c>
      <c r="T86" s="508">
        <f>Depreciation!$B$12*Assumptions!$B$8</f>
        <v>72778.262611468977</v>
      </c>
      <c r="U86" s="508">
        <f>Depreciation!$B$12*Assumptions!$B$8</f>
        <v>72778.262611468977</v>
      </c>
      <c r="W86" s="483">
        <f t="shared" si="20"/>
        <v>1455565.25222938</v>
      </c>
    </row>
    <row r="87" spans="1:44">
      <c r="A87" s="512" t="s">
        <v>285</v>
      </c>
      <c r="B87" s="509">
        <f>B49-B69</f>
        <v>-2604.2237411003771</v>
      </c>
      <c r="C87" s="509">
        <f t="shared" ref="C87:U87" si="21">C49-C69</f>
        <v>-5358.6787070184055</v>
      </c>
      <c r="D87" s="509">
        <f t="shared" si="21"/>
        <v>-4388.9663494271645</v>
      </c>
      <c r="E87" s="509">
        <f t="shared" si="21"/>
        <v>-7953.7730523890132</v>
      </c>
      <c r="F87" s="509">
        <f t="shared" si="21"/>
        <v>-6304.5091783149837</v>
      </c>
      <c r="G87" s="509">
        <f t="shared" si="21"/>
        <v>-5538.2094930855656</v>
      </c>
      <c r="H87" s="509">
        <f t="shared" si="21"/>
        <v>-4977.6138220761004</v>
      </c>
      <c r="I87" s="509">
        <f t="shared" si="21"/>
        <v>-4642.736787907992</v>
      </c>
      <c r="J87" s="509">
        <f t="shared" si="21"/>
        <v>-4201.8145671330258</v>
      </c>
      <c r="K87" s="509">
        <f t="shared" si="21"/>
        <v>-3827.3866991816121</v>
      </c>
      <c r="L87" s="509">
        <f t="shared" si="21"/>
        <v>-3271.3964771373794</v>
      </c>
      <c r="M87" s="509">
        <f t="shared" si="21"/>
        <v>-2633.5002649187772</v>
      </c>
      <c r="N87" s="509">
        <f t="shared" si="21"/>
        <v>-1990.0302996106111</v>
      </c>
      <c r="O87" s="509">
        <f t="shared" si="21"/>
        <v>-1270.0429026149686</v>
      </c>
      <c r="P87" s="509">
        <f t="shared" si="21"/>
        <v>-543.91750137207782</v>
      </c>
      <c r="Q87" s="509">
        <f t="shared" si="21"/>
        <v>2531.9190008202386</v>
      </c>
      <c r="R87" s="509">
        <f t="shared" si="21"/>
        <v>5545.2246290094408</v>
      </c>
      <c r="S87" s="509">
        <f t="shared" si="21"/>
        <v>6569.59622092873</v>
      </c>
      <c r="T87" s="509">
        <f t="shared" si="21"/>
        <v>7708.6271902720655</v>
      </c>
      <c r="U87" s="509">
        <f t="shared" si="21"/>
        <v>8991.8884569432012</v>
      </c>
      <c r="W87" s="483">
        <f t="shared" si="20"/>
        <v>-28159.544345314378</v>
      </c>
    </row>
    <row r="88" spans="1:44">
      <c r="A88" s="512" t="s">
        <v>286</v>
      </c>
      <c r="B88" s="510">
        <f>Debt!B70*Allocation!$F$7</f>
        <v>72104.702558198871</v>
      </c>
      <c r="C88" s="510">
        <f>Debt!C70*Allocation!$F$7</f>
        <v>72104.702558198871</v>
      </c>
      <c r="D88" s="510">
        <f>Debt!D70*Allocation!$F$7</f>
        <v>72104.702558198871</v>
      </c>
      <c r="E88" s="510">
        <f>Debt!E70*Allocation!$F$7</f>
        <v>72104.702558198871</v>
      </c>
      <c r="F88" s="510">
        <f>Debt!F70*Allocation!$F$7</f>
        <v>72104.702558198871</v>
      </c>
      <c r="G88" s="510">
        <f>Debt!G70*Allocation!$F$7</f>
        <v>72104.702558198871</v>
      </c>
      <c r="H88" s="510">
        <f>Debt!H70*Allocation!$F$7</f>
        <v>72104.702558198871</v>
      </c>
      <c r="I88" s="510">
        <f>Debt!I70*Allocation!$F$7</f>
        <v>72104.702558198871</v>
      </c>
      <c r="J88" s="510">
        <f>Debt!J70*Allocation!$F$7</f>
        <v>72104.702558198871</v>
      </c>
      <c r="K88" s="510">
        <f>Debt!K70*Allocation!$F$7</f>
        <v>72104.702558198871</v>
      </c>
      <c r="L88" s="510">
        <f>Debt!L70*Allocation!$F$7</f>
        <v>68425.155462650102</v>
      </c>
      <c r="M88" s="510">
        <f>Debt!M70*Allocation!$F$7</f>
        <v>64119.315253004184</v>
      </c>
      <c r="N88" s="510">
        <f>Debt!N70*Allocation!$F$7</f>
        <v>59169.87982122699</v>
      </c>
      <c r="O88" s="510">
        <f>Debt!O70*Allocation!$F$7</f>
        <v>53490.203423822692</v>
      </c>
      <c r="P88" s="510">
        <f>Debt!P70*Allocation!$F$7</f>
        <v>47027.683376824658</v>
      </c>
      <c r="Q88" s="510">
        <f>Debt!Q70*Allocation!$F$7</f>
        <v>39674.373996801172</v>
      </c>
      <c r="R88" s="510">
        <f>Debt!R70*Allocation!$F$7</f>
        <v>31414.245181082577</v>
      </c>
      <c r="S88" s="510">
        <f>Debt!S70*Allocation!$F$7</f>
        <v>22127.605944011539</v>
      </c>
      <c r="T88" s="510">
        <f>Debt!T70*Allocation!$F$7</f>
        <v>11703.632766006433</v>
      </c>
      <c r="U88" s="510">
        <f>Debt!U70*Allocation!$F$7</f>
        <v>0</v>
      </c>
      <c r="W88" s="483">
        <f t="shared" si="20"/>
        <v>1118199.1208074191</v>
      </c>
    </row>
    <row r="89" spans="1:44">
      <c r="A89" s="59" t="s">
        <v>293</v>
      </c>
      <c r="B89" s="511">
        <f>SUM(B86:B88)</f>
        <v>142278.74142856747</v>
      </c>
      <c r="C89" s="511">
        <f t="shared" ref="C89:U89" si="22">SUM(C86:C88)</f>
        <v>139524.28646264944</v>
      </c>
      <c r="D89" s="511">
        <f t="shared" si="22"/>
        <v>140493.99882024067</v>
      </c>
      <c r="E89" s="511">
        <f t="shared" si="22"/>
        <v>136929.19211727884</v>
      </c>
      <c r="F89" s="511">
        <f t="shared" si="22"/>
        <v>138578.45599135285</v>
      </c>
      <c r="G89" s="511">
        <f t="shared" si="22"/>
        <v>139344.75567658228</v>
      </c>
      <c r="H89" s="511">
        <f t="shared" si="22"/>
        <v>139905.35134759173</v>
      </c>
      <c r="I89" s="511">
        <f t="shared" si="22"/>
        <v>140240.22838175984</v>
      </c>
      <c r="J89" s="511">
        <f t="shared" si="22"/>
        <v>140681.15060253482</v>
      </c>
      <c r="K89" s="511">
        <f t="shared" si="22"/>
        <v>141055.57847048622</v>
      </c>
      <c r="L89" s="511">
        <f t="shared" si="22"/>
        <v>137932.02159698168</v>
      </c>
      <c r="M89" s="511">
        <f t="shared" si="22"/>
        <v>134264.07759955438</v>
      </c>
      <c r="N89" s="511">
        <f t="shared" si="22"/>
        <v>129958.11213308535</v>
      </c>
      <c r="O89" s="511">
        <f t="shared" si="22"/>
        <v>124998.4231326767</v>
      </c>
      <c r="P89" s="511">
        <f t="shared" si="22"/>
        <v>119262.02848692155</v>
      </c>
      <c r="Q89" s="511">
        <f t="shared" si="22"/>
        <v>114984.5556090904</v>
      </c>
      <c r="R89" s="511">
        <f t="shared" si="22"/>
        <v>109737.732421561</v>
      </c>
      <c r="S89" s="511">
        <f t="shared" si="22"/>
        <v>101475.46477640924</v>
      </c>
      <c r="T89" s="511">
        <f t="shared" si="22"/>
        <v>92190.522567747466</v>
      </c>
      <c r="U89" s="511">
        <f t="shared" si="22"/>
        <v>81770.151068412175</v>
      </c>
      <c r="W89" s="483">
        <f t="shared" si="20"/>
        <v>2545604.8286914839</v>
      </c>
    </row>
    <row r="90" spans="1:44">
      <c r="A90" s="236"/>
      <c r="B90" s="511"/>
      <c r="C90" s="511"/>
      <c r="D90" s="511"/>
      <c r="E90" s="511"/>
      <c r="F90" s="511"/>
      <c r="G90" s="511"/>
      <c r="H90" s="511"/>
      <c r="I90" s="511"/>
      <c r="J90" s="511"/>
      <c r="K90" s="511"/>
      <c r="L90" s="511"/>
      <c r="M90" s="511"/>
      <c r="N90" s="511"/>
      <c r="O90" s="511"/>
      <c r="P90" s="511"/>
      <c r="Q90" s="511"/>
      <c r="R90" s="511"/>
      <c r="S90" s="511"/>
      <c r="T90" s="511"/>
      <c r="U90" s="511"/>
      <c r="W90" s="483">
        <f t="shared" si="20"/>
        <v>0</v>
      </c>
    </row>
    <row r="91" spans="1:44">
      <c r="A91" s="59" t="s">
        <v>294</v>
      </c>
      <c r="B91" s="511">
        <f>MAX(B89,B85)</f>
        <v>148091.09605749161</v>
      </c>
      <c r="C91" s="511">
        <f t="shared" ref="C91:U91" si="23">MAX(C89,C85)</f>
        <v>143510.9590660228</v>
      </c>
      <c r="D91" s="511">
        <f t="shared" si="23"/>
        <v>140493.99882024067</v>
      </c>
      <c r="E91" s="511">
        <f t="shared" si="23"/>
        <v>136929.19211727884</v>
      </c>
      <c r="F91" s="511">
        <f t="shared" si="23"/>
        <v>138578.45599135285</v>
      </c>
      <c r="G91" s="511">
        <f t="shared" si="23"/>
        <v>139344.75567658228</v>
      </c>
      <c r="H91" s="511">
        <f t="shared" si="23"/>
        <v>139905.35134759173</v>
      </c>
      <c r="I91" s="511">
        <f t="shared" si="23"/>
        <v>140240.22838175984</v>
      </c>
      <c r="J91" s="511">
        <f t="shared" si="23"/>
        <v>140681.15060253482</v>
      </c>
      <c r="K91" s="511">
        <f t="shared" si="23"/>
        <v>141055.57847048622</v>
      </c>
      <c r="L91" s="511">
        <f t="shared" si="23"/>
        <v>137932.02159698168</v>
      </c>
      <c r="M91" s="511">
        <f t="shared" si="23"/>
        <v>134264.07759955438</v>
      </c>
      <c r="N91" s="511">
        <f t="shared" si="23"/>
        <v>129958.11213308535</v>
      </c>
      <c r="O91" s="511">
        <f t="shared" si="23"/>
        <v>124998.4231326767</v>
      </c>
      <c r="P91" s="511">
        <f t="shared" si="23"/>
        <v>119262.02848692155</v>
      </c>
      <c r="Q91" s="511">
        <f t="shared" si="23"/>
        <v>114984.5556090904</v>
      </c>
      <c r="R91" s="511">
        <f t="shared" si="23"/>
        <v>109737.732421561</v>
      </c>
      <c r="S91" s="511">
        <f t="shared" si="23"/>
        <v>101475.46477640924</v>
      </c>
      <c r="T91" s="511">
        <f t="shared" si="23"/>
        <v>92190.522567747466</v>
      </c>
      <c r="U91" s="511">
        <f t="shared" si="23"/>
        <v>81770.151068412175</v>
      </c>
      <c r="W91" s="483">
        <f t="shared" si="20"/>
        <v>2555403.8559237816</v>
      </c>
    </row>
    <row r="92" spans="1:44">
      <c r="A92" s="512" t="s">
        <v>288</v>
      </c>
      <c r="B92" s="514">
        <f>Summary!$C$40</f>
        <v>2.5000000000000001E-3</v>
      </c>
      <c r="C92" s="514">
        <f>Summary!$C$41</f>
        <v>2.5000000000000001E-3</v>
      </c>
      <c r="D92" s="514">
        <f>Summary!$C$41</f>
        <v>2.5000000000000001E-3</v>
      </c>
      <c r="E92" s="514">
        <f>Summary!$C$41</f>
        <v>2.5000000000000001E-3</v>
      </c>
      <c r="F92" s="514">
        <f>Summary!$C$41</f>
        <v>2.5000000000000001E-3</v>
      </c>
      <c r="G92" s="514">
        <f>Summary!$C$41</f>
        <v>2.5000000000000001E-3</v>
      </c>
      <c r="H92" s="514">
        <f>Summary!$C$41</f>
        <v>2.5000000000000001E-3</v>
      </c>
      <c r="I92" s="514">
        <f>Summary!$C$41</f>
        <v>2.5000000000000001E-3</v>
      </c>
      <c r="J92" s="514">
        <f>Summary!$C$41</f>
        <v>2.5000000000000001E-3</v>
      </c>
      <c r="K92" s="514">
        <f>Summary!$C$41</f>
        <v>2.5000000000000001E-3</v>
      </c>
      <c r="L92" s="514">
        <f>Summary!$C$41</f>
        <v>2.5000000000000001E-3</v>
      </c>
      <c r="M92" s="514">
        <f>Summary!$C$41</f>
        <v>2.5000000000000001E-3</v>
      </c>
      <c r="N92" s="514">
        <f>Summary!$C$41</f>
        <v>2.5000000000000001E-3</v>
      </c>
      <c r="O92" s="514">
        <f>Summary!$C$41</f>
        <v>2.5000000000000001E-3</v>
      </c>
      <c r="P92" s="514">
        <f>Summary!$C$41</f>
        <v>2.5000000000000001E-3</v>
      </c>
      <c r="Q92" s="514">
        <f>Summary!$C$41</f>
        <v>2.5000000000000001E-3</v>
      </c>
      <c r="R92" s="514">
        <f>Summary!$C$41</f>
        <v>2.5000000000000001E-3</v>
      </c>
      <c r="S92" s="514">
        <f>Summary!$C$41</f>
        <v>2.5000000000000001E-3</v>
      </c>
      <c r="T92" s="514">
        <f>Summary!$C$41</f>
        <v>2.5000000000000001E-3</v>
      </c>
      <c r="U92" s="514">
        <f>Summary!$C$41</f>
        <v>2.5000000000000001E-3</v>
      </c>
      <c r="W92" s="483"/>
    </row>
    <row r="93" spans="1:44">
      <c r="A93" s="236" t="s">
        <v>281</v>
      </c>
      <c r="B93" s="536">
        <v>370.14055059687178</v>
      </c>
      <c r="C93" s="536">
        <v>358.69290470212314</v>
      </c>
      <c r="D93" s="536">
        <v>351.15642773397605</v>
      </c>
      <c r="E93" s="536">
        <v>342.30364535812566</v>
      </c>
      <c r="F93" s="536">
        <v>346.30976221917751</v>
      </c>
      <c r="G93" s="536">
        <v>348.26436640176291</v>
      </c>
      <c r="H93" s="536">
        <v>349.67676456837864</v>
      </c>
      <c r="I93" s="536">
        <v>350.51761544124105</v>
      </c>
      <c r="J93" s="536">
        <v>351.60855062517157</v>
      </c>
      <c r="K93" s="536">
        <v>352.55016003013867</v>
      </c>
      <c r="L93" s="536">
        <v>344.74363034913767</v>
      </c>
      <c r="M93" s="536">
        <v>335.57381347476195</v>
      </c>
      <c r="N93" s="536">
        <v>324.81354673820817</v>
      </c>
      <c r="O93" s="536">
        <v>312.41960660598454</v>
      </c>
      <c r="P93" s="536">
        <v>298.0846075131999</v>
      </c>
      <c r="Q93" s="536">
        <v>287.39522779672996</v>
      </c>
      <c r="R93" s="536">
        <v>274.29357620064229</v>
      </c>
      <c r="S93" s="536">
        <v>253.63593288469863</v>
      </c>
      <c r="T93" s="536">
        <v>230.41032831071789</v>
      </c>
      <c r="U93" s="536">
        <v>204.36764871116134</v>
      </c>
      <c r="W93" s="483">
        <f t="shared" si="20"/>
        <v>6386.9586662622096</v>
      </c>
      <c r="Y93" s="536">
        <f t="shared" ref="Y93:AR93" si="24">Y91*Y92</f>
        <v>0</v>
      </c>
      <c r="Z93" s="536">
        <f t="shared" si="24"/>
        <v>0</v>
      </c>
      <c r="AA93" s="536">
        <f t="shared" si="24"/>
        <v>0</v>
      </c>
      <c r="AB93" s="536">
        <f t="shared" si="24"/>
        <v>0</v>
      </c>
      <c r="AC93" s="536">
        <f t="shared" si="24"/>
        <v>0</v>
      </c>
      <c r="AD93" s="536">
        <f t="shared" si="24"/>
        <v>0</v>
      </c>
      <c r="AE93" s="536">
        <f t="shared" si="24"/>
        <v>0</v>
      </c>
      <c r="AF93" s="536">
        <f t="shared" si="24"/>
        <v>0</v>
      </c>
      <c r="AG93" s="536">
        <f t="shared" si="24"/>
        <v>0</v>
      </c>
      <c r="AH93" s="536">
        <f t="shared" si="24"/>
        <v>0</v>
      </c>
      <c r="AI93" s="536">
        <f t="shared" si="24"/>
        <v>0</v>
      </c>
      <c r="AJ93" s="536">
        <f t="shared" si="24"/>
        <v>0</v>
      </c>
      <c r="AK93" s="536">
        <f t="shared" si="24"/>
        <v>0</v>
      </c>
      <c r="AL93" s="536">
        <f t="shared" si="24"/>
        <v>0</v>
      </c>
      <c r="AM93" s="536">
        <f t="shared" si="24"/>
        <v>0</v>
      </c>
      <c r="AN93" s="536">
        <f t="shared" si="24"/>
        <v>0</v>
      </c>
      <c r="AO93" s="536">
        <f t="shared" si="24"/>
        <v>0</v>
      </c>
      <c r="AP93" s="536">
        <f t="shared" si="24"/>
        <v>0</v>
      </c>
      <c r="AQ93" s="536">
        <f t="shared" si="24"/>
        <v>0</v>
      </c>
      <c r="AR93" s="536">
        <f t="shared" si="24"/>
        <v>0</v>
      </c>
    </row>
    <row r="94" spans="1:44">
      <c r="A94" s="512"/>
      <c r="B94" s="513"/>
      <c r="C94" s="513"/>
      <c r="D94" s="513"/>
      <c r="E94" s="513"/>
      <c r="F94" s="513"/>
      <c r="G94" s="513"/>
      <c r="H94" s="513"/>
      <c r="I94" s="513"/>
      <c r="J94" s="513"/>
      <c r="K94" s="513"/>
      <c r="L94" s="513"/>
      <c r="M94" s="513"/>
      <c r="N94" s="513"/>
      <c r="O94" s="513"/>
      <c r="P94" s="513"/>
      <c r="Q94" s="513"/>
      <c r="R94" s="513"/>
      <c r="S94" s="513"/>
      <c r="T94" s="513"/>
      <c r="U94" s="513"/>
    </row>
    <row r="95" spans="1:44">
      <c r="A95" s="236"/>
      <c r="B95" s="264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spans="1:44">
      <c r="A96" s="237" t="s">
        <v>112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1:23">
      <c r="A97" s="237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1:23">
      <c r="A98" s="23" t="s">
        <v>182</v>
      </c>
      <c r="B98" s="22">
        <f>B44</f>
        <v>4590.4260738271332</v>
      </c>
      <c r="C98" s="22">
        <f t="shared" ref="C98:U98" si="25">C44</f>
        <v>4813.4078651018881</v>
      </c>
      <c r="D98" s="22">
        <f t="shared" si="25"/>
        <v>5134.969596543071</v>
      </c>
      <c r="E98" s="22">
        <f t="shared" si="25"/>
        <v>15407.641359709414</v>
      </c>
      <c r="F98" s="22">
        <f t="shared" si="25"/>
        <v>17083.763266421556</v>
      </c>
      <c r="G98" s="22">
        <f t="shared" si="25"/>
        <v>17590.982559717522</v>
      </c>
      <c r="H98" s="22">
        <f t="shared" si="25"/>
        <v>18062.137376867529</v>
      </c>
      <c r="I98" s="22">
        <f t="shared" si="25"/>
        <v>18593.806804599182</v>
      </c>
      <c r="J98" s="22">
        <f t="shared" si="25"/>
        <v>19261.758255379107</v>
      </c>
      <c r="K98" s="22">
        <f t="shared" si="25"/>
        <v>19877.575920564206</v>
      </c>
      <c r="L98" s="22">
        <f t="shared" si="25"/>
        <v>20804.584879715221</v>
      </c>
      <c r="M98" s="22">
        <f t="shared" si="25"/>
        <v>21784.843982023136</v>
      </c>
      <c r="N98" s="22">
        <f t="shared" si="25"/>
        <v>22874.710497916371</v>
      </c>
      <c r="O98" s="22">
        <f t="shared" si="25"/>
        <v>24020.767711925819</v>
      </c>
      <c r="P98" s="22">
        <f t="shared" si="25"/>
        <v>25196.74757939831</v>
      </c>
      <c r="Q98" s="22">
        <f t="shared" si="25"/>
        <v>26334.038520163689</v>
      </c>
      <c r="R98" s="22">
        <f t="shared" si="25"/>
        <v>27586.030921886686</v>
      </c>
      <c r="S98" s="22">
        <f t="shared" si="25"/>
        <v>28923.344994191626</v>
      </c>
      <c r="T98" s="22">
        <f t="shared" si="25"/>
        <v>30364.942924174233</v>
      </c>
      <c r="U98" s="22">
        <f t="shared" si="25"/>
        <v>31929.427341844719</v>
      </c>
      <c r="W98" s="483">
        <f>SUM(B98:U98)</f>
        <v>400235.9084319704</v>
      </c>
    </row>
    <row r="99" spans="1:23">
      <c r="A99" s="23" t="s">
        <v>183</v>
      </c>
      <c r="B99" s="22">
        <f>B38</f>
        <v>4580.136991468813</v>
      </c>
      <c r="C99" s="22">
        <f t="shared" ref="C99:U99" si="26">C38</f>
        <v>4580.136991468813</v>
      </c>
      <c r="D99" s="22">
        <f t="shared" si="26"/>
        <v>4580.136991468813</v>
      </c>
      <c r="E99" s="22">
        <f t="shared" si="26"/>
        <v>4580.136991468813</v>
      </c>
      <c r="F99" s="22">
        <f t="shared" si="26"/>
        <v>4580.136991468813</v>
      </c>
      <c r="G99" s="22">
        <f t="shared" si="26"/>
        <v>4580.136991468813</v>
      </c>
      <c r="H99" s="22">
        <f t="shared" si="26"/>
        <v>4580.136991468813</v>
      </c>
      <c r="I99" s="22">
        <f t="shared" si="26"/>
        <v>4580.136991468813</v>
      </c>
      <c r="J99" s="22">
        <f t="shared" si="26"/>
        <v>4580.136991468813</v>
      </c>
      <c r="K99" s="22">
        <f t="shared" si="26"/>
        <v>4580.136991468813</v>
      </c>
      <c r="L99" s="22">
        <f t="shared" si="26"/>
        <v>4580.136991468813</v>
      </c>
      <c r="M99" s="22">
        <f t="shared" si="26"/>
        <v>4580.136991468813</v>
      </c>
      <c r="N99" s="22">
        <f t="shared" si="26"/>
        <v>4580.136991468813</v>
      </c>
      <c r="O99" s="22">
        <f t="shared" si="26"/>
        <v>4580.136991468813</v>
      </c>
      <c r="P99" s="22">
        <f t="shared" si="26"/>
        <v>4580.136991468813</v>
      </c>
      <c r="Q99" s="22">
        <f t="shared" si="26"/>
        <v>4580.136991468813</v>
      </c>
      <c r="R99" s="22">
        <f t="shared" si="26"/>
        <v>4580.136991468813</v>
      </c>
      <c r="S99" s="22">
        <f t="shared" si="26"/>
        <v>4580.136991468813</v>
      </c>
      <c r="T99" s="22">
        <f t="shared" si="26"/>
        <v>4580.136991468813</v>
      </c>
      <c r="U99" s="22">
        <f t="shared" si="26"/>
        <v>4580.136991468813</v>
      </c>
      <c r="W99" s="483">
        <f>SUM(B99:U99)</f>
        <v>91602.739829376238</v>
      </c>
    </row>
    <row r="100" spans="1:23" ht="15">
      <c r="A100" s="23" t="s">
        <v>308</v>
      </c>
      <c r="B100" s="240">
        <f>-Depreciation!C69-Depreciation!C112*Allocation!$F$7</f>
        <v>-7633.5616524480211</v>
      </c>
      <c r="C100" s="240">
        <f>-Depreciation!D69-Depreciation!D112*Allocation!$F$7</f>
        <v>-14503.76713965124</v>
      </c>
      <c r="D100" s="240">
        <f>-Depreciation!E69-Depreciation!E112*Allocation!$F$7</f>
        <v>-13053.390425686117</v>
      </c>
      <c r="E100" s="240">
        <f>-Depreciation!F69-Depreciation!F112*Allocation!$F$7</f>
        <v>-11755.684944769951</v>
      </c>
      <c r="F100" s="240">
        <f>-Depreciation!G69-Depreciation!G112*Allocation!$F$7</f>
        <v>-10580.116450292957</v>
      </c>
      <c r="G100" s="240">
        <f>-Depreciation!H69-Depreciation!H112*Allocation!$F$7</f>
        <v>-9511.4178189502345</v>
      </c>
      <c r="H100" s="240">
        <f>-Depreciation!I69-Depreciation!I112*Allocation!$F$7</f>
        <v>-9007.6027498886651</v>
      </c>
      <c r="I100" s="240">
        <f>-Depreciation!J69-Depreciation!J112*Allocation!$F$7</f>
        <v>-9022.8698731935601</v>
      </c>
      <c r="J100" s="240">
        <f>-Depreciation!K69-Depreciation!K112*Allocation!$F$7</f>
        <v>-9007.6027498886651</v>
      </c>
      <c r="K100" s="240">
        <f>-Depreciation!L69-Depreciation!L112*Allocation!$F$7</f>
        <v>-9022.8698731935601</v>
      </c>
      <c r="L100" s="240">
        <f>-Depreciation!M69-Depreciation!M112*Allocation!$F$7</f>
        <v>-9007.6027498886651</v>
      </c>
      <c r="M100" s="240">
        <f>-Depreciation!N69-Depreciation!N112*Allocation!$F$7</f>
        <v>-9022.8698731935601</v>
      </c>
      <c r="N100" s="240">
        <f>-Depreciation!O69-Depreciation!O112*Allocation!$F$7</f>
        <v>-9007.6027498886651</v>
      </c>
      <c r="O100" s="240">
        <f>-Depreciation!P69-Depreciation!P112*Allocation!$F$7</f>
        <v>-9022.8698731935601</v>
      </c>
      <c r="P100" s="240">
        <f>-Depreciation!Q69-Depreciation!Q112*Allocation!$F$7</f>
        <v>-9007.6027498886651</v>
      </c>
      <c r="Q100" s="240">
        <f>-Depreciation!R69-Depreciation!R112*Allocation!$F$7</f>
        <v>-4503.8013749443326</v>
      </c>
      <c r="R100" s="240">
        <f>-Depreciation!S69-Depreciation!S112*Allocation!$F$7</f>
        <v>0</v>
      </c>
      <c r="S100" s="240">
        <f>-Depreciation!T69-Depreciation!T112*Allocation!$F$7</f>
        <v>0</v>
      </c>
      <c r="T100" s="240">
        <f>-Depreciation!U69-Depreciation!U112*Allocation!$F$7</f>
        <v>0</v>
      </c>
      <c r="U100" s="240">
        <f>-Depreciation!V69-Depreciation!V112*Allocation!$F$7</f>
        <v>0</v>
      </c>
      <c r="W100" s="484">
        <f>SUM(B100:U100)</f>
        <v>-152671.23304896042</v>
      </c>
    </row>
    <row r="101" spans="1:23">
      <c r="A101" s="239" t="s">
        <v>181</v>
      </c>
      <c r="B101" s="24">
        <f t="shared" ref="B101:U101" si="27">SUM(B98:B100)</f>
        <v>1537.0014128479252</v>
      </c>
      <c r="C101" s="24">
        <f t="shared" si="27"/>
        <v>-5110.2222830805385</v>
      </c>
      <c r="D101" s="24">
        <f t="shared" si="27"/>
        <v>-3338.2838376742329</v>
      </c>
      <c r="E101" s="24">
        <f t="shared" si="27"/>
        <v>8232.0934064082739</v>
      </c>
      <c r="F101" s="24">
        <f t="shared" si="27"/>
        <v>11083.78380759741</v>
      </c>
      <c r="G101" s="24">
        <f t="shared" si="27"/>
        <v>12659.701732236099</v>
      </c>
      <c r="H101" s="24">
        <f t="shared" si="27"/>
        <v>13634.671618447679</v>
      </c>
      <c r="I101" s="24">
        <f t="shared" si="27"/>
        <v>14151.073922874433</v>
      </c>
      <c r="J101" s="24">
        <f t="shared" si="27"/>
        <v>14834.292496959253</v>
      </c>
      <c r="K101" s="24">
        <f t="shared" si="27"/>
        <v>15434.843038839461</v>
      </c>
      <c r="L101" s="24">
        <f t="shared" si="27"/>
        <v>16377.119121295367</v>
      </c>
      <c r="M101" s="24">
        <f t="shared" si="27"/>
        <v>17342.111100298389</v>
      </c>
      <c r="N101" s="24">
        <f t="shared" si="27"/>
        <v>18447.244739496517</v>
      </c>
      <c r="O101" s="24">
        <f t="shared" si="27"/>
        <v>19578.034830201075</v>
      </c>
      <c r="P101" s="24">
        <f t="shared" si="27"/>
        <v>20769.281820978456</v>
      </c>
      <c r="Q101" s="24">
        <f t="shared" si="27"/>
        <v>26410.374136688166</v>
      </c>
      <c r="R101" s="24">
        <f t="shared" si="27"/>
        <v>32166.167913355501</v>
      </c>
      <c r="S101" s="24">
        <f t="shared" si="27"/>
        <v>33503.481985660437</v>
      </c>
      <c r="T101" s="24">
        <f t="shared" si="27"/>
        <v>34945.079915643044</v>
      </c>
      <c r="U101" s="24">
        <f t="shared" si="27"/>
        <v>36509.56433331353</v>
      </c>
      <c r="W101" s="483">
        <f>SUM(B101:U101)</f>
        <v>339167.41521238623</v>
      </c>
    </row>
    <row r="102" spans="1:23">
      <c r="A102" s="23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</row>
    <row r="103" spans="1:23">
      <c r="A103" s="23" t="s">
        <v>53</v>
      </c>
      <c r="B103" s="481">
        <f>Summary!$C$37</f>
        <v>0.06</v>
      </c>
      <c r="C103" s="481">
        <f>Summary!$C$37</f>
        <v>0.06</v>
      </c>
      <c r="D103" s="481">
        <f>Summary!$C$37</f>
        <v>0.06</v>
      </c>
      <c r="E103" s="481">
        <f>Summary!$C$37</f>
        <v>0.06</v>
      </c>
      <c r="F103" s="481">
        <f>Summary!$C$37</f>
        <v>0.06</v>
      </c>
      <c r="G103" s="481">
        <f>Summary!$C$37</f>
        <v>0.06</v>
      </c>
      <c r="H103" s="481">
        <f>Summary!$C$37</f>
        <v>0.06</v>
      </c>
      <c r="I103" s="481">
        <f>Summary!$C$37</f>
        <v>0.06</v>
      </c>
      <c r="J103" s="481">
        <f>Summary!$C$37</f>
        <v>0.06</v>
      </c>
      <c r="K103" s="481">
        <f>Summary!$C$37</f>
        <v>0.06</v>
      </c>
      <c r="L103" s="481">
        <f>Summary!$C$37</f>
        <v>0.06</v>
      </c>
      <c r="M103" s="481">
        <f>Summary!$C$37</f>
        <v>0.06</v>
      </c>
      <c r="N103" s="481">
        <f>Summary!$C$37</f>
        <v>0.06</v>
      </c>
      <c r="O103" s="481">
        <f>Summary!$C$37</f>
        <v>0.06</v>
      </c>
      <c r="P103" s="481">
        <f>Summary!$C$37</f>
        <v>0.06</v>
      </c>
      <c r="Q103" s="481">
        <f>Summary!$C$37</f>
        <v>0.06</v>
      </c>
      <c r="R103" s="481">
        <f>Summary!$C$37</f>
        <v>0.06</v>
      </c>
      <c r="S103" s="481">
        <f>Summary!$C$37</f>
        <v>0.06</v>
      </c>
      <c r="T103" s="481">
        <f>Summary!$C$37</f>
        <v>0.06</v>
      </c>
      <c r="U103" s="481">
        <f>Summary!$C$37</f>
        <v>0.06</v>
      </c>
    </row>
    <row r="104" spans="1:23">
      <c r="A104" s="23" t="s">
        <v>184</v>
      </c>
      <c r="B104" s="22">
        <f>B101*B103</f>
        <v>92.220084770875502</v>
      </c>
      <c r="C104" s="22">
        <f t="shared" ref="C104:U104" si="28">C101*C103</f>
        <v>-306.6133369848323</v>
      </c>
      <c r="D104" s="22">
        <f t="shared" si="28"/>
        <v>-200.29703026045397</v>
      </c>
      <c r="E104" s="22">
        <f t="shared" si="28"/>
        <v>493.92560438449641</v>
      </c>
      <c r="F104" s="22">
        <f t="shared" si="28"/>
        <v>665.02702845584463</v>
      </c>
      <c r="G104" s="22">
        <f t="shared" si="28"/>
        <v>759.58210393416596</v>
      </c>
      <c r="H104" s="22">
        <f t="shared" si="28"/>
        <v>818.08029710686071</v>
      </c>
      <c r="I104" s="22">
        <f t="shared" si="28"/>
        <v>849.06443537246594</v>
      </c>
      <c r="J104" s="22">
        <f t="shared" si="28"/>
        <v>890.05754981755513</v>
      </c>
      <c r="K104" s="22">
        <f t="shared" si="28"/>
        <v>926.09058233036762</v>
      </c>
      <c r="L104" s="22">
        <f t="shared" si="28"/>
        <v>982.62714727772197</v>
      </c>
      <c r="M104" s="22">
        <f t="shared" si="28"/>
        <v>1040.5266660179034</v>
      </c>
      <c r="N104" s="22">
        <f t="shared" si="28"/>
        <v>1106.8346843697909</v>
      </c>
      <c r="O104" s="22">
        <f t="shared" si="28"/>
        <v>1174.6820898120645</v>
      </c>
      <c r="P104" s="22">
        <f t="shared" si="28"/>
        <v>1246.1569092587074</v>
      </c>
      <c r="Q104" s="22">
        <f t="shared" si="28"/>
        <v>1584.6224482012899</v>
      </c>
      <c r="R104" s="22">
        <f t="shared" si="28"/>
        <v>1929.9700748013299</v>
      </c>
      <c r="S104" s="22">
        <f t="shared" si="28"/>
        <v>2010.2089191396262</v>
      </c>
      <c r="T104" s="22">
        <f t="shared" si="28"/>
        <v>2096.7047949385824</v>
      </c>
      <c r="U104" s="22">
        <f t="shared" si="28"/>
        <v>2190.5738599988117</v>
      </c>
    </row>
    <row r="105" spans="1:23">
      <c r="A105" s="23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</row>
    <row r="106" spans="1:23">
      <c r="A106" s="23" t="s">
        <v>185</v>
      </c>
      <c r="B106" s="22">
        <v>0</v>
      </c>
      <c r="C106" s="22">
        <f t="shared" ref="C106:U106" si="29">B110</f>
        <v>0</v>
      </c>
      <c r="D106" s="22">
        <f t="shared" si="29"/>
        <v>306.6133369848323</v>
      </c>
      <c r="E106" s="22">
        <f t="shared" si="29"/>
        <v>506.91036724528624</v>
      </c>
      <c r="F106" s="22">
        <f t="shared" si="29"/>
        <v>12.984762860789829</v>
      </c>
      <c r="G106" s="22">
        <f t="shared" si="29"/>
        <v>0</v>
      </c>
      <c r="H106" s="22">
        <f t="shared" si="29"/>
        <v>0</v>
      </c>
      <c r="I106" s="22">
        <f t="shared" si="29"/>
        <v>0</v>
      </c>
      <c r="J106" s="22">
        <f t="shared" si="29"/>
        <v>0</v>
      </c>
      <c r="K106" s="22">
        <f t="shared" si="29"/>
        <v>0</v>
      </c>
      <c r="L106" s="22">
        <f t="shared" si="29"/>
        <v>0</v>
      </c>
      <c r="M106" s="22">
        <f t="shared" si="29"/>
        <v>0</v>
      </c>
      <c r="N106" s="22">
        <f>M110</f>
        <v>0</v>
      </c>
      <c r="O106" s="22">
        <f t="shared" si="29"/>
        <v>0</v>
      </c>
      <c r="P106" s="22">
        <f t="shared" si="29"/>
        <v>0</v>
      </c>
      <c r="Q106" s="22">
        <f t="shared" si="29"/>
        <v>0</v>
      </c>
      <c r="R106" s="22">
        <v>0</v>
      </c>
      <c r="S106" s="22">
        <f t="shared" si="29"/>
        <v>0</v>
      </c>
      <c r="T106" s="22">
        <f t="shared" si="29"/>
        <v>0</v>
      </c>
      <c r="U106" s="22">
        <f t="shared" si="29"/>
        <v>0</v>
      </c>
    </row>
    <row r="107" spans="1:23">
      <c r="A107" s="23" t="s">
        <v>186</v>
      </c>
      <c r="B107" s="255">
        <f t="shared" ref="B107:U107" si="30">IF(B77&gt;2020,0,IF(B104&lt;0,-B104,0))</f>
        <v>0</v>
      </c>
      <c r="C107" s="255">
        <f t="shared" si="30"/>
        <v>306.6133369848323</v>
      </c>
      <c r="D107" s="255">
        <f t="shared" si="30"/>
        <v>200.29703026045397</v>
      </c>
      <c r="E107" s="255">
        <f t="shared" si="30"/>
        <v>0</v>
      </c>
      <c r="F107" s="255">
        <f t="shared" si="30"/>
        <v>0</v>
      </c>
      <c r="G107" s="255">
        <f t="shared" si="30"/>
        <v>0</v>
      </c>
      <c r="H107" s="255">
        <f t="shared" si="30"/>
        <v>0</v>
      </c>
      <c r="I107" s="255">
        <f t="shared" si="30"/>
        <v>0</v>
      </c>
      <c r="J107" s="255">
        <f t="shared" si="30"/>
        <v>0</v>
      </c>
      <c r="K107" s="255">
        <f t="shared" si="30"/>
        <v>0</v>
      </c>
      <c r="L107" s="255">
        <f t="shared" si="30"/>
        <v>0</v>
      </c>
      <c r="M107" s="255">
        <f t="shared" si="30"/>
        <v>0</v>
      </c>
      <c r="N107" s="255">
        <f t="shared" si="30"/>
        <v>0</v>
      </c>
      <c r="O107" s="255">
        <f t="shared" si="30"/>
        <v>0</v>
      </c>
      <c r="P107" s="255">
        <f t="shared" si="30"/>
        <v>0</v>
      </c>
      <c r="Q107" s="255">
        <f t="shared" si="30"/>
        <v>0</v>
      </c>
      <c r="R107" s="255">
        <f t="shared" si="30"/>
        <v>0</v>
      </c>
      <c r="S107" s="255">
        <f t="shared" si="30"/>
        <v>0</v>
      </c>
      <c r="T107" s="255">
        <f t="shared" si="30"/>
        <v>0</v>
      </c>
      <c r="U107" s="255">
        <f t="shared" si="30"/>
        <v>0</v>
      </c>
    </row>
    <row r="108" spans="1:23">
      <c r="A108" s="23" t="s">
        <v>187</v>
      </c>
      <c r="B108" s="241">
        <v>0</v>
      </c>
      <c r="C108" s="241">
        <v>0</v>
      </c>
      <c r="D108" s="241">
        <v>0</v>
      </c>
      <c r="E108" s="241">
        <v>0</v>
      </c>
      <c r="F108" s="241">
        <v>0</v>
      </c>
      <c r="G108" s="241">
        <v>0</v>
      </c>
      <c r="H108" s="241">
        <v>0</v>
      </c>
      <c r="I108" s="241">
        <v>0</v>
      </c>
      <c r="J108" s="241">
        <v>0</v>
      </c>
      <c r="K108" s="241">
        <v>0</v>
      </c>
      <c r="L108" s="241">
        <v>0</v>
      </c>
      <c r="M108" s="241">
        <v>0</v>
      </c>
      <c r="N108" s="241">
        <v>0</v>
      </c>
      <c r="O108" s="241">
        <v>0</v>
      </c>
      <c r="P108" s="241">
        <v>0</v>
      </c>
      <c r="Q108" s="241">
        <v>0</v>
      </c>
      <c r="R108" s="241">
        <v>0</v>
      </c>
      <c r="S108" s="241">
        <v>0</v>
      </c>
      <c r="T108" s="22">
        <f>IF(L107&gt;(SUM(M109:S109)+SUM(L108:S108))*-1,L107-(SUM(L109:S109)+SUM(L108:S108))*-1,0)</f>
        <v>0</v>
      </c>
      <c r="U108" s="22">
        <f>IF(M107&gt;(SUM(N109:T109)+SUM(M108:T108))*-1,M107-(SUM(M109:T109)+SUM(M108:T108))*-1,0)</f>
        <v>0</v>
      </c>
    </row>
    <row r="109" spans="1:23">
      <c r="A109" s="19" t="s">
        <v>188</v>
      </c>
      <c r="B109" s="242">
        <f t="shared" ref="B109:T109" si="31">IF(B104&lt;0,0,IF(B106&gt;B104,-B104,-B106))</f>
        <v>0</v>
      </c>
      <c r="C109" s="242">
        <f t="shared" si="31"/>
        <v>0</v>
      </c>
      <c r="D109" s="242">
        <f t="shared" si="31"/>
        <v>0</v>
      </c>
      <c r="E109" s="242">
        <f t="shared" si="31"/>
        <v>-493.92560438449641</v>
      </c>
      <c r="F109" s="242">
        <f t="shared" si="31"/>
        <v>-12.984762860789829</v>
      </c>
      <c r="G109" s="242">
        <f t="shared" si="31"/>
        <v>0</v>
      </c>
      <c r="H109" s="242">
        <f t="shared" si="31"/>
        <v>0</v>
      </c>
      <c r="I109" s="242">
        <f t="shared" si="31"/>
        <v>0</v>
      </c>
      <c r="J109" s="242">
        <f t="shared" si="31"/>
        <v>0</v>
      </c>
      <c r="K109" s="242">
        <f t="shared" si="31"/>
        <v>0</v>
      </c>
      <c r="L109" s="242">
        <f t="shared" si="31"/>
        <v>0</v>
      </c>
      <c r="M109" s="242">
        <f t="shared" si="31"/>
        <v>0</v>
      </c>
      <c r="N109" s="242">
        <f t="shared" si="31"/>
        <v>0</v>
      </c>
      <c r="O109" s="242">
        <f t="shared" si="31"/>
        <v>0</v>
      </c>
      <c r="P109" s="242">
        <f t="shared" si="31"/>
        <v>0</v>
      </c>
      <c r="Q109" s="242">
        <f t="shared" si="31"/>
        <v>0</v>
      </c>
      <c r="R109" s="242">
        <f t="shared" si="31"/>
        <v>0</v>
      </c>
      <c r="S109" s="242">
        <f t="shared" si="31"/>
        <v>0</v>
      </c>
      <c r="T109" s="242">
        <f t="shared" si="31"/>
        <v>0</v>
      </c>
      <c r="U109" s="242">
        <f>IF(U104&lt;0,0,IF(U106&gt;U104,-U104,-U106))</f>
        <v>0</v>
      </c>
    </row>
    <row r="110" spans="1:23">
      <c r="A110" s="19" t="s">
        <v>189</v>
      </c>
      <c r="B110" s="242">
        <f t="shared" ref="B110:U110" si="32">SUM(B106:B109)</f>
        <v>0</v>
      </c>
      <c r="C110" s="242">
        <f t="shared" si="32"/>
        <v>306.6133369848323</v>
      </c>
      <c r="D110" s="242">
        <f t="shared" si="32"/>
        <v>506.91036724528624</v>
      </c>
      <c r="E110" s="242">
        <f t="shared" si="32"/>
        <v>12.984762860789829</v>
      </c>
      <c r="F110" s="242">
        <f t="shared" si="32"/>
        <v>0</v>
      </c>
      <c r="G110" s="242">
        <f t="shared" si="32"/>
        <v>0</v>
      </c>
      <c r="H110" s="242">
        <f t="shared" si="32"/>
        <v>0</v>
      </c>
      <c r="I110" s="242">
        <f t="shared" si="32"/>
        <v>0</v>
      </c>
      <c r="J110" s="242">
        <f t="shared" si="32"/>
        <v>0</v>
      </c>
      <c r="K110" s="242">
        <f t="shared" si="32"/>
        <v>0</v>
      </c>
      <c r="L110" s="242">
        <f t="shared" si="32"/>
        <v>0</v>
      </c>
      <c r="M110" s="242">
        <f t="shared" si="32"/>
        <v>0</v>
      </c>
      <c r="N110" s="242">
        <f t="shared" si="32"/>
        <v>0</v>
      </c>
      <c r="O110" s="242">
        <f t="shared" si="32"/>
        <v>0</v>
      </c>
      <c r="P110" s="242">
        <f t="shared" si="32"/>
        <v>0</v>
      </c>
      <c r="Q110" s="242">
        <f t="shared" si="32"/>
        <v>0</v>
      </c>
      <c r="R110" s="242">
        <f t="shared" si="32"/>
        <v>0</v>
      </c>
      <c r="S110" s="242">
        <f t="shared" si="32"/>
        <v>0</v>
      </c>
      <c r="T110" s="242">
        <f t="shared" si="32"/>
        <v>0</v>
      </c>
      <c r="U110" s="242">
        <f t="shared" si="32"/>
        <v>0</v>
      </c>
    </row>
    <row r="111" spans="1:23">
      <c r="A111" s="19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</row>
    <row r="112" spans="1:23" ht="13.5" thickBot="1">
      <c r="A112" s="34" t="s">
        <v>180</v>
      </c>
      <c r="B112" s="367">
        <f t="shared" ref="B112:U112" si="33">IF(B104&lt;0,0,B104+B109)</f>
        <v>92.220084770875502</v>
      </c>
      <c r="C112" s="367">
        <f t="shared" si="33"/>
        <v>0</v>
      </c>
      <c r="D112" s="367">
        <f t="shared" si="33"/>
        <v>0</v>
      </c>
      <c r="E112" s="367">
        <f t="shared" si="33"/>
        <v>0</v>
      </c>
      <c r="F112" s="367">
        <f t="shared" si="33"/>
        <v>652.0422655950548</v>
      </c>
      <c r="G112" s="367">
        <f t="shared" si="33"/>
        <v>759.58210393416596</v>
      </c>
      <c r="H112" s="367">
        <f t="shared" si="33"/>
        <v>818.08029710686071</v>
      </c>
      <c r="I112" s="367">
        <f t="shared" si="33"/>
        <v>849.06443537246594</v>
      </c>
      <c r="J112" s="367">
        <f t="shared" si="33"/>
        <v>890.05754981755513</v>
      </c>
      <c r="K112" s="367">
        <f t="shared" si="33"/>
        <v>926.09058233036762</v>
      </c>
      <c r="L112" s="367">
        <f t="shared" si="33"/>
        <v>982.62714727772197</v>
      </c>
      <c r="M112" s="367">
        <f t="shared" si="33"/>
        <v>1040.5266660179034</v>
      </c>
      <c r="N112" s="367">
        <f t="shared" si="33"/>
        <v>1106.8346843697909</v>
      </c>
      <c r="O112" s="367">
        <f t="shared" si="33"/>
        <v>1174.6820898120645</v>
      </c>
      <c r="P112" s="367">
        <f t="shared" si="33"/>
        <v>1246.1569092587074</v>
      </c>
      <c r="Q112" s="367">
        <f t="shared" si="33"/>
        <v>1584.6224482012899</v>
      </c>
      <c r="R112" s="367">
        <f t="shared" si="33"/>
        <v>1929.9700748013299</v>
      </c>
      <c r="S112" s="367">
        <f t="shared" si="33"/>
        <v>2010.2089191396262</v>
      </c>
      <c r="T112" s="367">
        <f t="shared" si="33"/>
        <v>2096.7047949385824</v>
      </c>
      <c r="U112" s="367">
        <f t="shared" si="33"/>
        <v>2190.5738599988117</v>
      </c>
      <c r="W112" s="483">
        <f>SUM(B112:U112)</f>
        <v>20350.044912743171</v>
      </c>
    </row>
    <row r="113" spans="1:21">
      <c r="A113" s="7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61"/>
      <c r="M113" s="61"/>
      <c r="N113" s="61"/>
      <c r="O113" s="61"/>
      <c r="P113" s="61"/>
      <c r="Q113" s="61"/>
      <c r="R113" s="61"/>
      <c r="S113" s="61"/>
      <c r="T113" s="61"/>
      <c r="U113" s="61"/>
    </row>
    <row r="114" spans="1:21">
      <c r="A114" s="7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61"/>
      <c r="M114" s="61"/>
      <c r="N114" s="61"/>
      <c r="O114" s="61"/>
      <c r="P114" s="61"/>
      <c r="Q114" s="61"/>
      <c r="R114" s="61"/>
      <c r="S114" s="61"/>
      <c r="T114" s="61"/>
      <c r="U114" s="61"/>
    </row>
    <row r="115" spans="1:21" ht="14.25">
      <c r="A115" s="77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61"/>
      <c r="M115" s="61"/>
      <c r="N115" s="61"/>
      <c r="O115" s="61"/>
      <c r="P115" s="61"/>
      <c r="Q115" s="61"/>
      <c r="R115" s="61"/>
      <c r="S115" s="61"/>
      <c r="T115" s="61"/>
      <c r="U115" s="61"/>
    </row>
    <row r="116" spans="1:21">
      <c r="A116" s="8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</row>
    <row r="117" spans="1:21">
      <c r="A117" s="8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</row>
    <row r="118" spans="1:21">
      <c r="A118" s="8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</row>
    <row r="119" spans="1:21">
      <c r="A119" s="8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</row>
    <row r="120" spans="1:21">
      <c r="A120" s="8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</row>
    <row r="121" spans="1:21">
      <c r="A121" s="8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</row>
    <row r="122" spans="1:21">
      <c r="A122" s="8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</row>
    <row r="123" spans="1:21">
      <c r="A123" s="8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</row>
    <row r="124" spans="1:21">
      <c r="A124" s="82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</row>
    <row r="125" spans="1:21">
      <c r="A125" s="83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</row>
    <row r="126" spans="1:21">
      <c r="A126" s="8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</row>
    <row r="127" spans="1:21">
      <c r="A127" s="8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</row>
    <row r="128" spans="1:21">
      <c r="A128" s="84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</row>
    <row r="129" spans="1:21">
      <c r="A129" s="84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</row>
    <row r="130" spans="1:21">
      <c r="A130" s="8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</row>
    <row r="131" spans="1:21">
      <c r="A131" s="84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</row>
    <row r="132" spans="1:21">
      <c r="A132" s="8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</row>
    <row r="133" spans="1:21">
      <c r="A133" s="8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</row>
    <row r="134" spans="1:21">
      <c r="A134" s="8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</row>
    <row r="135" spans="1:21">
      <c r="A135" s="84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</row>
    <row r="136" spans="1:21">
      <c r="A136" s="80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</row>
    <row r="137" spans="1:21">
      <c r="A137" s="82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</row>
    <row r="138" spans="1:21">
      <c r="A138" s="82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</row>
    <row r="139" spans="1:21" ht="15" customHeight="1">
      <c r="A139" s="82"/>
      <c r="B139" s="71"/>
      <c r="C139" s="7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</row>
    <row r="140" spans="1:21">
      <c r="A140" s="82"/>
      <c r="B140" s="71"/>
      <c r="C140" s="7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</row>
    <row r="141" spans="1:21" ht="14.25" customHeight="1">
      <c r="A141" s="82"/>
      <c r="B141" s="71"/>
      <c r="C141" s="7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</row>
    <row r="142" spans="1:21">
      <c r="A142" s="82"/>
      <c r="B142" s="71"/>
      <c r="C142" s="7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</row>
    <row r="143" spans="1:21">
      <c r="A143" s="82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</row>
    <row r="144" spans="1:21">
      <c r="A144" s="85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</row>
    <row r="145" spans="1:21">
      <c r="A145" s="85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</row>
    <row r="146" spans="1:21">
      <c r="A146" s="85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</row>
    <row r="147" spans="1:21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</row>
    <row r="148" spans="1:21">
      <c r="A148" s="7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1:21">
      <c r="A149" s="7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1:21">
      <c r="A150" s="7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1:21" ht="18.75">
      <c r="A151" s="86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1:21">
      <c r="A152" s="59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1:21">
      <c r="A153" s="59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1:21">
      <c r="A154" s="7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1:21">
      <c r="A155" s="7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1:21">
      <c r="A156" s="2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</row>
    <row r="157" spans="1:21">
      <c r="A157" s="82"/>
      <c r="B157" s="71"/>
      <c r="C157" s="7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</row>
    <row r="158" spans="1:21">
      <c r="A158" s="81"/>
      <c r="B158" s="71"/>
      <c r="C158" s="7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</row>
    <row r="159" spans="1:21">
      <c r="A159" s="81"/>
      <c r="B159" s="71"/>
      <c r="C159" s="7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</row>
    <row r="160" spans="1:21">
      <c r="A160" s="80"/>
      <c r="B160" s="71"/>
      <c r="C160" s="7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</row>
    <row r="161" spans="1:21">
      <c r="A161" s="71"/>
      <c r="B161" s="71"/>
      <c r="C161" s="7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</row>
    <row r="162" spans="1:21">
      <c r="A162" s="82"/>
      <c r="B162" s="71"/>
      <c r="C162" s="7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</row>
    <row r="163" spans="1:21">
      <c r="A163" s="81"/>
      <c r="B163" s="71"/>
      <c r="C163" s="7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</row>
    <row r="164" spans="1:21">
      <c r="A164" s="81"/>
      <c r="B164" s="71"/>
      <c r="C164" s="7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</row>
    <row r="165" spans="1:21">
      <c r="A165" s="81"/>
      <c r="B165" s="71"/>
      <c r="C165" s="7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</row>
    <row r="166" spans="1:21">
      <c r="A166" s="81"/>
      <c r="B166" s="71"/>
      <c r="C166" s="7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</row>
    <row r="167" spans="1:21">
      <c r="A167" s="71"/>
      <c r="B167" s="71"/>
      <c r="C167" s="7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</row>
    <row r="168" spans="1:21">
      <c r="A168" s="82"/>
      <c r="B168" s="71"/>
      <c r="C168" s="7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</row>
    <row r="169" spans="1:21">
      <c r="A169" s="71"/>
      <c r="B169" s="71"/>
      <c r="C169" s="7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</row>
    <row r="170" spans="1:21">
      <c r="A170" s="82"/>
      <c r="B170" s="71"/>
      <c r="C170" s="7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</row>
    <row r="171" spans="1:21">
      <c r="A171" s="81"/>
      <c r="B171" s="71"/>
      <c r="C171" s="7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</row>
    <row r="172" spans="1:21">
      <c r="A172" s="82"/>
      <c r="B172" s="71"/>
      <c r="C172" s="7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</row>
    <row r="173" spans="1:21">
      <c r="A173" s="84"/>
      <c r="B173" s="71"/>
      <c r="C173" s="7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</row>
    <row r="174" spans="1:21">
      <c r="A174" s="81"/>
      <c r="B174" s="71"/>
      <c r="C174" s="7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</row>
    <row r="175" spans="1:21">
      <c r="A175" s="80"/>
      <c r="B175" s="71"/>
      <c r="C175" s="7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</row>
    <row r="176" spans="1:21">
      <c r="A176" s="81"/>
      <c r="B176" s="71"/>
      <c r="C176" s="7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</row>
    <row r="177" spans="1:21">
      <c r="A177" s="80"/>
      <c r="B177" s="71"/>
      <c r="C177" s="7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</row>
    <row r="178" spans="1:21">
      <c r="A178" s="81"/>
      <c r="B178" s="71"/>
      <c r="C178" s="7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</row>
    <row r="179" spans="1:21">
      <c r="A179" s="81"/>
      <c r="B179" s="71"/>
      <c r="C179" s="7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</row>
    <row r="180" spans="1:21">
      <c r="A180" s="81"/>
      <c r="B180" s="71"/>
      <c r="C180" s="7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</row>
    <row r="181" spans="1:21">
      <c r="A181" s="81"/>
      <c r="B181" s="71"/>
      <c r="C181" s="7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</row>
    <row r="182" spans="1:21">
      <c r="A182" s="81"/>
      <c r="B182" s="71"/>
      <c r="C182" s="7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</row>
    <row r="183" spans="1:21">
      <c r="A183" s="81"/>
      <c r="B183" s="71"/>
      <c r="C183" s="7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</row>
    <row r="184" spans="1:21">
      <c r="A184" s="82"/>
      <c r="B184" s="71"/>
      <c r="C184" s="7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</row>
    <row r="185" spans="1:21">
      <c r="A185" s="83"/>
      <c r="B185" s="71"/>
      <c r="C185" s="7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</row>
    <row r="186" spans="1:21">
      <c r="A186" s="81"/>
      <c r="B186" s="71"/>
      <c r="C186" s="7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</row>
    <row r="187" spans="1:21">
      <c r="A187" s="84"/>
      <c r="B187" s="71"/>
      <c r="C187" s="7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</row>
    <row r="188" spans="1:21">
      <c r="A188" s="84"/>
      <c r="B188" s="71"/>
      <c r="C188" s="7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</row>
    <row r="189" spans="1:21">
      <c r="A189" s="81"/>
      <c r="B189" s="71"/>
      <c r="C189" s="7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</row>
    <row r="190" spans="1:21">
      <c r="A190" s="81"/>
      <c r="B190" s="71"/>
      <c r="C190" s="7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</row>
    <row r="191" spans="1:21">
      <c r="A191" s="80"/>
      <c r="B191" s="71"/>
      <c r="C191" s="7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</row>
    <row r="192" spans="1:21">
      <c r="A192" s="82"/>
      <c r="B192" s="71"/>
      <c r="C192" s="7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</row>
    <row r="193" spans="1:21">
      <c r="A193" s="82"/>
      <c r="B193" s="71"/>
      <c r="C193" s="7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</row>
    <row r="194" spans="1:21">
      <c r="A194" s="82"/>
      <c r="B194" s="71"/>
      <c r="C194" s="7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</row>
    <row r="195" spans="1:21">
      <c r="A195" s="82"/>
      <c r="B195" s="71"/>
      <c r="C195" s="7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</row>
    <row r="196" spans="1:21">
      <c r="A196" s="82"/>
      <c r="B196" s="71"/>
      <c r="C196" s="7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</row>
    <row r="197" spans="1:21">
      <c r="A197" s="82"/>
      <c r="B197" s="71"/>
      <c r="C197" s="7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</row>
    <row r="198" spans="1:21">
      <c r="A198" s="82"/>
      <c r="B198" s="71"/>
      <c r="C198" s="7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</row>
    <row r="199" spans="1:21">
      <c r="A199" s="7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</row>
    <row r="200" spans="1:21">
      <c r="A200" s="7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</row>
    <row r="201" spans="1:21">
      <c r="A201" s="7"/>
      <c r="B201" s="7"/>
      <c r="C201" s="7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</row>
    <row r="202" spans="1:21" ht="18.75">
      <c r="A202" s="8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>
      <c r="A203" s="5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>
      <c r="A204" s="5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>
      <c r="A206" s="2"/>
      <c r="B206" s="9"/>
      <c r="C206" s="9"/>
      <c r="D206" s="9"/>
      <c r="E206" s="9"/>
      <c r="F206" s="9"/>
      <c r="G206" s="9"/>
      <c r="H206" s="9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>
      <c r="A207" s="5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>
      <c r="A208" s="88"/>
      <c r="B208" s="89"/>
      <c r="C208" s="89"/>
      <c r="D208" s="89"/>
      <c r="E208" s="89"/>
      <c r="F208" s="89"/>
      <c r="G208" s="89"/>
      <c r="H208" s="89"/>
      <c r="I208" s="7"/>
      <c r="J208" s="89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>
      <c r="A209" s="88"/>
      <c r="B209" s="89"/>
      <c r="C209" s="89"/>
      <c r="D209" s="89"/>
      <c r="E209" s="89"/>
      <c r="F209" s="89"/>
      <c r="G209" s="89"/>
      <c r="H209" s="89"/>
      <c r="I209" s="7"/>
      <c r="J209" s="89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>
      <c r="A210" s="88"/>
      <c r="B210" s="89"/>
      <c r="C210" s="89"/>
      <c r="D210" s="89"/>
      <c r="E210" s="89"/>
      <c r="F210" s="89"/>
      <c r="G210" s="89"/>
      <c r="H210" s="89"/>
      <c r="I210" s="7"/>
      <c r="J210" s="89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>
      <c r="A211" s="88"/>
      <c r="B211" s="89"/>
      <c r="C211" s="89"/>
      <c r="D211" s="89"/>
      <c r="E211" s="89"/>
      <c r="F211" s="89"/>
      <c r="G211" s="89"/>
      <c r="H211" s="89"/>
      <c r="I211" s="7"/>
      <c r="J211" s="89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>
      <c r="A212" s="88"/>
      <c r="B212" s="89"/>
      <c r="C212" s="89"/>
      <c r="D212" s="89"/>
      <c r="E212" s="89"/>
      <c r="F212" s="89"/>
      <c r="G212" s="89"/>
      <c r="H212" s="89"/>
      <c r="I212" s="7"/>
      <c r="J212" s="89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>
      <c r="A213" s="7"/>
      <c r="B213" s="89"/>
      <c r="C213" s="89"/>
      <c r="D213" s="89"/>
      <c r="E213" s="89"/>
      <c r="F213" s="89"/>
      <c r="G213" s="89"/>
      <c r="H213" s="89"/>
      <c r="I213" s="7"/>
      <c r="J213" s="89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>
      <c r="A214" s="59"/>
      <c r="B214" s="89"/>
      <c r="C214" s="89"/>
      <c r="D214" s="89"/>
      <c r="E214" s="89"/>
      <c r="F214" s="89"/>
      <c r="G214" s="89"/>
      <c r="H214" s="89"/>
      <c r="I214" s="7"/>
      <c r="J214" s="89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>
      <c r="A215" s="88"/>
      <c r="B215" s="89"/>
      <c r="C215" s="89"/>
      <c r="D215" s="89"/>
      <c r="E215" s="89"/>
      <c r="F215" s="89"/>
      <c r="G215" s="89"/>
      <c r="H215" s="89"/>
      <c r="I215" s="7"/>
      <c r="J215" s="89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>
      <c r="A216" s="88"/>
      <c r="B216" s="89"/>
      <c r="C216" s="89"/>
      <c r="D216" s="89"/>
      <c r="E216" s="89"/>
      <c r="F216" s="89"/>
      <c r="G216" s="89"/>
      <c r="H216" s="89"/>
      <c r="I216" s="7"/>
      <c r="J216" s="89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>
      <c r="A217" s="88"/>
      <c r="B217" s="89"/>
      <c r="C217" s="89"/>
      <c r="D217" s="89"/>
      <c r="E217" s="89"/>
      <c r="F217" s="89"/>
      <c r="G217" s="89"/>
      <c r="H217" s="89"/>
      <c r="I217" s="7"/>
      <c r="J217" s="89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>
      <c r="A218" s="88"/>
      <c r="B218" s="89"/>
      <c r="C218" s="89"/>
      <c r="D218" s="89"/>
      <c r="E218" s="89"/>
      <c r="F218" s="89"/>
      <c r="G218" s="89"/>
      <c r="H218" s="89"/>
      <c r="I218" s="7"/>
      <c r="J218" s="89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>
      <c r="A219" s="88"/>
      <c r="B219" s="89"/>
      <c r="C219" s="89"/>
      <c r="D219" s="89"/>
      <c r="E219" s="89"/>
      <c r="F219" s="89"/>
      <c r="G219" s="89"/>
      <c r="H219" s="89"/>
      <c r="I219" s="7"/>
      <c r="J219" s="89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>
      <c r="A220" s="88"/>
      <c r="B220" s="89"/>
      <c r="C220" s="89"/>
      <c r="D220" s="89"/>
      <c r="E220" s="89"/>
      <c r="F220" s="89"/>
      <c r="G220" s="89"/>
      <c r="H220" s="89"/>
      <c r="I220" s="7"/>
      <c r="J220" s="89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>
      <c r="A221" s="88"/>
      <c r="B221" s="89"/>
      <c r="C221" s="89"/>
      <c r="D221" s="89"/>
      <c r="E221" s="89"/>
      <c r="F221" s="89"/>
      <c r="G221" s="89"/>
      <c r="H221" s="89"/>
      <c r="I221" s="7"/>
      <c r="J221" s="89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>
      <c r="A222" s="88"/>
      <c r="B222" s="89"/>
      <c r="C222" s="89"/>
      <c r="D222" s="89"/>
      <c r="E222" s="89"/>
      <c r="F222" s="89"/>
      <c r="G222" s="89"/>
      <c r="H222" s="89"/>
      <c r="I222" s="7"/>
      <c r="J222" s="89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>
      <c r="A223" s="88"/>
      <c r="B223" s="89"/>
      <c r="C223" s="89"/>
      <c r="D223" s="89"/>
      <c r="E223" s="89"/>
      <c r="F223" s="89"/>
      <c r="G223" s="89"/>
      <c r="H223" s="89"/>
      <c r="I223" s="7"/>
      <c r="J223" s="89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>
      <c r="A224" s="88"/>
      <c r="B224" s="89"/>
      <c r="C224" s="89"/>
      <c r="D224" s="89"/>
      <c r="E224" s="89"/>
      <c r="F224" s="89"/>
      <c r="G224" s="89"/>
      <c r="H224" s="89"/>
      <c r="I224" s="7"/>
      <c r="J224" s="89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>
      <c r="A225" s="88"/>
      <c r="B225" s="89"/>
      <c r="C225" s="89"/>
      <c r="D225" s="89"/>
      <c r="E225" s="89"/>
      <c r="F225" s="89"/>
      <c r="G225" s="89"/>
      <c r="H225" s="89"/>
      <c r="I225" s="7"/>
      <c r="J225" s="89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>
      <c r="A226" s="59"/>
      <c r="B226" s="89"/>
      <c r="C226" s="89"/>
      <c r="D226" s="89"/>
      <c r="E226" s="89"/>
      <c r="F226" s="89"/>
      <c r="G226" s="89"/>
      <c r="H226" s="89"/>
      <c r="I226" s="7"/>
      <c r="J226" s="89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>
      <c r="A227" s="88"/>
      <c r="B227" s="89"/>
      <c r="C227" s="89"/>
      <c r="D227" s="89"/>
      <c r="E227" s="89"/>
      <c r="F227" s="89"/>
      <c r="G227" s="89"/>
      <c r="H227" s="89"/>
      <c r="I227" s="7"/>
      <c r="J227" s="89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>
      <c r="A228" s="88"/>
      <c r="B228" s="89"/>
      <c r="C228" s="89"/>
      <c r="D228" s="89"/>
      <c r="E228" s="89"/>
      <c r="F228" s="89"/>
      <c r="G228" s="89"/>
      <c r="H228" s="89"/>
      <c r="I228" s="7"/>
      <c r="J228" s="89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>
      <c r="A229" s="59"/>
      <c r="B229" s="89"/>
      <c r="C229" s="89"/>
      <c r="D229" s="89"/>
      <c r="E229" s="89"/>
      <c r="F229" s="89"/>
      <c r="G229" s="89"/>
      <c r="H229" s="89"/>
      <c r="I229" s="7"/>
      <c r="J229" s="89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>
      <c r="A230" s="59"/>
      <c r="B230" s="89"/>
      <c r="C230" s="89"/>
      <c r="D230" s="89"/>
      <c r="E230" s="89"/>
      <c r="F230" s="89"/>
      <c r="G230" s="89"/>
      <c r="H230" s="89"/>
      <c r="I230" s="7"/>
      <c r="J230" s="89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>
      <c r="A231" s="7"/>
      <c r="B231" s="89"/>
      <c r="C231" s="89"/>
      <c r="D231" s="89"/>
      <c r="E231" s="89"/>
      <c r="F231" s="89"/>
      <c r="G231" s="89"/>
      <c r="H231" s="89"/>
      <c r="I231" s="7"/>
      <c r="J231" s="89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>
      <c r="A232" s="7"/>
      <c r="B232" s="89"/>
      <c r="C232" s="89"/>
      <c r="D232" s="89"/>
      <c r="E232" s="89"/>
      <c r="F232" s="89"/>
      <c r="G232" s="89"/>
      <c r="H232" s="89"/>
      <c r="I232" s="7"/>
      <c r="J232" s="89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>
      <c r="A233" s="59"/>
      <c r="B233" s="89"/>
      <c r="C233" s="89"/>
      <c r="D233" s="89"/>
      <c r="E233" s="89"/>
      <c r="F233" s="89"/>
      <c r="G233" s="89"/>
      <c r="H233" s="89"/>
      <c r="I233" s="7"/>
      <c r="J233" s="89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>
      <c r="A234" s="88"/>
      <c r="B234" s="89"/>
      <c r="C234" s="89"/>
      <c r="D234" s="89"/>
      <c r="E234" s="89"/>
      <c r="F234" s="89"/>
      <c r="G234" s="89"/>
      <c r="H234" s="89"/>
      <c r="I234" s="7"/>
      <c r="J234" s="89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>
      <c r="A235" s="59"/>
      <c r="B235" s="89"/>
      <c r="C235" s="89"/>
      <c r="D235" s="89"/>
      <c r="E235" s="89"/>
      <c r="F235" s="89"/>
      <c r="G235" s="89"/>
      <c r="H235" s="89"/>
      <c r="I235" s="7"/>
      <c r="J235" s="89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>
      <c r="A236" s="7"/>
      <c r="B236" s="89"/>
      <c r="C236" s="89"/>
      <c r="D236" s="89"/>
      <c r="E236" s="89"/>
      <c r="F236" s="89"/>
      <c r="G236" s="89"/>
      <c r="H236" s="89"/>
      <c r="I236" s="7"/>
      <c r="J236" s="89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>
      <c r="A237" s="59"/>
      <c r="B237" s="89"/>
      <c r="C237" s="89"/>
      <c r="D237" s="89"/>
      <c r="E237" s="89"/>
      <c r="F237" s="89"/>
      <c r="G237" s="89"/>
      <c r="H237" s="89"/>
      <c r="I237" s="7"/>
      <c r="J237" s="89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>
      <c r="A238" s="88"/>
      <c r="B238" s="89"/>
      <c r="C238" s="89"/>
      <c r="D238" s="89"/>
      <c r="E238" s="89"/>
      <c r="F238" s="89"/>
      <c r="G238" s="89"/>
      <c r="H238" s="89"/>
      <c r="I238" s="7"/>
      <c r="J238" s="89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>
      <c r="A239" s="88"/>
      <c r="B239" s="89"/>
      <c r="C239" s="89"/>
      <c r="D239" s="89"/>
      <c r="E239" s="89"/>
      <c r="F239" s="89"/>
      <c r="G239" s="89"/>
      <c r="H239" s="89"/>
      <c r="I239" s="7"/>
      <c r="J239" s="89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>
      <c r="A240" s="88"/>
      <c r="B240" s="89"/>
      <c r="C240" s="89"/>
      <c r="D240" s="89"/>
      <c r="E240" s="89"/>
      <c r="F240" s="89"/>
      <c r="G240" s="89"/>
      <c r="H240" s="89"/>
      <c r="I240" s="7"/>
      <c r="J240" s="89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>
      <c r="A241" s="88"/>
      <c r="B241" s="89"/>
      <c r="C241" s="89"/>
      <c r="D241" s="89"/>
      <c r="E241" s="89"/>
      <c r="F241" s="89"/>
      <c r="G241" s="89"/>
      <c r="H241" s="89"/>
      <c r="I241" s="7"/>
      <c r="J241" s="89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>
      <c r="A242" s="88"/>
      <c r="B242" s="89"/>
      <c r="C242" s="89"/>
      <c r="D242" s="89"/>
      <c r="E242" s="89"/>
      <c r="F242" s="89"/>
      <c r="G242" s="89"/>
      <c r="H242" s="89"/>
      <c r="I242" s="7"/>
      <c r="J242" s="89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>
      <c r="A243" s="88"/>
      <c r="B243" s="89"/>
      <c r="C243" s="89"/>
      <c r="D243" s="89"/>
      <c r="E243" s="89"/>
      <c r="F243" s="89"/>
      <c r="G243" s="89"/>
      <c r="H243" s="89"/>
      <c r="I243" s="7"/>
      <c r="J243" s="89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>
      <c r="A244" s="59"/>
      <c r="B244" s="89"/>
      <c r="C244" s="89"/>
      <c r="D244" s="89"/>
      <c r="E244" s="89"/>
      <c r="F244" s="89"/>
      <c r="G244" s="89"/>
      <c r="H244" s="89"/>
      <c r="I244" s="7"/>
      <c r="J244" s="89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>
      <c r="A245" s="59"/>
      <c r="B245" s="89"/>
      <c r="C245" s="89"/>
      <c r="D245" s="89"/>
      <c r="E245" s="89"/>
      <c r="F245" s="89"/>
      <c r="G245" s="89"/>
      <c r="H245" s="89"/>
      <c r="I245" s="7"/>
      <c r="J245" s="89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>
      <c r="A246" s="7"/>
      <c r="B246" s="89"/>
      <c r="C246" s="89"/>
      <c r="D246" s="89"/>
      <c r="E246" s="89"/>
      <c r="F246" s="89"/>
      <c r="G246" s="89"/>
      <c r="H246" s="89"/>
      <c r="I246" s="7"/>
      <c r="J246" s="89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>
      <c r="A247" s="59"/>
      <c r="B247" s="89"/>
      <c r="C247" s="89"/>
      <c r="D247" s="89"/>
      <c r="E247" s="89"/>
      <c r="F247" s="89"/>
      <c r="G247" s="89"/>
      <c r="H247" s="89"/>
      <c r="I247" s="7"/>
      <c r="J247" s="89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>
      <c r="A248" s="59"/>
      <c r="B248" s="89"/>
      <c r="C248" s="89"/>
      <c r="D248" s="89"/>
      <c r="E248" s="89"/>
      <c r="F248" s="89"/>
      <c r="G248" s="89"/>
      <c r="H248" s="89"/>
      <c r="I248" s="7"/>
      <c r="J248" s="89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>
      <c r="A250" s="59"/>
      <c r="B250" s="7"/>
      <c r="C250" s="61"/>
      <c r="D250" s="61"/>
      <c r="E250" s="61"/>
      <c r="F250" s="61"/>
      <c r="G250" s="61"/>
      <c r="H250" s="61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>
      <c r="A251" s="59"/>
      <c r="B251" s="7"/>
      <c r="C251" s="61"/>
      <c r="D251" s="61"/>
      <c r="E251" s="61"/>
      <c r="F251" s="61"/>
      <c r="G251" s="61"/>
      <c r="H251" s="61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>
      <c r="A252" s="59"/>
      <c r="B252" s="7"/>
      <c r="C252" s="61"/>
      <c r="D252" s="61"/>
      <c r="E252" s="61"/>
      <c r="F252" s="61"/>
      <c r="G252" s="61"/>
      <c r="H252" s="61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>
      <c r="A253" s="59"/>
      <c r="B253" s="7"/>
      <c r="C253" s="61"/>
      <c r="D253" s="61"/>
      <c r="E253" s="61"/>
      <c r="F253" s="61"/>
      <c r="G253" s="61"/>
      <c r="H253" s="61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18.75">
      <c r="A255" s="86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>
      <c r="A256" s="5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s="92" customFormat="1">
      <c r="A259" s="91"/>
    </row>
    <row r="260" spans="1:21">
      <c r="A260" s="59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>
      <c r="A261" s="59"/>
      <c r="B261" s="7"/>
      <c r="C261" s="93"/>
      <c r="D261" s="93"/>
      <c r="E261" s="93"/>
      <c r="F261" s="93"/>
      <c r="G261" s="93"/>
      <c r="H261" s="93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>
      <c r="A262" s="59"/>
      <c r="B262" s="7"/>
      <c r="C262" s="93"/>
      <c r="D262" s="93"/>
      <c r="E262" s="93"/>
      <c r="F262" s="93"/>
      <c r="G262" s="93"/>
      <c r="H262" s="93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>
      <c r="A263" s="7"/>
      <c r="B263" s="7"/>
      <c r="C263" s="95"/>
      <c r="D263" s="95"/>
      <c r="E263" s="95"/>
      <c r="F263" s="95"/>
      <c r="G263" s="95"/>
      <c r="H263" s="95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>
      <c r="A264" s="59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>
      <c r="A265" s="91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>
      <c r="A266" s="96"/>
      <c r="B266" s="7"/>
      <c r="C266" s="61"/>
      <c r="D266" s="61"/>
      <c r="E266" s="61"/>
      <c r="F266" s="61"/>
      <c r="G266" s="61"/>
      <c r="H266" s="61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>
      <c r="A267" s="96"/>
      <c r="B267" s="7"/>
      <c r="C267" s="61"/>
      <c r="D267" s="61"/>
      <c r="E267" s="61"/>
      <c r="F267" s="61"/>
      <c r="G267" s="61"/>
      <c r="H267" s="61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>
      <c r="A268" s="96"/>
      <c r="B268" s="7"/>
      <c r="C268" s="61"/>
      <c r="D268" s="61"/>
      <c r="E268" s="61"/>
      <c r="F268" s="61"/>
      <c r="G268" s="61"/>
      <c r="H268" s="61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>
      <c r="A269" s="96"/>
      <c r="B269" s="7"/>
      <c r="C269" s="61"/>
      <c r="D269" s="61"/>
      <c r="E269" s="61"/>
      <c r="F269" s="61"/>
      <c r="G269" s="61"/>
      <c r="H269" s="61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>
      <c r="A270" s="96"/>
      <c r="B270" s="7"/>
      <c r="C270" s="93"/>
      <c r="D270" s="93"/>
      <c r="E270" s="93"/>
      <c r="F270" s="93"/>
      <c r="G270" s="93"/>
      <c r="H270" s="93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>
      <c r="A271" s="59"/>
      <c r="B271" s="7"/>
      <c r="C271" s="97"/>
      <c r="D271" s="97"/>
      <c r="E271" s="97"/>
      <c r="F271" s="97"/>
      <c r="G271" s="97"/>
      <c r="H271" s="9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>
      <c r="A272" s="96"/>
      <c r="B272" s="7"/>
      <c r="C272" s="98"/>
      <c r="D272" s="98"/>
      <c r="E272" s="98"/>
      <c r="F272" s="98"/>
      <c r="G272" s="98"/>
      <c r="H272" s="98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>
      <c r="A273" s="96"/>
      <c r="B273" s="7"/>
      <c r="C273" s="98"/>
      <c r="D273" s="98"/>
      <c r="E273" s="98"/>
      <c r="F273" s="98"/>
      <c r="G273" s="98"/>
      <c r="H273" s="98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>
      <c r="A274" s="96"/>
      <c r="B274" s="7"/>
      <c r="C274" s="98"/>
      <c r="D274" s="98"/>
      <c r="E274" s="98"/>
      <c r="F274" s="98"/>
      <c r="G274" s="98"/>
      <c r="H274" s="98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>
      <c r="A275" s="96"/>
      <c r="B275" s="7"/>
      <c r="C275" s="98"/>
      <c r="D275" s="98"/>
      <c r="E275" s="98"/>
      <c r="F275" s="98"/>
      <c r="G275" s="98"/>
      <c r="H275" s="98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>
      <c r="A276" s="96"/>
      <c r="B276" s="7"/>
      <c r="C276" s="97"/>
      <c r="D276" s="97"/>
      <c r="E276" s="97"/>
      <c r="F276" s="97"/>
      <c r="G276" s="97"/>
      <c r="H276" s="9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>
      <c r="A277" s="59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>
      <c r="A278" s="7"/>
      <c r="B278" s="7"/>
      <c r="C278" s="61"/>
      <c r="D278" s="61"/>
      <c r="E278" s="61"/>
      <c r="F278" s="61"/>
      <c r="G278" s="61"/>
      <c r="H278" s="61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>
      <c r="A279" s="7"/>
      <c r="B279" s="7"/>
      <c r="C279" s="61"/>
      <c r="D279" s="61"/>
      <c r="E279" s="61"/>
      <c r="F279" s="61"/>
      <c r="G279" s="61"/>
      <c r="H279" s="61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>
      <c r="A280" s="7"/>
      <c r="B280" s="7"/>
      <c r="C280" s="61"/>
      <c r="D280" s="61"/>
      <c r="E280" s="61"/>
      <c r="F280" s="61"/>
      <c r="G280" s="61"/>
      <c r="H280" s="61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>
      <c r="A281" s="7"/>
      <c r="B281" s="99"/>
      <c r="C281" s="61"/>
      <c r="D281" s="61"/>
      <c r="E281" s="61"/>
      <c r="F281" s="61"/>
      <c r="G281" s="61"/>
      <c r="H281" s="61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>
      <c r="A283" s="59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>
      <c r="A284" s="7"/>
      <c r="B284" s="7"/>
      <c r="C284" s="93"/>
      <c r="D284" s="93"/>
      <c r="E284" s="93"/>
      <c r="F284" s="93"/>
      <c r="G284" s="93"/>
      <c r="H284" s="93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96"/>
      <c r="B285" s="7"/>
      <c r="C285" s="93"/>
      <c r="D285" s="93"/>
      <c r="E285" s="93"/>
      <c r="F285" s="93"/>
      <c r="G285" s="93"/>
      <c r="H285" s="93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>
      <c r="A286" s="96"/>
      <c r="B286" s="7"/>
      <c r="C286" s="93"/>
      <c r="D286" s="93"/>
      <c r="E286" s="93"/>
      <c r="F286" s="93"/>
      <c r="G286" s="93"/>
      <c r="H286" s="93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>
      <c r="A287" s="96"/>
      <c r="B287" s="99"/>
      <c r="C287" s="93"/>
      <c r="D287" s="93"/>
      <c r="E287" s="93"/>
      <c r="F287" s="93"/>
      <c r="G287" s="93"/>
      <c r="H287" s="93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>
      <c r="A288" s="7"/>
      <c r="B288" s="7"/>
      <c r="C288" s="93"/>
      <c r="D288" s="93"/>
      <c r="E288" s="93"/>
      <c r="F288" s="93"/>
      <c r="G288" s="93"/>
      <c r="H288" s="93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>
      <c r="A289" s="7"/>
      <c r="B289" s="7"/>
      <c r="C289" s="93"/>
      <c r="D289" s="93"/>
      <c r="E289" s="93"/>
      <c r="F289" s="93"/>
      <c r="G289" s="93"/>
      <c r="H289" s="93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>
      <c r="A290" s="7"/>
      <c r="B290" s="7"/>
      <c r="C290" s="93"/>
      <c r="D290" s="93"/>
      <c r="E290" s="93"/>
      <c r="F290" s="93"/>
      <c r="G290" s="93"/>
      <c r="H290" s="93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>
      <c r="A291" s="7"/>
      <c r="B291" s="7"/>
      <c r="C291" s="93"/>
      <c r="D291" s="93"/>
      <c r="E291" s="93"/>
      <c r="F291" s="93"/>
      <c r="G291" s="93"/>
      <c r="H291" s="93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>
      <c r="A292" s="7"/>
      <c r="B292" s="7"/>
      <c r="C292" s="93"/>
      <c r="D292" s="93"/>
      <c r="E292" s="93"/>
      <c r="F292" s="93"/>
      <c r="G292" s="93"/>
      <c r="H292" s="93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>
      <c r="A293" s="7"/>
      <c r="B293" s="7"/>
      <c r="C293" s="93"/>
      <c r="D293" s="93"/>
      <c r="E293" s="93"/>
      <c r="F293" s="93"/>
      <c r="G293" s="93"/>
      <c r="H293" s="93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>
      <c r="A295" s="59"/>
      <c r="B295" s="100"/>
      <c r="C295" s="100"/>
      <c r="D295" s="100"/>
      <c r="E295" s="100"/>
      <c r="F295" s="100"/>
      <c r="G295" s="100"/>
      <c r="H295" s="100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>
      <c r="A296" s="59"/>
      <c r="B296" s="99"/>
      <c r="C296" s="100"/>
      <c r="D296" s="100"/>
      <c r="E296" s="100"/>
      <c r="F296" s="100"/>
      <c r="G296" s="100"/>
      <c r="H296" s="100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>
      <c r="A297" s="59"/>
      <c r="B297" s="100"/>
      <c r="C297" s="100"/>
      <c r="D297" s="100"/>
      <c r="E297" s="100"/>
      <c r="F297" s="100"/>
      <c r="G297" s="100"/>
      <c r="H297" s="100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>
      <c r="A298" s="59"/>
      <c r="B298" s="7"/>
      <c r="C298" s="100"/>
      <c r="D298" s="100"/>
      <c r="E298" s="100"/>
      <c r="F298" s="100"/>
      <c r="G298" s="100"/>
      <c r="H298" s="100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>
      <c r="A300" s="59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>
      <c r="A301" s="59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>
      <c r="A303" s="7"/>
      <c r="B303" s="7"/>
      <c r="C303" s="89"/>
      <c r="D303" s="89"/>
      <c r="E303" s="89"/>
      <c r="F303" s="89"/>
      <c r="G303" s="89"/>
      <c r="H303" s="89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>
      <c r="A304" s="7"/>
      <c r="B304" s="7"/>
      <c r="C304" s="100"/>
      <c r="D304" s="100"/>
      <c r="E304" s="100"/>
      <c r="F304" s="100"/>
      <c r="G304" s="100"/>
      <c r="H304" s="100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6">
      <c r="A305" s="7"/>
      <c r="B305" s="7"/>
      <c r="C305" s="101"/>
      <c r="D305" s="101"/>
      <c r="E305" s="101"/>
      <c r="F305" s="101"/>
      <c r="G305" s="101"/>
      <c r="H305" s="101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6">
      <c r="A306" s="7"/>
      <c r="B306" s="7"/>
      <c r="C306" s="89"/>
      <c r="D306" s="89"/>
      <c r="E306" s="89"/>
      <c r="F306" s="89"/>
      <c r="G306" s="89"/>
      <c r="H306" s="89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>
      <c r="A307" s="7"/>
      <c r="B307" s="7"/>
      <c r="C307" s="101"/>
      <c r="D307" s="101"/>
      <c r="E307" s="101"/>
      <c r="F307" s="101"/>
      <c r="G307" s="101"/>
      <c r="H307" s="101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6">
      <c r="A308" s="7"/>
      <c r="B308" s="7"/>
      <c r="C308" s="102"/>
      <c r="D308" s="102"/>
      <c r="E308" s="102"/>
      <c r="F308" s="102"/>
      <c r="G308" s="102"/>
      <c r="H308" s="102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>
      <c r="A309" s="7"/>
      <c r="B309" s="7"/>
      <c r="C309" s="102"/>
      <c r="D309" s="102"/>
      <c r="E309" s="102"/>
      <c r="F309" s="102"/>
      <c r="G309" s="102"/>
      <c r="H309" s="102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6" ht="18.75" hidden="1" outlineLevel="1">
      <c r="A310" s="86"/>
      <c r="B310" s="7"/>
      <c r="C310" s="102"/>
      <c r="D310" s="102"/>
      <c r="E310" s="102"/>
      <c r="F310" s="102"/>
      <c r="G310" s="102"/>
      <c r="H310" s="102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hidden="1" outlineLevel="1">
      <c r="A311" s="59"/>
      <c r="B311" s="7"/>
      <c r="C311" s="102"/>
      <c r="D311" s="102"/>
      <c r="E311" s="102"/>
      <c r="F311" s="102"/>
      <c r="G311" s="102"/>
      <c r="H311" s="102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6" hidden="1" outlineLevel="1">
      <c r="A312" s="7"/>
      <c r="B312" s="7"/>
      <c r="C312" s="102"/>
      <c r="D312" s="102"/>
      <c r="E312" s="102"/>
      <c r="F312" s="102"/>
      <c r="G312" s="102"/>
      <c r="H312" s="102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hidden="1" outlineLevel="1">
      <c r="A313" s="59"/>
      <c r="B313" s="11"/>
      <c r="C313" s="11"/>
      <c r="D313" s="10"/>
      <c r="E313" s="10"/>
      <c r="F313" s="11"/>
      <c r="G313" s="11"/>
      <c r="H313" s="10"/>
      <c r="I313" s="11"/>
      <c r="J313" s="11"/>
      <c r="K313" s="11"/>
      <c r="L313" s="10"/>
      <c r="M313" s="11"/>
      <c r="N313" s="11"/>
      <c r="O313" s="7"/>
      <c r="P313" s="7"/>
      <c r="Q313" s="7"/>
      <c r="R313" s="7"/>
      <c r="S313" s="7"/>
      <c r="T313" s="11"/>
      <c r="U313" s="7"/>
    </row>
    <row r="314" spans="1:26" hidden="1" outlineLevel="1">
      <c r="A314" s="59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6" hidden="1" outlineLevel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6" hidden="1" outlineLevel="1">
      <c r="A316" s="7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7"/>
      <c r="P316" s="7"/>
      <c r="Q316" s="7"/>
      <c r="R316" s="7"/>
      <c r="S316" s="7"/>
      <c r="T316" s="89"/>
      <c r="U316" s="7"/>
    </row>
    <row r="317" spans="1:26" hidden="1" outlineLevel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6" hidden="1" outlineLevel="1">
      <c r="A318" s="7"/>
      <c r="B318" s="100"/>
      <c r="C318" s="100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7"/>
      <c r="P318" s="7"/>
      <c r="Q318" s="7"/>
      <c r="R318" s="7"/>
      <c r="S318" s="7"/>
      <c r="T318" s="89"/>
      <c r="U318" s="7"/>
    </row>
    <row r="319" spans="1:26" hidden="1" outlineLevel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 hidden="1" outlineLevel="1">
      <c r="A320" s="7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7"/>
      <c r="P320" s="7"/>
      <c r="Q320" s="7"/>
      <c r="R320" s="7"/>
      <c r="S320" s="7"/>
      <c r="T320" s="89"/>
      <c r="U320" s="89"/>
      <c r="V320" s="89"/>
      <c r="W320" s="89"/>
      <c r="X320" s="89"/>
      <c r="Y320" s="89"/>
      <c r="Z320" s="89"/>
    </row>
    <row r="321" spans="1:21" hidden="1" outlineLevel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idden="1" outlineLevel="1">
      <c r="A322" s="7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7"/>
      <c r="P322" s="7"/>
      <c r="Q322" s="7"/>
      <c r="R322" s="7"/>
      <c r="S322" s="7"/>
      <c r="T322" s="89"/>
      <c r="U322" s="7"/>
    </row>
    <row r="323" spans="1:21" hidden="1" outlineLevel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idden="1" outlineLevel="1">
      <c r="A324" s="7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7"/>
      <c r="P324" s="7"/>
      <c r="Q324" s="7"/>
      <c r="R324" s="7"/>
      <c r="S324" s="7"/>
      <c r="T324" s="89"/>
      <c r="U324" s="89"/>
    </row>
    <row r="325" spans="1:21" hidden="1" outlineLevel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hidden="1" outlineLevel="1">
      <c r="A326" s="7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7"/>
      <c r="P326" s="7"/>
      <c r="Q326" s="7"/>
      <c r="R326" s="7"/>
      <c r="S326" s="7"/>
      <c r="T326" s="89"/>
      <c r="U326" s="89"/>
    </row>
    <row r="327" spans="1:21" hidden="1" outlineLevel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collapsed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18.75">
      <c r="A331" s="8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>
      <c r="A332" s="59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>
      <c r="A333" s="59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>
      <c r="A335" s="2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</row>
    <row r="336" spans="1:21">
      <c r="A336" s="59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>
      <c r="A337" s="88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</row>
    <row r="338" spans="1:21">
      <c r="A338" s="88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</row>
    <row r="339" spans="1:21">
      <c r="A339" s="88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</row>
    <row r="340" spans="1:21">
      <c r="A340" s="88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</row>
    <row r="341" spans="1:21">
      <c r="A341" s="88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</row>
    <row r="342" spans="1:21">
      <c r="A342" s="7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</row>
    <row r="343" spans="1:21">
      <c r="A343" s="5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</row>
    <row r="344" spans="1:21">
      <c r="A344" s="88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</row>
    <row r="345" spans="1:21">
      <c r="A345" s="88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</row>
    <row r="346" spans="1:21">
      <c r="A346" s="88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</row>
    <row r="347" spans="1:21">
      <c r="A347" s="88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</row>
    <row r="348" spans="1:21">
      <c r="A348" s="88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</row>
    <row r="349" spans="1:21">
      <c r="A349" s="88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</row>
    <row r="350" spans="1:21">
      <c r="A350" s="88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</row>
    <row r="351" spans="1:21">
      <c r="A351" s="88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</row>
    <row r="352" spans="1:21">
      <c r="A352" s="88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</row>
    <row r="353" spans="1:21">
      <c r="A353" s="88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</row>
    <row r="354" spans="1:21">
      <c r="A354" s="88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</row>
    <row r="355" spans="1:21">
      <c r="A355" s="5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</row>
    <row r="356" spans="1:21">
      <c r="A356" s="88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</row>
    <row r="357" spans="1:21">
      <c r="A357" s="5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</row>
    <row r="358" spans="1:21">
      <c r="A358" s="88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</row>
    <row r="359" spans="1:21">
      <c r="A359" s="5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</row>
    <row r="360" spans="1:21">
      <c r="A360" s="7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</row>
    <row r="361" spans="1:21">
      <c r="A361" s="5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</row>
    <row r="362" spans="1:21">
      <c r="A362" s="88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</row>
    <row r="363" spans="1:21">
      <c r="A363" s="88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</row>
    <row r="364" spans="1:21">
      <c r="A364" s="88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</row>
    <row r="365" spans="1:21">
      <c r="A365" s="88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</row>
    <row r="366" spans="1:21">
      <c r="A366" s="5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</row>
    <row r="367" spans="1:21">
      <c r="A367" s="5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</row>
    <row r="368" spans="1:21">
      <c r="A368" s="88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</row>
    <row r="369" spans="1:21">
      <c r="A369" s="88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</row>
    <row r="370" spans="1:21">
      <c r="A370" s="88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</row>
    <row r="371" spans="1:21">
      <c r="A371" s="88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</row>
    <row r="372" spans="1:21">
      <c r="A372" s="88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</row>
    <row r="373" spans="1:21">
      <c r="A373" s="2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</row>
    <row r="374" spans="1:21">
      <c r="A374" s="5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</row>
    <row r="375" spans="1:21">
      <c r="A375" s="7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</row>
    <row r="376" spans="1:21">
      <c r="A376" s="5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</row>
    <row r="377" spans="1:21">
      <c r="A377" s="5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</row>
    <row r="378" spans="1:21">
      <c r="A378" s="5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</row>
    <row r="379" spans="1:2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ht="18.75">
      <c r="A381" s="8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>
      <c r="A382" s="59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>
      <c r="A383" s="59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>
      <c r="A385" s="2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7"/>
      <c r="P385" s="7"/>
      <c r="Q385" s="7"/>
      <c r="R385" s="7"/>
      <c r="S385" s="7"/>
      <c r="T385" s="7"/>
      <c r="U385" s="7"/>
    </row>
    <row r="386" spans="1:21">
      <c r="A386" s="59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>
      <c r="A387" s="88"/>
      <c r="B387" s="103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7"/>
      <c r="P387" s="7"/>
      <c r="Q387" s="7"/>
      <c r="R387" s="7"/>
      <c r="S387" s="7"/>
      <c r="T387" s="7"/>
      <c r="U387" s="7"/>
    </row>
    <row r="388" spans="1:21">
      <c r="A388" s="88"/>
      <c r="B388" s="103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7"/>
      <c r="P388" s="7"/>
      <c r="Q388" s="7"/>
      <c r="R388" s="7"/>
      <c r="S388" s="7"/>
      <c r="T388" s="7"/>
      <c r="U388" s="7"/>
    </row>
    <row r="389" spans="1:21">
      <c r="A389" s="88"/>
      <c r="B389" s="103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7"/>
      <c r="P389" s="7"/>
      <c r="Q389" s="7"/>
      <c r="R389" s="7"/>
      <c r="S389" s="7"/>
      <c r="T389" s="7"/>
      <c r="U389" s="7"/>
    </row>
    <row r="390" spans="1:21">
      <c r="A390" s="88"/>
      <c r="B390" s="103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7"/>
      <c r="P390" s="7"/>
      <c r="Q390" s="7"/>
      <c r="R390" s="7"/>
      <c r="S390" s="7"/>
      <c r="T390" s="7"/>
      <c r="U390" s="7"/>
    </row>
    <row r="391" spans="1:21">
      <c r="A391" s="88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7"/>
      <c r="P391" s="7"/>
      <c r="Q391" s="7"/>
      <c r="R391" s="7"/>
      <c r="S391" s="7"/>
      <c r="T391" s="7"/>
      <c r="U391" s="7"/>
    </row>
    <row r="392" spans="1:21">
      <c r="A392" s="88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7"/>
      <c r="P392" s="7"/>
      <c r="Q392" s="7"/>
      <c r="R392" s="7"/>
      <c r="S392" s="7"/>
      <c r="T392" s="7"/>
      <c r="U392" s="7"/>
    </row>
    <row r="393" spans="1:21">
      <c r="A393" s="59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7"/>
      <c r="P393" s="7"/>
      <c r="Q393" s="7"/>
      <c r="R393" s="7"/>
      <c r="S393" s="7"/>
      <c r="T393" s="7"/>
      <c r="U393" s="7"/>
    </row>
    <row r="394" spans="1:21">
      <c r="A394" s="88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7"/>
      <c r="P394" s="7"/>
      <c r="Q394" s="7"/>
      <c r="R394" s="7"/>
      <c r="S394" s="7"/>
      <c r="T394" s="7"/>
      <c r="U394" s="7"/>
    </row>
    <row r="395" spans="1:21">
      <c r="A395" s="88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7"/>
      <c r="P395" s="7"/>
      <c r="Q395" s="7"/>
      <c r="R395" s="7"/>
      <c r="S395" s="7"/>
      <c r="T395" s="7"/>
      <c r="U395" s="7"/>
    </row>
    <row r="396" spans="1:21">
      <c r="A396" s="88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7"/>
      <c r="P396" s="7"/>
      <c r="Q396" s="7"/>
      <c r="R396" s="7"/>
      <c r="S396" s="7"/>
      <c r="T396" s="7"/>
      <c r="U396" s="7"/>
    </row>
    <row r="397" spans="1:21">
      <c r="A397" s="88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7"/>
      <c r="P397" s="7"/>
      <c r="Q397" s="7"/>
      <c r="R397" s="7"/>
      <c r="S397" s="7"/>
      <c r="T397" s="7"/>
      <c r="U397" s="7"/>
    </row>
    <row r="398" spans="1:21">
      <c r="A398" s="88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7"/>
      <c r="P398" s="7"/>
      <c r="Q398" s="7"/>
      <c r="R398" s="7"/>
      <c r="S398" s="7"/>
      <c r="T398" s="7"/>
      <c r="U398" s="7"/>
    </row>
    <row r="399" spans="1:21">
      <c r="A399" s="88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7"/>
      <c r="P399" s="7"/>
      <c r="Q399" s="7"/>
      <c r="R399" s="7"/>
      <c r="S399" s="7"/>
      <c r="T399" s="7"/>
      <c r="U399" s="7"/>
    </row>
    <row r="400" spans="1:21">
      <c r="A400" s="88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7"/>
      <c r="P400" s="7"/>
      <c r="Q400" s="7"/>
      <c r="R400" s="7"/>
      <c r="S400" s="7"/>
      <c r="T400" s="7"/>
      <c r="U400" s="7"/>
    </row>
    <row r="401" spans="1:21">
      <c r="A401" s="88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7"/>
      <c r="P401" s="7"/>
      <c r="Q401" s="7"/>
      <c r="R401" s="7"/>
      <c r="S401" s="7"/>
      <c r="T401" s="7"/>
      <c r="U401" s="7"/>
    </row>
    <row r="402" spans="1:21">
      <c r="A402" s="88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7"/>
      <c r="P402" s="7"/>
      <c r="Q402" s="7"/>
      <c r="R402" s="7"/>
      <c r="S402" s="7"/>
      <c r="T402" s="7"/>
      <c r="U402" s="7"/>
    </row>
    <row r="403" spans="1:21">
      <c r="A403" s="88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7"/>
      <c r="P403" s="7"/>
      <c r="Q403" s="7"/>
      <c r="R403" s="7"/>
      <c r="S403" s="7"/>
      <c r="T403" s="7"/>
      <c r="U403" s="7"/>
    </row>
    <row r="404" spans="1:21">
      <c r="A404" s="88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7"/>
      <c r="P404" s="7"/>
      <c r="Q404" s="7"/>
      <c r="R404" s="7"/>
      <c r="S404" s="7"/>
      <c r="T404" s="7"/>
      <c r="U404" s="7"/>
    </row>
    <row r="405" spans="1:21">
      <c r="A405" s="88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7"/>
      <c r="P405" s="7"/>
      <c r="Q405" s="7"/>
      <c r="R405" s="7"/>
      <c r="S405" s="7"/>
      <c r="T405" s="7"/>
      <c r="U405" s="7"/>
    </row>
    <row r="406" spans="1:21">
      <c r="A406" s="59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7"/>
      <c r="P406" s="7"/>
      <c r="Q406" s="7"/>
      <c r="R406" s="7"/>
      <c r="S406" s="7"/>
      <c r="T406" s="7"/>
      <c r="U406" s="7"/>
    </row>
    <row r="407" spans="1:21">
      <c r="A407" s="7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7"/>
      <c r="P407" s="7"/>
      <c r="Q407" s="7"/>
      <c r="R407" s="7"/>
      <c r="S407" s="7"/>
      <c r="T407" s="7"/>
      <c r="U407" s="7"/>
    </row>
    <row r="408" spans="1:21">
      <c r="A408" s="88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7"/>
      <c r="P408" s="7"/>
      <c r="Q408" s="7"/>
      <c r="R408" s="7"/>
      <c r="S408" s="7"/>
      <c r="T408" s="7"/>
      <c r="U408" s="7"/>
    </row>
    <row r="409" spans="1:21">
      <c r="A409" s="59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7"/>
      <c r="P409" s="7"/>
      <c r="Q409" s="7"/>
      <c r="R409" s="7"/>
      <c r="S409" s="7"/>
      <c r="T409" s="7"/>
      <c r="U409" s="7"/>
    </row>
    <row r="410" spans="1:21">
      <c r="A410" s="88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7"/>
      <c r="P410" s="7"/>
      <c r="Q410" s="7"/>
      <c r="R410" s="7"/>
      <c r="S410" s="7"/>
      <c r="T410" s="7"/>
      <c r="U410" s="7"/>
    </row>
    <row r="411" spans="1:21">
      <c r="A411" s="59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7"/>
      <c r="P411" s="7"/>
      <c r="Q411" s="7"/>
      <c r="R411" s="7"/>
      <c r="S411" s="7"/>
      <c r="T411" s="7"/>
      <c r="U411" s="7"/>
    </row>
    <row r="412" spans="1:21">
      <c r="A412" s="59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7"/>
      <c r="P412" s="7"/>
      <c r="Q412" s="7"/>
      <c r="R412" s="7"/>
      <c r="S412" s="7"/>
      <c r="T412" s="7"/>
      <c r="U412" s="7"/>
    </row>
    <row r="413" spans="1:21">
      <c r="A413" s="59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7"/>
      <c r="P413" s="7"/>
      <c r="Q413" s="7"/>
      <c r="R413" s="7"/>
      <c r="S413" s="7"/>
      <c r="T413" s="7"/>
      <c r="U413" s="7"/>
    </row>
    <row r="414" spans="1:21">
      <c r="A414" s="59"/>
      <c r="B414" s="103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7"/>
      <c r="P414" s="7"/>
      <c r="Q414" s="7"/>
      <c r="R414" s="7"/>
      <c r="S414" s="7"/>
      <c r="T414" s="7"/>
      <c r="U414" s="7"/>
    </row>
    <row r="415" spans="1:21">
      <c r="A415" s="59"/>
      <c r="B415" s="103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7"/>
      <c r="P415" s="7"/>
      <c r="Q415" s="7"/>
      <c r="R415" s="7"/>
      <c r="S415" s="7"/>
      <c r="T415" s="7"/>
      <c r="U415" s="7"/>
    </row>
    <row r="416" spans="1:21">
      <c r="A416" s="59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7"/>
      <c r="P416" s="7"/>
      <c r="Q416" s="7"/>
      <c r="R416" s="7"/>
      <c r="S416" s="7"/>
      <c r="T416" s="7"/>
      <c r="U416" s="7"/>
    </row>
    <row r="417" spans="1:21">
      <c r="A417" s="59"/>
      <c r="B417" s="103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7"/>
      <c r="P417" s="7"/>
      <c r="Q417" s="7"/>
      <c r="R417" s="7"/>
      <c r="S417" s="7"/>
      <c r="T417" s="7"/>
      <c r="U417" s="7"/>
    </row>
    <row r="418" spans="1:21">
      <c r="A418" s="59"/>
      <c r="B418" s="103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7"/>
      <c r="P418" s="7"/>
      <c r="Q418" s="7"/>
      <c r="R418" s="7"/>
      <c r="S418" s="7"/>
      <c r="T418" s="7"/>
      <c r="U418" s="7"/>
    </row>
    <row r="419" spans="1:21">
      <c r="A419" s="7"/>
      <c r="B419" s="103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</row>
    <row r="420" spans="1:21">
      <c r="A420" s="7"/>
      <c r="B420" s="103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</row>
    <row r="421" spans="1:21">
      <c r="A421" s="7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</row>
    <row r="422" spans="1:21">
      <c r="A422" s="7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</row>
    <row r="423" spans="1:21">
      <c r="A423" s="7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</row>
    <row r="424" spans="1:21">
      <c r="A424" s="7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</row>
    <row r="425" spans="1:21">
      <c r="A425" s="59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</row>
    <row r="426" spans="1:21">
      <c r="A426" s="7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</row>
    <row r="427" spans="1:21">
      <c r="A427" s="7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</row>
    <row r="428" spans="1:21">
      <c r="A428" s="59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</row>
    <row r="429" spans="1:21">
      <c r="A429" s="59"/>
      <c r="B429" s="103"/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</row>
    <row r="430" spans="1:21">
      <c r="A430" s="7"/>
      <c r="B430" s="103"/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</row>
    <row r="431" spans="1:21">
      <c r="A431" s="7"/>
      <c r="B431" s="103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</row>
    <row r="432" spans="1:21">
      <c r="A432" s="7"/>
      <c r="B432" s="103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</row>
    <row r="433" spans="1:21">
      <c r="A433" s="7"/>
      <c r="B433" s="103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</row>
    <row r="434" spans="1:21">
      <c r="A434" s="7"/>
      <c r="B434" s="103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</row>
    <row r="435" spans="1:21">
      <c r="A435" s="7"/>
      <c r="B435" s="103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</row>
    <row r="436" spans="1:21">
      <c r="A436" s="7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</row>
    <row r="437" spans="1:21">
      <c r="A437" s="7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7"/>
      <c r="P437" s="7"/>
      <c r="Q437" s="7"/>
      <c r="R437" s="7"/>
      <c r="S437" s="7"/>
      <c r="T437" s="7"/>
      <c r="U437" s="7"/>
    </row>
    <row r="438" spans="1:21">
      <c r="A438" s="59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7"/>
      <c r="P438" s="7"/>
      <c r="Q438" s="7"/>
      <c r="R438" s="7"/>
      <c r="S438" s="7"/>
      <c r="T438" s="7"/>
      <c r="U438" s="7"/>
    </row>
    <row r="439" spans="1:21">
      <c r="A439" s="59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7"/>
      <c r="P439" s="7"/>
      <c r="Q439" s="7"/>
      <c r="R439" s="7"/>
      <c r="S439" s="7"/>
      <c r="T439" s="7"/>
      <c r="U439" s="7"/>
    </row>
    <row r="440" spans="1:21">
      <c r="A440" s="59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7"/>
      <c r="P440" s="7"/>
      <c r="Q440" s="7"/>
      <c r="R440" s="7"/>
      <c r="S440" s="7"/>
      <c r="T440" s="7"/>
      <c r="U440" s="7"/>
    </row>
    <row r="441" spans="1:21">
      <c r="A441" s="59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7"/>
      <c r="P441" s="7"/>
      <c r="Q441" s="7"/>
      <c r="R441" s="7"/>
      <c r="S441" s="7"/>
      <c r="T441" s="7"/>
      <c r="U441" s="7"/>
    </row>
    <row r="442" spans="1:21">
      <c r="A442" s="59"/>
      <c r="B442" s="104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7"/>
      <c r="P442" s="7"/>
      <c r="Q442" s="7"/>
      <c r="R442" s="7"/>
      <c r="S442" s="7"/>
      <c r="T442" s="7"/>
      <c r="U442" s="7"/>
    </row>
    <row r="443" spans="1:2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18.75">
      <c r="A444" s="86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>
      <c r="A445" s="59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>
      <c r="A448" s="2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</row>
    <row r="449" spans="1:21">
      <c r="A449" s="7"/>
      <c r="B449" s="7"/>
      <c r="C449" s="75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>
      <c r="A450" s="59"/>
      <c r="B450" s="7"/>
      <c r="C450" s="75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7"/>
      <c r="P450" s="7"/>
      <c r="Q450" s="7"/>
      <c r="R450" s="7"/>
      <c r="S450" s="7"/>
      <c r="T450" s="7"/>
      <c r="U450" s="7"/>
    </row>
    <row r="451" spans="1:21">
      <c r="A451" s="7"/>
      <c r="B451" s="7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"/>
      <c r="P451" s="7"/>
      <c r="Q451" s="7"/>
      <c r="R451" s="7"/>
      <c r="S451" s="7"/>
      <c r="T451" s="7"/>
      <c r="U451" s="7"/>
    </row>
    <row r="452" spans="1:21">
      <c r="A452" s="7"/>
      <c r="B452" s="7"/>
      <c r="C452" s="75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7"/>
      <c r="P452" s="7"/>
      <c r="Q452" s="7"/>
      <c r="R452" s="7"/>
      <c r="S452" s="7"/>
      <c r="T452" s="7"/>
      <c r="U452" s="7"/>
    </row>
    <row r="453" spans="1:21">
      <c r="A453" s="7"/>
      <c r="B453" s="7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"/>
      <c r="P453" s="7"/>
      <c r="Q453" s="7"/>
      <c r="R453" s="7"/>
      <c r="S453" s="7"/>
      <c r="T453" s="7"/>
      <c r="U453" s="7"/>
    </row>
    <row r="454" spans="1:21">
      <c r="A454" s="7"/>
      <c r="B454" s="7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"/>
      <c r="P454" s="7"/>
      <c r="Q454" s="7"/>
      <c r="R454" s="7"/>
      <c r="S454" s="7"/>
      <c r="T454" s="7"/>
      <c r="U454" s="7"/>
    </row>
    <row r="455" spans="1:21">
      <c r="A455" s="96"/>
      <c r="B455" s="7"/>
      <c r="C455" s="75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7"/>
      <c r="P455" s="7"/>
      <c r="Q455" s="7"/>
      <c r="R455" s="7"/>
      <c r="S455" s="7"/>
      <c r="T455" s="7"/>
      <c r="U455" s="7"/>
    </row>
    <row r="456" spans="1:21">
      <c r="A456" s="96"/>
      <c r="B456" s="7"/>
      <c r="C456" s="75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7"/>
      <c r="P456" s="7"/>
      <c r="Q456" s="7"/>
      <c r="R456" s="7"/>
      <c r="S456" s="7"/>
      <c r="T456" s="7"/>
      <c r="U456" s="7"/>
    </row>
    <row r="457" spans="1:21">
      <c r="A457" s="59"/>
      <c r="B457" s="7"/>
      <c r="C457" s="75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>
      <c r="A458" s="7"/>
      <c r="B458" s="104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7"/>
      <c r="P458" s="7"/>
      <c r="Q458" s="7"/>
      <c r="R458" s="7"/>
      <c r="S458" s="7"/>
      <c r="T458" s="7"/>
      <c r="U458" s="7"/>
    </row>
    <row r="459" spans="1:21">
      <c r="A459" s="7"/>
      <c r="B459" s="7"/>
      <c r="C459" s="75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>
      <c r="A460" s="59"/>
      <c r="B460" s="7"/>
      <c r="C460" s="75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7"/>
      <c r="P460" s="7"/>
      <c r="Q460" s="7"/>
      <c r="R460" s="7"/>
      <c r="S460" s="7"/>
      <c r="T460" s="7"/>
      <c r="U460" s="7"/>
    </row>
    <row r="461" spans="1:21">
      <c r="A461" s="7"/>
      <c r="B461" s="7"/>
      <c r="C461" s="75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7"/>
      <c r="P461" s="7"/>
      <c r="Q461" s="7"/>
      <c r="R461" s="7"/>
      <c r="S461" s="7"/>
      <c r="T461" s="7"/>
      <c r="U461" s="7"/>
    </row>
    <row r="462" spans="1:21">
      <c r="A462" s="59"/>
      <c r="B462" s="7"/>
      <c r="C462" s="75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7"/>
      <c r="P462" s="7"/>
      <c r="Q462" s="7"/>
      <c r="R462" s="7"/>
      <c r="S462" s="7"/>
      <c r="T462" s="7"/>
      <c r="U462" s="7"/>
    </row>
    <row r="463" spans="1:2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s="108" customFormat="1" ht="18.75">
      <c r="A465" s="106"/>
      <c r="B465" s="107"/>
      <c r="C465" s="107"/>
    </row>
    <row r="466" spans="1:21" s="108" customFormat="1">
      <c r="A466" s="107"/>
      <c r="B466" s="109"/>
      <c r="C466" s="110"/>
      <c r="D466" s="107"/>
      <c r="E466" s="111"/>
    </row>
    <row r="467" spans="1:21" s="108" customFormat="1">
      <c r="A467" s="107"/>
      <c r="B467" s="112"/>
      <c r="C467" s="90"/>
      <c r="D467" s="90"/>
      <c r="E467" s="111"/>
    </row>
    <row r="468" spans="1:21" s="108" customFormat="1">
      <c r="A468" s="107"/>
      <c r="B468" s="90"/>
      <c r="C468" s="111"/>
      <c r="D468" s="90"/>
      <c r="E468" s="112"/>
    </row>
    <row r="469" spans="1:21" s="108" customFormat="1">
      <c r="A469" s="113"/>
      <c r="B469" s="109"/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</row>
    <row r="470" spans="1:21" s="108" customFormat="1">
      <c r="A470" s="82"/>
      <c r="B470" s="107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</row>
    <row r="471" spans="1:21" s="108" customFormat="1">
      <c r="A471" s="81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</row>
    <row r="472" spans="1:21" s="108" customFormat="1">
      <c r="A472" s="81"/>
      <c r="B472" s="114"/>
      <c r="C472" s="114"/>
      <c r="D472" s="114"/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</row>
    <row r="473" spans="1:21" s="108" customFormat="1">
      <c r="A473" s="81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</row>
    <row r="474" spans="1:21" s="108" customFormat="1">
      <c r="A474" s="80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</row>
    <row r="475" spans="1:21" s="108" customFormat="1">
      <c r="A475" s="71"/>
      <c r="B475" s="114"/>
      <c r="C475" s="114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</row>
    <row r="476" spans="1:21" s="108" customFormat="1">
      <c r="A476" s="82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</row>
    <row r="477" spans="1:21" s="108" customFormat="1">
      <c r="A477" s="115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</row>
    <row r="478" spans="1:21" s="108" customFormat="1">
      <c r="A478" s="115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</row>
    <row r="479" spans="1:21" s="108" customFormat="1">
      <c r="A479" s="115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</row>
    <row r="480" spans="1:21" s="108" customFormat="1">
      <c r="A480" s="115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</row>
    <row r="481" spans="1:21" s="108" customFormat="1">
      <c r="A481" s="115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</row>
    <row r="482" spans="1:21" s="108" customFormat="1">
      <c r="A482" s="85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</row>
    <row r="483" spans="1:21" s="108" customFormat="1">
      <c r="A483" s="115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</row>
    <row r="484" spans="1:21" s="108" customFormat="1">
      <c r="A484" s="115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</row>
    <row r="485" spans="1:21" s="108" customFormat="1">
      <c r="A485" s="115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</row>
    <row r="486" spans="1:21" s="108" customFormat="1">
      <c r="A486" s="115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</row>
    <row r="487" spans="1:21" s="108" customFormat="1">
      <c r="A487" s="115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</row>
    <row r="488" spans="1:21" s="108" customFormat="1">
      <c r="A488" s="82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</row>
    <row r="489" spans="1:21" s="108" customFormat="1">
      <c r="A489" s="82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</row>
    <row r="490" spans="1:21" s="108" customFormat="1">
      <c r="A490" s="82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</row>
    <row r="491" spans="1:21" s="108" customFormat="1">
      <c r="A491" s="82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</row>
    <row r="492" spans="1:21" s="108" customFormat="1">
      <c r="A492" s="81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</row>
    <row r="493" spans="1:21" s="108" customFormat="1">
      <c r="A493" s="81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</row>
    <row r="494" spans="1:21" s="108" customFormat="1">
      <c r="A494" s="82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</row>
    <row r="495" spans="1:21" s="108" customFormat="1">
      <c r="A495" s="84"/>
      <c r="B495" s="116"/>
      <c r="C495" s="116"/>
      <c r="D495" s="116"/>
      <c r="E495" s="116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</row>
    <row r="496" spans="1:21" s="108" customFormat="1">
      <c r="A496" s="81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</row>
    <row r="497" spans="1:21" s="108" customFormat="1" ht="13.9" customHeight="1">
      <c r="A497" s="80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</row>
    <row r="498" spans="1:21" s="118" customFormat="1">
      <c r="A498" s="117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</row>
    <row r="499" spans="1:21" s="108" customFormat="1">
      <c r="A499" s="80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</row>
    <row r="500" spans="1:21" s="108" customFormat="1">
      <c r="A500" s="81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</row>
    <row r="501" spans="1:21" s="108" customFormat="1">
      <c r="A501" s="81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</row>
    <row r="502" spans="1:21" s="108" customFormat="1">
      <c r="A502" s="81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</row>
    <row r="503" spans="1:21" s="108" customFormat="1">
      <c r="A503" s="81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</row>
    <row r="504" spans="1:21" s="108" customFormat="1">
      <c r="A504" s="82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</row>
    <row r="505" spans="1:21" s="118" customFormat="1">
      <c r="A505" s="119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</row>
    <row r="506" spans="1:21" s="108" customFormat="1">
      <c r="A506" s="81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</row>
    <row r="507" spans="1:21" s="108" customFormat="1">
      <c r="A507" s="84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</row>
    <row r="508" spans="1:21" s="108" customFormat="1">
      <c r="A508" s="84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</row>
    <row r="509" spans="1:21" s="108" customFormat="1">
      <c r="A509" s="84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</row>
    <row r="510" spans="1:21" s="108" customFormat="1">
      <c r="A510" s="81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</row>
    <row r="511" spans="1:21" s="118" customFormat="1">
      <c r="A511" s="117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</row>
    <row r="512" spans="1:21" s="108" customFormat="1">
      <c r="A512" s="81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</row>
    <row r="513" spans="1:21" s="108" customFormat="1">
      <c r="A513" s="84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</row>
    <row r="514" spans="1:21" s="108" customFormat="1">
      <c r="A514" s="80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</row>
    <row r="515" spans="1:21" s="118" customFormat="1">
      <c r="A515" s="119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</row>
    <row r="516" spans="1:21" s="108" customFormat="1">
      <c r="A516" s="82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</row>
    <row r="517" spans="1:21" s="118" customFormat="1">
      <c r="A517" s="119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</row>
    <row r="518" spans="1:21" s="108" customFormat="1">
      <c r="A518" s="82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</row>
    <row r="519" spans="1:21" s="108" customFormat="1">
      <c r="A519" s="82"/>
      <c r="B519" s="114"/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</row>
    <row r="520" spans="1:21" s="108" customFormat="1">
      <c r="A520" s="82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</row>
    <row r="521" spans="1: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t="18.75">
      <c r="A524" s="8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>
      <c r="A525" s="59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>
      <c r="A526" s="120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7"/>
      <c r="N526" s="7"/>
      <c r="O526" s="7"/>
      <c r="P526" s="7"/>
      <c r="Q526" s="7"/>
      <c r="R526" s="7"/>
      <c r="S526" s="7"/>
      <c r="T526" s="7"/>
      <c r="U526" s="7"/>
    </row>
    <row r="527" spans="1:2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>
      <c r="A528" s="2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1">
      <c r="A529" s="59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1">
      <c r="A530" s="88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1">
      <c r="A531" s="88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1">
      <c r="A532" s="121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1">
      <c r="A533" s="88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1">
      <c r="A534" s="7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1">
      <c r="A535" s="5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1">
      <c r="A536" s="88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1">
      <c r="A537" s="88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1">
      <c r="A538" s="88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1">
      <c r="A539" s="88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1">
      <c r="A540" s="88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idden="1" outlineLevel="1">
      <c r="A541" s="88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idden="1" outlineLevel="1">
      <c r="A542" s="88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idden="1" outlineLevel="1">
      <c r="A543" s="88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idden="1" outlineLevel="1">
      <c r="A544" s="88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idden="1" outlineLevel="1">
      <c r="A545" s="88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idden="1" outlineLevel="1">
      <c r="A546" s="7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idden="1" outlineLevel="1">
      <c r="A547" s="7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idden="1" outlineLevel="1">
      <c r="A548" s="7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idden="1" outlineLevel="1">
      <c r="A549" s="88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idden="1" outlineLevel="1">
      <c r="A550" s="7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idden="1" outlineLevel="1">
      <c r="A551" s="7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7"/>
      <c r="N551" s="7"/>
      <c r="O551" s="7"/>
      <c r="P551" s="7"/>
      <c r="Q551" s="7"/>
      <c r="R551" s="7"/>
      <c r="S551" s="7"/>
      <c r="T551" s="7"/>
      <c r="U551" s="7"/>
    </row>
    <row r="552" spans="1:21" hidden="1" outlineLevel="1">
      <c r="A552" s="5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7"/>
      <c r="N552" s="7"/>
      <c r="O552" s="7"/>
      <c r="P552" s="7"/>
      <c r="Q552" s="7"/>
      <c r="R552" s="7"/>
      <c r="S552" s="7"/>
      <c r="T552" s="7"/>
      <c r="U552" s="7"/>
    </row>
    <row r="553" spans="1:21" hidden="1" outlineLevel="1">
      <c r="A553" s="88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7"/>
      <c r="N553" s="7"/>
      <c r="O553" s="7"/>
      <c r="P553" s="7"/>
      <c r="Q553" s="7"/>
      <c r="R553" s="7"/>
      <c r="S553" s="7"/>
      <c r="T553" s="7"/>
      <c r="U553" s="7"/>
    </row>
    <row r="554" spans="1:21" collapsed="1">
      <c r="A554" s="5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5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5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5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5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5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5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89"/>
      <c r="E563" s="89"/>
      <c r="F563" s="89"/>
      <c r="G563" s="89"/>
      <c r="H563" s="89"/>
      <c r="I563" s="89"/>
      <c r="J563" s="89"/>
      <c r="K563" s="89"/>
      <c r="L563" s="89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89"/>
      <c r="E564" s="89"/>
      <c r="F564" s="89"/>
      <c r="G564" s="89"/>
      <c r="H564" s="89"/>
      <c r="I564" s="89"/>
      <c r="J564" s="89"/>
      <c r="K564" s="89"/>
      <c r="L564" s="89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89"/>
      <c r="E565" s="89"/>
      <c r="F565" s="89"/>
      <c r="G565" s="89"/>
      <c r="H565" s="89"/>
      <c r="I565" s="89"/>
      <c r="J565" s="89"/>
      <c r="K565" s="89"/>
      <c r="L565" s="89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89"/>
      <c r="E566" s="89"/>
      <c r="F566" s="89"/>
      <c r="G566" s="89"/>
      <c r="H566" s="89"/>
      <c r="I566" s="89"/>
      <c r="J566" s="89"/>
      <c r="K566" s="89"/>
      <c r="L566" s="89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89"/>
      <c r="E567" s="89"/>
      <c r="F567" s="89"/>
      <c r="G567" s="89"/>
      <c r="H567" s="89"/>
      <c r="I567" s="89"/>
      <c r="J567" s="89"/>
      <c r="K567" s="89"/>
      <c r="L567" s="89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  <row r="741" s="7" customFormat="1"/>
    <row r="742" s="7" customFormat="1"/>
    <row r="743" s="7" customFormat="1"/>
    <row r="744" s="7" customFormat="1"/>
    <row r="745" s="7" customFormat="1"/>
    <row r="746" s="7" customFormat="1"/>
    <row r="747" s="7" customFormat="1"/>
    <row r="748" s="7" customFormat="1"/>
    <row r="749" s="7" customFormat="1"/>
    <row r="750" s="7" customFormat="1"/>
    <row r="751" s="7" customFormat="1"/>
    <row r="752" s="7" customFormat="1"/>
    <row r="753" s="7" customFormat="1"/>
    <row r="754" s="7" customFormat="1"/>
    <row r="755" s="7" customFormat="1"/>
    <row r="756" s="7" customFormat="1"/>
    <row r="757" s="7" customFormat="1"/>
    <row r="758" s="7" customFormat="1"/>
    <row r="759" s="7" customFormat="1"/>
    <row r="760" s="7" customFormat="1"/>
    <row r="761" s="7" customFormat="1"/>
    <row r="762" s="7" customFormat="1"/>
    <row r="763" s="7" customFormat="1"/>
    <row r="764" s="7" customFormat="1"/>
    <row r="765" s="7" customFormat="1"/>
    <row r="766" s="7" customFormat="1"/>
    <row r="767" s="7" customFormat="1"/>
    <row r="768" s="7" customFormat="1"/>
    <row r="769" s="7" customFormat="1"/>
    <row r="770" s="7" customFormat="1"/>
    <row r="771" s="7" customFormat="1"/>
    <row r="772" s="7" customFormat="1"/>
    <row r="773" s="7" customFormat="1"/>
    <row r="774" s="7" customFormat="1"/>
    <row r="775" s="7" customFormat="1"/>
    <row r="776" s="7" customFormat="1"/>
  </sheetData>
  <pageMargins left="0.18" right="0.17" top="0.37" bottom="0.4" header="0.17" footer="0.21"/>
  <pageSetup scale="53" orientation="landscape" r:id="rId1"/>
  <headerFooter alignWithMargins="0">
    <oddHeader>&amp;L&amp;12Enron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101</vt:i4>
      </vt:variant>
    </vt:vector>
  </HeadingPairs>
  <TitlesOfParts>
    <vt:vector size="116" baseType="lpstr">
      <vt:lpstr>Assumptions</vt:lpstr>
      <vt:lpstr>Summary</vt:lpstr>
      <vt:lpstr>Power Price Assumption</vt:lpstr>
      <vt:lpstr>IS</vt:lpstr>
      <vt:lpstr>Debt</vt:lpstr>
      <vt:lpstr>CF</vt:lpstr>
      <vt:lpstr>Depreciation</vt:lpstr>
      <vt:lpstr>Tax</vt:lpstr>
      <vt:lpstr>Brownsville</vt:lpstr>
      <vt:lpstr>Caledonia</vt:lpstr>
      <vt:lpstr>New Albany</vt:lpstr>
      <vt:lpstr>Gleason</vt:lpstr>
      <vt:lpstr>Wheatland</vt:lpstr>
      <vt:lpstr>Wilton</vt:lpstr>
      <vt:lpstr>Allocation</vt:lpstr>
      <vt:lpstr>Gleason!Coso_Distributable_Cash</vt:lpstr>
      <vt:lpstr>'New Albany'!Coso_Distributable_Cash</vt:lpstr>
      <vt:lpstr>Wheatland!Coso_Distributable_Cash</vt:lpstr>
      <vt:lpstr>Gleason!Coso_Net_ATCash</vt:lpstr>
      <vt:lpstr>'New Albany'!Coso_Net_ATCash</vt:lpstr>
      <vt:lpstr>Wheatland!Coso_Net_ATCash</vt:lpstr>
      <vt:lpstr>Gleason!Coso_Net_Income</vt:lpstr>
      <vt:lpstr>'New Albany'!Coso_Net_Income</vt:lpstr>
      <vt:lpstr>Wheatland!Coso_Net_Income</vt:lpstr>
      <vt:lpstr>Gleason!Energy_Credit_Coso</vt:lpstr>
      <vt:lpstr>'New Albany'!Energy_Credit_Coso</vt:lpstr>
      <vt:lpstr>Wheatland!Energy_Credit_Coso</vt:lpstr>
      <vt:lpstr>Gleason!FPOC_Distributable_Cash</vt:lpstr>
      <vt:lpstr>'New Albany'!FPOC_Distributable_Cash</vt:lpstr>
      <vt:lpstr>Wheatland!FPOC_Distributable_Cash</vt:lpstr>
      <vt:lpstr>Gleason!FPOC_Net_ATCash</vt:lpstr>
      <vt:lpstr>'New Albany'!FPOC_Net_ATCash</vt:lpstr>
      <vt:lpstr>Wheatland!FPOC_Net_ATCash</vt:lpstr>
      <vt:lpstr>Gleason!FPOC_Net_Income</vt:lpstr>
      <vt:lpstr>'New Albany'!FPOC_Net_Income</vt:lpstr>
      <vt:lpstr>Wheatland!FPOC_Net_Income</vt:lpstr>
      <vt:lpstr>Gleason!FSGC_ATCash</vt:lpstr>
      <vt:lpstr>'New Albany'!FSGC_ATCash</vt:lpstr>
      <vt:lpstr>Wheatland!FSGC_ATCash</vt:lpstr>
      <vt:lpstr>Gleason!FSGC_Distributable_Cash</vt:lpstr>
      <vt:lpstr>'New Albany'!FSGC_Distributable_Cash</vt:lpstr>
      <vt:lpstr>Wheatland!FSGC_Distributable_Cash</vt:lpstr>
      <vt:lpstr>Gleason!FSGC_Net_Income</vt:lpstr>
      <vt:lpstr>'New Albany'!FSGC_Net_Income</vt:lpstr>
      <vt:lpstr>Wheatland!FSGC_Net_Income</vt:lpstr>
      <vt:lpstr>Gleason!Minerals_Distributable_Cash</vt:lpstr>
      <vt:lpstr>'New Albany'!Minerals_Distributable_Cash</vt:lpstr>
      <vt:lpstr>Wheatland!Minerals_Distributable_Cash</vt:lpstr>
      <vt:lpstr>Gleason!Minerals_Net_ATCash</vt:lpstr>
      <vt:lpstr>'New Albany'!Minerals_Net_ATCash</vt:lpstr>
      <vt:lpstr>Wheatland!Minerals_Net_ATCash</vt:lpstr>
      <vt:lpstr>Gleason!Minerals_Net_Income</vt:lpstr>
      <vt:lpstr>'New Albany'!Minerals_Net_Income</vt:lpstr>
      <vt:lpstr>Wheatland!Minerals_Net_Income</vt:lpstr>
      <vt:lpstr>Gleason!Norcon_Distributable_Cash</vt:lpstr>
      <vt:lpstr>'New Albany'!Norcon_Distributable_Cash</vt:lpstr>
      <vt:lpstr>Wheatland!Norcon_Distributable_Cash</vt:lpstr>
      <vt:lpstr>Gleason!Norcon_Net_ATCash</vt:lpstr>
      <vt:lpstr>'New Albany'!Norcon_Net_ATCash</vt:lpstr>
      <vt:lpstr>Wheatland!Norcon_Net_ATCash</vt:lpstr>
      <vt:lpstr>Gleason!Norcon_Net_Income</vt:lpstr>
      <vt:lpstr>'New Albany'!Norcon_Net_Income</vt:lpstr>
      <vt:lpstr>Wheatland!Norcon_Net_Income</vt:lpstr>
      <vt:lpstr>Gleason!PRI_Cash_Taxes</vt:lpstr>
      <vt:lpstr>'New Albany'!PRI_Cash_Taxes</vt:lpstr>
      <vt:lpstr>Wheatland!PRI_Cash_Taxes</vt:lpstr>
      <vt:lpstr>Gleason!PRI_Net_ATCash</vt:lpstr>
      <vt:lpstr>'New Albany'!PRI_Net_ATCash</vt:lpstr>
      <vt:lpstr>Wheatland!PRI_Net_ATCash</vt:lpstr>
      <vt:lpstr>Gleason!PRI_Net_Income</vt:lpstr>
      <vt:lpstr>'New Albany'!PRI_Net_Income</vt:lpstr>
      <vt:lpstr>Wheatland!PRI_Net_Income</vt:lpstr>
      <vt:lpstr>Allocation!Print_Area</vt:lpstr>
      <vt:lpstr>Assumptions!Print_Area</vt:lpstr>
      <vt:lpstr>Brownsville!Print_Area</vt:lpstr>
      <vt:lpstr>Caledonia!Print_Area</vt:lpstr>
      <vt:lpstr>CF!Print_Area</vt:lpstr>
      <vt:lpstr>Debt!Print_Area</vt:lpstr>
      <vt:lpstr>Depreciation!Print_Area</vt:lpstr>
      <vt:lpstr>Gleason!Print_Area</vt:lpstr>
      <vt:lpstr>IS!Print_Area</vt:lpstr>
      <vt:lpstr>'New Albany'!Print_Area</vt:lpstr>
      <vt:lpstr>Summary!Print_Area</vt:lpstr>
      <vt:lpstr>Tax!Print_Area</vt:lpstr>
      <vt:lpstr>Wheatland!Print_Area</vt:lpstr>
      <vt:lpstr>Wilton!Print_Area</vt:lpstr>
      <vt:lpstr>Gleason!Saranac_Distributable_Cash</vt:lpstr>
      <vt:lpstr>'New Albany'!Saranac_Distributable_Cash</vt:lpstr>
      <vt:lpstr>Wheatland!Saranac_Distributable_Cash</vt:lpstr>
      <vt:lpstr>Gleason!Saranac_Net_ATCash</vt:lpstr>
      <vt:lpstr>'New Albany'!Saranac_Net_ATCash</vt:lpstr>
      <vt:lpstr>Wheatland!Saranac_Net_ATCash</vt:lpstr>
      <vt:lpstr>Gleason!Saranac_Net_Income</vt:lpstr>
      <vt:lpstr>'New Albany'!Saranac_Net_Income</vt:lpstr>
      <vt:lpstr>Wheatland!Saranac_Net_Income</vt:lpstr>
      <vt:lpstr>Gleason!Yuma_Distributable_Cash</vt:lpstr>
      <vt:lpstr>'New Albany'!Yuma_Distributable_Cash</vt:lpstr>
      <vt:lpstr>Wheatland!Yuma_Distributable_Cash</vt:lpstr>
      <vt:lpstr>Gleason!Yuma_Net_ATCash</vt:lpstr>
      <vt:lpstr>'New Albany'!Yuma_Net_ATCash</vt:lpstr>
      <vt:lpstr>Wheatland!Yuma_Net_ATCash</vt:lpstr>
      <vt:lpstr>Gleason!Yuma_Net_Income</vt:lpstr>
      <vt:lpstr>'New Albany'!Yuma_Net_Income</vt:lpstr>
      <vt:lpstr>Wheatland!Yuma_Net_Income</vt:lpstr>
      <vt:lpstr>Gleason!zinc</vt:lpstr>
      <vt:lpstr>'New Albany'!zinc</vt:lpstr>
      <vt:lpstr>Wheatland!zinc</vt:lpstr>
      <vt:lpstr>Gleason!Zinc_Distributable_Cash</vt:lpstr>
      <vt:lpstr>'New Albany'!Zinc_Distributable_Cash</vt:lpstr>
      <vt:lpstr>Wheatland!Zinc_Distributable_Cash</vt:lpstr>
      <vt:lpstr>Gleason!Zinc_Net_ATCash</vt:lpstr>
      <vt:lpstr>'New Albany'!Zinc_Net_ATCash</vt:lpstr>
      <vt:lpstr>Wheatland!Zinc_Net_ATCash</vt:lpstr>
      <vt:lpstr>Gleason!Zinc_Net_Income</vt:lpstr>
      <vt:lpstr>'New Albany'!Zinc_Net_Income</vt:lpstr>
      <vt:lpstr>Wheatland!Zinc_Net_Income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2000-05-11T19:19:14Z</cp:lastPrinted>
  <dcterms:created xsi:type="dcterms:W3CDTF">1999-04-02T01:38:38Z</dcterms:created>
  <dcterms:modified xsi:type="dcterms:W3CDTF">2023-09-13T23:00:37Z</dcterms:modified>
</cp:coreProperties>
</file>