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0321BAF3-A8DA-4368-A4A0-8E5874702484}" xr6:coauthVersionLast="47" xr6:coauthVersionMax="47" xr10:uidLastSave="{00000000-0000-0000-0000-000000000000}"/>
  <bookViews>
    <workbookView xWindow="-120" yWindow="-120" windowWidth="38640" windowHeight="15720"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Summary!$A$1:$O$110</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AZ168"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AV247" i="15"/>
  <c r="AX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3" i="5"/>
  <c r="C74" i="5"/>
  <c r="C76" i="5"/>
  <c r="C77" i="5"/>
  <c r="C78" i="5"/>
  <c r="C79" i="5"/>
  <c r="C80" i="5"/>
  <c r="C81" i="5"/>
  <c r="C82" i="5"/>
  <c r="C83" i="5"/>
  <c r="C84" i="5"/>
  <c r="C85" i="5"/>
  <c r="C86" i="5"/>
  <c r="C87" i="5"/>
  <c r="C88" i="5"/>
  <c r="C89" i="5"/>
  <c r="C91" i="5"/>
  <c r="C92" i="5"/>
  <c r="C94" i="5"/>
  <c r="C95" i="5"/>
  <c r="C96" i="5"/>
  <c r="C97" i="5"/>
  <c r="C98" i="5"/>
  <c r="C99" i="5"/>
  <c r="C100" i="5"/>
  <c r="C101" i="5"/>
  <c r="C102" i="5"/>
  <c r="C104" i="5"/>
  <c r="C106" i="5"/>
  <c r="C107" i="5"/>
  <c r="A110"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AX149"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AV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AT205" i="13"/>
  <c r="AV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AX150"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AV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AX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AT206" i="12"/>
  <c r="AV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<sst xmlns="http://schemas.openxmlformats.org/spreadsheetml/2006/main" count="2151" uniqueCount="589">
  <si>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</si>
  <si>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</si>
  <si>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</si>
  <si>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</si>
  <si>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</si>
  <si>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</si>
  <si>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</si>
  <si>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</si>
  <si>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</si>
  <si>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</si>
  <si>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</si>
  <si>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</si>
  <si>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</si>
  <si>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</si>
  <si>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</si>
  <si>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</si>
  <si>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</si>
  <si>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</si>
  <si>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</si>
  <si>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</si>
  <si>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</si>
  <si>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</si>
  <si>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</si>
  <si>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</si>
  <si>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</si>
  <si>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</si>
  <si>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</si>
  <si>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</si>
  <si>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</si>
  <si>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</si>
  <si>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</si>
  <si>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</si>
  <si>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</si>
  <si>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</si>
  <si>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</si>
  <si>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</si>
  <si>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</si>
  <si>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</si>
  <si>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</si>
  <si>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</si>
  <si>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</si>
  <si>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</si>
  <si>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</si>
  <si>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</si>
  <si>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</si>
  <si>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</si>
  <si>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</si>
  <si>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</si>
  <si>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</si>
  <si>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</si>
  <si>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</si>
  <si>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</si>
  <si>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</si>
  <si>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</si>
  <si>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</si>
  <si>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</si>
  <si>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</si>
  <si>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</si>
  <si>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</si>
  <si>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</si>
  <si>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</si>
  <si>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</si>
  <si>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</si>
  <si>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</si>
  <si>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</si>
  <si>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</si>
  <si>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</si>
  <si>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</si>
  <si>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</si>
  <si>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</si>
  <si>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</si>
  <si>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</si>
  <si>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</si>
  <si>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</si>
  <si>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</si>
  <si>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</si>
  <si>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</si>
  <si>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</si>
  <si>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</si>
  <si>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</si>
  <si>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</si>
  <si>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</si>
  <si>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</si>
  <si>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</si>
  <si>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</si>
  <si>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</si>
  <si>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</si>
  <si>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</si>
  <si>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</si>
  <si>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</si>
  <si>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</si>
  <si>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</si>
  <si>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</si>
  <si>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</si>
  <si>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</si>
  <si>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</si>
  <si>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</si>
  <si>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</si>
  <si>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</si>
  <si>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</si>
  <si>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</si>
  <si>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</si>
  <si>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</si>
  <si>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</si>
  <si>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</si>
  <si>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</si>
  <si>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</si>
  <si>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</si>
  <si>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</si>
  <si>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</si>
  <si>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</si>
  <si>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</si>
  <si>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</si>
  <si>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</si>
  <si>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</si>
  <si>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</si>
  <si>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</si>
  <si>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</si>
  <si>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</si>
  <si>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</si>
  <si>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</si>
  <si>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</si>
  <si>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</si>
  <si>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</si>
  <si>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</si>
  <si>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</si>
  <si>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</si>
  <si>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</si>
  <si>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</si>
  <si>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</si>
  <si>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</si>
  <si>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</si>
  <si>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</si>
  <si>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</si>
  <si>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</si>
  <si>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</si>
  <si>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</si>
  <si>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</si>
  <si>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</si>
  <si>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</si>
  <si>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</si>
  <si>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</si>
  <si>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</si>
  <si>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</si>
  <si>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</si>
  <si>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</si>
  <si>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</si>
  <si>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</si>
  <si>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</si>
  <si>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</si>
  <si>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</si>
  <si>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</si>
  <si>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</si>
  <si>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</si>
  <si>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</si>
  <si>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</si>
  <si>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</si>
  <si>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</si>
  <si>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</si>
  <si>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</si>
  <si>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</si>
  <si>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</si>
  <si>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</si>
  <si>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</si>
  <si>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</si>
  <si>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</si>
  <si>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</si>
  <si>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</si>
  <si>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</si>
  <si>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</si>
  <si>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</si>
  <si>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</si>
  <si>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</si>
  <si>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</si>
  <si>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</si>
  <si>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</si>
  <si>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</si>
  <si>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</si>
  <si>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</si>
  <si>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</si>
  <si>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</si>
  <si>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</si>
  <si>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</si>
  <si>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</si>
  <si>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</si>
  <si>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</si>
  <si>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</si>
  <si>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</si>
  <si>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</si>
  <si>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</si>
  <si>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</si>
  <si>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</si>
  <si>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</si>
  <si>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</si>
  <si>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</si>
  <si>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</si>
  <si>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</si>
  <si>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</si>
  <si>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</si>
  <si>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</si>
  <si>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</si>
  <si>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</si>
  <si>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</si>
  <si>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</si>
  <si>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</si>
  <si>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</si>
  <si>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</si>
  <si>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</si>
  <si>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</si>
  <si>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</si>
  <si>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</si>
  <si>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</si>
  <si>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</si>
  <si>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</si>
  <si>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</si>
  <si>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</si>
  <si>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</si>
  <si>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</si>
  <si>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</si>
  <si>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</si>
  <si>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</si>
  <si>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</si>
  <si>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</si>
  <si>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</si>
  <si>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</si>
  <si>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</si>
  <si>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</si>
  <si>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</si>
  <si>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</si>
  <si>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</si>
  <si>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</si>
  <si>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</si>
  <si>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</si>
  <si>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</si>
  <si>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</si>
  <si>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</si>
  <si>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</si>
  <si>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</si>
  <si>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</si>
  <si>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</si>
  <si>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</si>
  <si>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</si>
  <si>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</si>
  <si>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</si>
  <si>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</si>
  <si>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</si>
  <si>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</si>
  <si>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</si>
  <si>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</si>
  <si>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</si>
  <si>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</si>
  <si>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</si>
  <si>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</si>
  <si>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</si>
  <si>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</si>
  <si>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</si>
  <si>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</si>
  <si>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</si>
  <si>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</si>
  <si>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</si>
  <si>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</si>
  <si>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</si>
  <si>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</si>
  <si>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</si>
  <si>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</si>
  <si>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</si>
  <si>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</si>
  <si>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</si>
  <si>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</si>
  <si>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</si>
  <si>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</si>
  <si>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</si>
  <si>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</si>
  <si>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</si>
  <si>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</si>
  <si>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</si>
  <si>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</si>
  <si>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</si>
  <si>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</si>
  <si>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</si>
  <si>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</si>
  <si>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</si>
  <si>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</si>
  <si>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</si>
  <si>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</si>
  <si>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</si>
  <si>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</si>
  <si>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</si>
  <si>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</si>
  <si>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</si>
  <si>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</si>
  <si>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</si>
  <si>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</si>
  <si>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</si>
  <si>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</si>
  <si>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</si>
  <si>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</si>
  <si>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</si>
  <si>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</si>
  <si>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</si>
  <si>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</si>
  <si>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</si>
  <si>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</si>
  <si>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</si>
  <si>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</si>
  <si>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</si>
  <si>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</si>
  <si>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</si>
  <si>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</si>
  <si>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</si>
  <si>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</si>
  <si>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</si>
  <si>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</si>
  <si>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</si>
  <si>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</si>
  <si>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</si>
  <si>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</si>
  <si>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</si>
  <si>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</si>
  <si>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</si>
  <si>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</si>
  <si>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</si>
  <si>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</si>
  <si>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</si>
  <si>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</si>
  <si>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</si>
  <si>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</si>
  <si>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</si>
  <si>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</si>
  <si>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</si>
  <si>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</si>
  <si>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</si>
  <si>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</si>
  <si>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</si>
  <si>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</si>
  <si>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</si>
  <si>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</si>
  <si>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</si>
  <si>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</si>
  <si>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</si>
  <si>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</si>
  <si>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</si>
  <si>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</si>
  <si>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</si>
  <si>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</si>
  <si>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</si>
  <si>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</si>
  <si>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</si>
  <si>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</si>
  <si>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</si>
  <si>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</si>
  <si>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</si>
  <si>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</si>
  <si>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</si>
  <si>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</si>
  <si>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</si>
  <si>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</si>
  <si>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</si>
  <si>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</si>
  <si>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</si>
  <si>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</si>
  <si>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</si>
  <si>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</si>
  <si>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</si>
  <si>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</si>
  <si>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</si>
  <si>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</si>
  <si>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</si>
  <si>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</si>
  <si>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</si>
  <si>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</si>
  <si>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</si>
  <si>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</si>
  <si>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</si>
  <si>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</si>
  <si>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</si>
  <si>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</si>
  <si>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</si>
  <si>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</si>
  <si>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</si>
  <si>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</si>
  <si>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</si>
  <si>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</si>
  <si>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</si>
  <si>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</si>
  <si>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</si>
  <si>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</si>
  <si>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</si>
  <si>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</si>
  <si>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</si>
  <si>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</si>
  <si>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</si>
  <si>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</si>
  <si>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</si>
  <si>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</si>
  <si>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</si>
  <si>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</si>
  <si>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</si>
  <si>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</si>
  <si>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</si>
  <si>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</si>
  <si>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</si>
  <si>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</si>
  <si>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</si>
  <si>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</si>
  <si>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</si>
  <si>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</si>
  <si>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</si>
  <si>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</si>
  <si>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</si>
  <si>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</si>
  <si>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</si>
  <si>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</si>
  <si>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</si>
  <si>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</si>
  <si>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</si>
  <si>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</si>
  <si>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</si>
  <si>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</si>
  <si>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</si>
  <si>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</si>
  <si>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</si>
  <si>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</si>
  <si>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</si>
  <si>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</si>
  <si>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</si>
  <si>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</si>
  <si>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</si>
  <si>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</si>
  <si>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</si>
  <si>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</si>
  <si>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</si>
  <si>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</si>
  <si>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</si>
  <si>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</si>
  <si>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</si>
  <si>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</si>
  <si>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</si>
  <si>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</si>
  <si>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</si>
  <si>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</si>
  <si>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</si>
  <si>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</si>
  <si>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</si>
  <si>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</si>
  <si>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</si>
  <si>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</si>
  <si>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</si>
  <si>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</si>
  <si>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</si>
  <si>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</si>
  <si>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</si>
  <si>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</si>
  <si>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</si>
  <si>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</si>
  <si>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</si>
  <si>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</si>
  <si>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</si>
  <si>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</si>
  <si>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</si>
  <si>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</si>
  <si>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</si>
  <si>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</si>
  <si>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</si>
  <si>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</si>
  <si>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</si>
  <si>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</si>
  <si>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</si>
  <si>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</si>
  <si>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</si>
  <si>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</si>
  <si>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</si>
  <si>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</si>
  <si>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</si>
  <si>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</si>
  <si>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</si>
  <si>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</si>
  <si>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</si>
  <si>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</si>
  <si>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</si>
  <si>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</si>
  <si>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</si>
  <si>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</si>
  <si>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</si>
  <si>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</si>
  <si>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</si>
  <si>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</si>
  <si>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</si>
  <si>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</si>
  <si>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</si>
  <si>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</si>
  <si>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</si>
  <si>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</si>
  <si>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</si>
  <si>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</si>
  <si>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</si>
  <si>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</si>
  <si>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</si>
  <si>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</si>
  <si>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</si>
  <si>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</si>
  <si>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</si>
  <si>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</si>
  <si>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</si>
  <si>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</si>
  <si>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</si>
  <si>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</si>
  <si>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</si>
  <si>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</si>
  <si>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</si>
  <si>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</si>
  <si>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</si>
  <si>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</si>
  <si>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</si>
  <si>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</si>
  <si>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</si>
  <si>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</si>
  <si>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</si>
  <si>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</si>
  <si>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</si>
  <si>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</si>
  <si>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</si>
  <si>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</si>
  <si>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</si>
  <si>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</si>
  <si>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</si>
  <si>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</si>
  <si>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</si>
  <si>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</si>
  <si>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</si>
  <si>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</si>
  <si>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</si>
  <si>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</si>
  <si>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</si>
  <si>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</si>
  <si>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</si>
  <si>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</si>
  <si>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</si>
  <si>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</si>
  <si>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</si>
  <si>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</si>
  <si>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</si>
  <si>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</si>
  <si>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</si>
  <si>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</si>
  <si>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</si>
  <si>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</si>
  <si>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</si>
  <si>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</si>
  <si>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</si>
  <si>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</si>
  <si>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</si>
  <si>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</si>
  <si>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</si>
  <si>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</si>
  <si>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</si>
  <si>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</si>
  <si>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</si>
  <si>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</si>
  <si>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</si>
  <si>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</si>
  <si>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</si>
  <si>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</si>
  <si>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</si>
  <si>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</si>
  <si>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</si>
  <si>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</si>
  <si>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</si>
  <si>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</si>
  <si>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</si>
  <si>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</si>
  <si>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</si>
  <si>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</si>
  <si>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</si>
  <si>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</si>
  <si>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</si>
  <si>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</si>
  <si>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</si>
  <si>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</si>
  <si>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</si>
  <si>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Trend #12 </t>
    </r>
    <r>
      <rPr>
        <sz val="10"/>
        <color indexed="10"/>
        <rFont val="Arial"/>
        <family val="2"/>
      </rPr>
      <t>not approved</t>
    </r>
    <r>
      <rPr>
        <sz val="10"/>
        <rFont val="Arial"/>
      </rPr>
      <t xml:space="preserve"> by ENA - Craft Premium Time Forecast</t>
    </r>
  </si>
  <si>
    <r>
      <t xml:space="preserve">Acceleration Trend - </t>
    </r>
    <r>
      <rPr>
        <sz val="10"/>
        <color indexed="10"/>
        <rFont val="Arial"/>
        <family val="2"/>
      </rPr>
      <t>received 1/27/00, not approved</t>
    </r>
  </si>
  <si>
    <t>Mobilization Fee OEC</t>
  </si>
  <si>
    <t>Reimbursable Cost OEC</t>
  </si>
  <si>
    <t>Reimbursable Costs OEC</t>
  </si>
  <si>
    <t>Reimbursble Costs OEC</t>
  </si>
  <si>
    <t>Revision # 51</t>
  </si>
  <si>
    <t xml:space="preserve"> As of 3/24/00</t>
  </si>
  <si>
    <t>TOTAL ILLINOIS PLANT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</si>
</sst>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3">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72">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410F3F94-6870-2C47-F79E-ACE183059978}"/>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464F7671-00EA-FBCD-F4C1-E237A0215EFC}"/>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13C6B39E-1208-8FA0-A7B6-9F3D2699B402}"/>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32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Summary"/>
      <sheetName val="Calvert City"/>
      <sheetName val="Wilton"/>
      <sheetName val="Gleason"/>
      <sheetName val="Wheatland"/>
    </sheetNames>
    <sheetDataSet>
      <sheetData sheetId="0" refreshError="1"/>
      <sheetData sheetId="1" refreshError="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P40">
            <v>891069.81590450753</v>
          </cell>
          <cell r="Q40">
            <v>1048965.8687712126</v>
          </cell>
          <cell r="Y40">
            <v>12268497.814325349</v>
          </cell>
        </row>
      </sheetData>
      <sheetData sheetId="4">
        <row r="40">
          <cell r="M40">
            <v>505668.93</v>
          </cell>
          <cell r="N40">
            <v>517447.92267638887</v>
          </cell>
          <cell r="O40">
            <v>557933.42322977481</v>
          </cell>
          <cell r="P40">
            <v>574337.94527365838</v>
          </cell>
          <cell r="Q40">
            <v>616751.79694111284</v>
          </cell>
          <cell r="R40">
            <v>657673.00806343276</v>
          </cell>
          <cell r="Z40">
            <v>11036671.009007521</v>
          </cell>
        </row>
      </sheetData>
      <sheetData sheetId="5">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Y39">
            <v>9686571.5388481114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53" activePane="bottomRight" state="frozen"/>
      <selection activeCell="A9" sqref="A9"/>
      <selection pane="topRight" activeCell="A9" sqref="A9"/>
      <selection pane="bottomLeft" activeCell="A9" sqref="A9"/>
      <selection pane="bottomRight" activeCell="C53" sqref="C53"/>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9" customWidth="1"/>
    <col min="14" max="14" width="15.28515625" style="379" hidden="1" customWidth="1"/>
    <col min="15" max="15" width="9.85546875" customWidth="1"/>
    <col min="16" max="16" width="41.140625" bestFit="1" customWidth="1"/>
    <col min="17" max="17" width="1.28515625" customWidth="1"/>
    <col min="18" max="19" width="30.7109375" customWidth="1"/>
  </cols>
  <sheetData>
    <row r="1" spans="1:17" ht="2.25" customHeight="1">
      <c r="C1" s="49"/>
      <c r="H1" s="256"/>
      <c r="I1" s="256"/>
      <c r="J1" s="256"/>
      <c r="K1" s="256"/>
      <c r="L1" s="380"/>
      <c r="M1" s="380"/>
      <c r="N1" s="380"/>
      <c r="O1" s="49"/>
      <c r="P1" s="49"/>
    </row>
    <row r="2" spans="1:17" ht="11.25" customHeight="1">
      <c r="Q2" s="257"/>
    </row>
    <row r="3" spans="1:17" ht="40.5" customHeight="1">
      <c r="A3" s="258"/>
      <c r="B3" s="258" t="s">
        <v>388</v>
      </c>
      <c r="G3" s="350" t="s">
        <v>477</v>
      </c>
      <c r="Q3" s="257"/>
    </row>
    <row r="4" spans="1:17" ht="26.25">
      <c r="A4" s="259"/>
      <c r="B4" s="259" t="s">
        <v>389</v>
      </c>
      <c r="C4" s="257"/>
      <c r="D4" s="257"/>
      <c r="E4" s="257"/>
      <c r="F4" s="257"/>
      <c r="G4" s="257"/>
      <c r="H4" s="260"/>
      <c r="I4" s="260"/>
      <c r="J4" s="260"/>
      <c r="K4" s="260"/>
      <c r="L4" s="381"/>
      <c r="M4" s="381"/>
      <c r="N4" s="381"/>
      <c r="O4" s="257"/>
      <c r="P4" s="257"/>
      <c r="Q4" s="257"/>
    </row>
    <row r="5" spans="1:17" ht="20.25">
      <c r="A5" s="261"/>
      <c r="B5" s="261" t="s">
        <v>390</v>
      </c>
      <c r="C5" s="257"/>
      <c r="D5" s="257"/>
      <c r="E5" s="257"/>
      <c r="F5" s="257"/>
      <c r="G5" s="257"/>
      <c r="H5" s="260"/>
      <c r="I5" s="260"/>
      <c r="J5" s="260"/>
      <c r="K5" s="260"/>
      <c r="L5" s="381"/>
      <c r="M5" s="381"/>
      <c r="N5" s="381"/>
      <c r="O5" s="257"/>
      <c r="P5" s="257"/>
      <c r="Q5" s="257"/>
    </row>
    <row r="6" spans="1:17" ht="6.75" customHeight="1" thickBot="1">
      <c r="C6" s="49"/>
      <c r="H6" s="256"/>
      <c r="I6" s="256"/>
      <c r="J6" s="256"/>
      <c r="K6" s="256"/>
      <c r="L6" s="380"/>
      <c r="M6" s="380"/>
      <c r="N6" s="380"/>
      <c r="O6" s="49"/>
      <c r="P6" s="49"/>
    </row>
    <row r="7" spans="1:17" ht="25.5" customHeight="1">
      <c r="A7" s="466" t="s">
        <v>391</v>
      </c>
      <c r="B7" s="469" t="s">
        <v>392</v>
      </c>
      <c r="C7" s="469" t="s">
        <v>393</v>
      </c>
      <c r="D7" s="469" t="s">
        <v>394</v>
      </c>
      <c r="E7" s="469" t="s">
        <v>395</v>
      </c>
      <c r="F7" s="469" t="s">
        <v>396</v>
      </c>
      <c r="G7" s="463" t="s">
        <v>397</v>
      </c>
      <c r="H7" s="463" t="s">
        <v>398</v>
      </c>
      <c r="I7" s="463" t="s">
        <v>399</v>
      </c>
      <c r="J7" s="463" t="s">
        <v>400</v>
      </c>
      <c r="K7" s="463" t="s">
        <v>401</v>
      </c>
      <c r="L7" s="382" t="s">
        <v>425</v>
      </c>
      <c r="M7" s="382"/>
      <c r="N7" s="382"/>
      <c r="O7" s="469" t="s">
        <v>402</v>
      </c>
      <c r="P7" s="460" t="s">
        <v>403</v>
      </c>
      <c r="Q7" s="262"/>
    </row>
    <row r="8" spans="1:17">
      <c r="A8" s="467"/>
      <c r="B8" s="470"/>
      <c r="C8" s="470"/>
      <c r="D8" s="470"/>
      <c r="E8" s="470"/>
      <c r="F8" s="470"/>
      <c r="G8" s="464"/>
      <c r="H8" s="464"/>
      <c r="I8" s="464"/>
      <c r="J8" s="464"/>
      <c r="K8" s="464"/>
      <c r="L8" s="383" t="s">
        <v>406</v>
      </c>
      <c r="M8" s="383" t="s">
        <v>554</v>
      </c>
      <c r="N8" s="383" t="s">
        <v>558</v>
      </c>
      <c r="O8" s="470"/>
      <c r="P8" s="461"/>
      <c r="Q8" s="263"/>
    </row>
    <row r="9" spans="1:17" ht="32.25" thickBot="1">
      <c r="A9" s="468"/>
      <c r="B9" s="471"/>
      <c r="C9" s="471"/>
      <c r="D9" s="471"/>
      <c r="E9" s="471"/>
      <c r="F9" s="471"/>
      <c r="G9" s="465"/>
      <c r="H9" s="465"/>
      <c r="I9" s="465"/>
      <c r="J9" s="465"/>
      <c r="K9" s="465"/>
      <c r="L9" s="384"/>
      <c r="M9" s="384" t="s">
        <v>557</v>
      </c>
      <c r="N9" s="384" t="s">
        <v>559</v>
      </c>
      <c r="O9" s="471"/>
      <c r="P9" s="462"/>
      <c r="Q9" s="264"/>
    </row>
    <row r="10" spans="1:17" ht="16.5" thickBot="1">
      <c r="A10" s="265"/>
      <c r="B10" s="266"/>
      <c r="C10" s="266"/>
      <c r="D10" s="266"/>
      <c r="E10" s="266"/>
      <c r="F10" s="266"/>
      <c r="G10" s="266"/>
      <c r="H10" s="265"/>
      <c r="I10" s="265"/>
      <c r="J10" s="265"/>
      <c r="K10" s="265"/>
      <c r="L10" s="385"/>
      <c r="M10" s="385"/>
      <c r="N10" s="385"/>
      <c r="O10" s="266"/>
      <c r="P10" s="266"/>
      <c r="Q10" s="267"/>
    </row>
    <row r="11" spans="1:17" s="30" customFormat="1" ht="18.75" customHeight="1" thickBot="1">
      <c r="A11" s="268" t="s">
        <v>404</v>
      </c>
      <c r="B11" s="269"/>
      <c r="C11" s="270"/>
      <c r="D11" s="270"/>
      <c r="E11" s="270"/>
      <c r="F11" s="270"/>
      <c r="G11" s="270"/>
      <c r="H11" s="271"/>
      <c r="I11" s="271"/>
      <c r="J11" s="271"/>
      <c r="K11" s="271"/>
      <c r="L11" s="386"/>
      <c r="M11" s="386"/>
      <c r="N11" s="386"/>
      <c r="O11" s="270"/>
      <c r="P11" s="267"/>
      <c r="Q11" s="267"/>
    </row>
    <row r="12" spans="1:17" ht="6" customHeight="1">
      <c r="A12" s="272"/>
      <c r="B12" s="273"/>
      <c r="C12" s="274"/>
      <c r="D12" s="274"/>
      <c r="E12" s="274"/>
      <c r="F12" s="274"/>
      <c r="G12" s="274"/>
      <c r="H12" s="275"/>
      <c r="I12" s="276"/>
      <c r="J12" s="276"/>
      <c r="K12" s="276"/>
      <c r="L12" s="387"/>
      <c r="M12" s="387"/>
      <c r="N12" s="387"/>
      <c r="O12" s="274"/>
      <c r="P12" s="277"/>
      <c r="Q12" s="278"/>
    </row>
    <row r="13" spans="1:17" s="332" customFormat="1" ht="134.25" customHeight="1">
      <c r="A13" s="352" t="s">
        <v>405</v>
      </c>
      <c r="B13" s="355" t="s">
        <v>472</v>
      </c>
      <c r="C13" s="335" t="s">
        <v>230</v>
      </c>
      <c r="D13" s="336">
        <v>36383</v>
      </c>
      <c r="E13" s="336">
        <v>36383</v>
      </c>
      <c r="F13" s="335" t="s">
        <v>487</v>
      </c>
      <c r="G13" s="337"/>
      <c r="H13" s="337">
        <v>1225177</v>
      </c>
      <c r="I13" s="338">
        <v>0</v>
      </c>
      <c r="J13" s="338">
        <v>0</v>
      </c>
      <c r="K13" s="338">
        <f>SUM(G13:J13)</f>
        <v>1225177</v>
      </c>
      <c r="L13" s="374">
        <f>-1161792+K13</f>
        <v>63385</v>
      </c>
      <c r="M13" s="374"/>
      <c r="N13" s="374"/>
      <c r="O13" s="335">
        <v>0</v>
      </c>
      <c r="P13" s="389" t="s">
        <v>512</v>
      </c>
      <c r="Q13" s="331"/>
    </row>
    <row r="14" spans="1:17" s="332" customFormat="1" ht="48" customHeight="1">
      <c r="A14" s="352" t="s">
        <v>503</v>
      </c>
      <c r="B14" s="355" t="s">
        <v>504</v>
      </c>
      <c r="C14" s="335" t="s">
        <v>230</v>
      </c>
      <c r="D14" s="336"/>
      <c r="E14" s="336"/>
      <c r="F14" s="335"/>
      <c r="G14" s="337"/>
      <c r="H14" s="337">
        <v>1865140</v>
      </c>
      <c r="I14" s="338"/>
      <c r="J14" s="338"/>
      <c r="K14" s="338">
        <f>SUM(G14:J14)</f>
        <v>1865140</v>
      </c>
      <c r="L14" s="374">
        <v>1707436</v>
      </c>
      <c r="M14" s="374">
        <v>1865140</v>
      </c>
      <c r="N14" s="374"/>
      <c r="O14" s="335"/>
      <c r="P14" s="389" t="s">
        <v>505</v>
      </c>
      <c r="Q14" s="331"/>
    </row>
    <row r="15" spans="1:17" s="332" customFormat="1" ht="91.5" customHeight="1">
      <c r="A15" s="352" t="s">
        <v>507</v>
      </c>
      <c r="B15" s="355" t="s">
        <v>508</v>
      </c>
      <c r="C15" s="335" t="s">
        <v>230</v>
      </c>
      <c r="D15" s="336"/>
      <c r="E15" s="336"/>
      <c r="F15" s="335"/>
      <c r="G15" s="337"/>
      <c r="H15" s="337">
        <v>2415377</v>
      </c>
      <c r="I15" s="338"/>
      <c r="J15" s="338"/>
      <c r="K15" s="338">
        <f>SUM(G15:J15)</f>
        <v>2415377</v>
      </c>
      <c r="L15" s="374">
        <v>0</v>
      </c>
      <c r="M15" s="374">
        <v>2169159</v>
      </c>
      <c r="N15" s="374"/>
      <c r="O15" s="335"/>
      <c r="P15" s="389" t="s">
        <v>509</v>
      </c>
      <c r="Q15" s="331"/>
    </row>
    <row r="16" spans="1:17" s="332" customFormat="1" ht="44.25" customHeight="1">
      <c r="A16" s="352" t="s">
        <v>506</v>
      </c>
      <c r="B16" s="355" t="s">
        <v>510</v>
      </c>
      <c r="C16" s="335" t="s">
        <v>230</v>
      </c>
      <c r="D16" s="336"/>
      <c r="E16" s="336"/>
      <c r="F16" s="335"/>
      <c r="G16" s="337"/>
      <c r="H16" s="337">
        <v>1992155</v>
      </c>
      <c r="I16" s="338"/>
      <c r="J16" s="338"/>
      <c r="K16" s="338">
        <f>SUM(G16:J16)</f>
        <v>1992155</v>
      </c>
      <c r="L16" s="374">
        <v>1258397</v>
      </c>
      <c r="M16" s="374">
        <v>1992155</v>
      </c>
      <c r="N16" s="374"/>
      <c r="O16" s="335"/>
      <c r="P16" s="389" t="s">
        <v>511</v>
      </c>
      <c r="Q16" s="331"/>
    </row>
    <row r="17" spans="1:17" s="332" customFormat="1" ht="44.25" customHeight="1">
      <c r="A17" s="352" t="s">
        <v>555</v>
      </c>
      <c r="B17" s="355" t="s">
        <v>556</v>
      </c>
      <c r="C17" s="335"/>
      <c r="D17" s="336"/>
      <c r="E17" s="336"/>
      <c r="F17" s="335"/>
      <c r="G17" s="337"/>
      <c r="H17" s="337"/>
      <c r="I17" s="338"/>
      <c r="J17" s="338"/>
      <c r="K17" s="338"/>
      <c r="L17" s="374"/>
      <c r="M17" s="374">
        <v>292550</v>
      </c>
      <c r="N17" s="374"/>
      <c r="O17" s="335"/>
      <c r="P17" s="389"/>
      <c r="Q17" s="331"/>
    </row>
    <row r="18" spans="1:17" s="332" customFormat="1">
      <c r="A18" s="352" t="s">
        <v>407</v>
      </c>
      <c r="B18" s="355" t="s">
        <v>408</v>
      </c>
      <c r="C18" s="326" t="s">
        <v>230</v>
      </c>
      <c r="D18" s="327">
        <v>36383</v>
      </c>
      <c r="E18" s="327">
        <v>36383</v>
      </c>
      <c r="F18" s="326" t="s">
        <v>409</v>
      </c>
      <c r="G18" s="328"/>
      <c r="H18" s="328">
        <v>0</v>
      </c>
      <c r="I18" s="329">
        <v>0</v>
      </c>
      <c r="J18" s="329">
        <v>0</v>
      </c>
      <c r="K18" s="329">
        <f t="shared" ref="K18:K41" si="0">SUM(G18:J18)</f>
        <v>0</v>
      </c>
      <c r="L18" s="373"/>
      <c r="M18" s="373"/>
      <c r="N18" s="373"/>
      <c r="O18" s="326">
        <v>0</v>
      </c>
      <c r="P18" s="330" t="s">
        <v>410</v>
      </c>
      <c r="Q18" s="331"/>
    </row>
    <row r="19" spans="1:17" s="332" customFormat="1" ht="51.75" customHeight="1">
      <c r="A19" s="352" t="s">
        <v>411</v>
      </c>
      <c r="B19" s="355" t="s">
        <v>479</v>
      </c>
      <c r="C19" s="335" t="s">
        <v>230</v>
      </c>
      <c r="D19" s="336">
        <v>36383</v>
      </c>
      <c r="E19" s="336"/>
      <c r="F19" s="335" t="s">
        <v>412</v>
      </c>
      <c r="G19" s="337"/>
      <c r="H19" s="337">
        <v>714015</v>
      </c>
      <c r="I19" s="338">
        <v>0</v>
      </c>
      <c r="J19" s="338">
        <v>0</v>
      </c>
      <c r="K19" s="338">
        <f t="shared" si="0"/>
        <v>714015</v>
      </c>
      <c r="L19" s="374">
        <v>381799</v>
      </c>
      <c r="M19" s="374">
        <v>443820</v>
      </c>
      <c r="N19" s="374">
        <f>-256057+698977</f>
        <v>442920</v>
      </c>
      <c r="O19" s="335">
        <v>0</v>
      </c>
      <c r="P19" s="339" t="s">
        <v>413</v>
      </c>
      <c r="Q19" s="331"/>
    </row>
    <row r="20" spans="1:17" s="400" customFormat="1" ht="102.75" customHeight="1">
      <c r="A20" s="390" t="s">
        <v>478</v>
      </c>
      <c r="B20" s="391" t="s">
        <v>480</v>
      </c>
      <c r="C20" s="392" t="s">
        <v>230</v>
      </c>
      <c r="D20" s="393">
        <v>36383</v>
      </c>
      <c r="E20" s="393"/>
      <c r="F20" s="394" t="s">
        <v>412</v>
      </c>
      <c r="G20" s="395"/>
      <c r="H20" s="395">
        <v>3249323</v>
      </c>
      <c r="I20" s="396">
        <v>0</v>
      </c>
      <c r="J20" s="396">
        <v>0</v>
      </c>
      <c r="K20" s="396">
        <f t="shared" si="0"/>
        <v>3249323</v>
      </c>
      <c r="L20" s="397">
        <v>2125513</v>
      </c>
      <c r="M20" s="397">
        <v>2474029</v>
      </c>
      <c r="N20" s="397">
        <f>3184986-1260263</f>
        <v>1924723</v>
      </c>
      <c r="O20" s="394">
        <v>0</v>
      </c>
      <c r="P20" s="398" t="s">
        <v>414</v>
      </c>
      <c r="Q20" s="399"/>
    </row>
    <row r="21" spans="1:17" s="411" customFormat="1" ht="31.5" customHeight="1">
      <c r="A21" s="401"/>
      <c r="B21" s="402" t="s">
        <v>470</v>
      </c>
      <c r="C21" s="403" t="s">
        <v>230</v>
      </c>
      <c r="D21" s="404">
        <v>36383</v>
      </c>
      <c r="E21" s="404"/>
      <c r="F21" s="405" t="s">
        <v>412</v>
      </c>
      <c r="G21" s="406"/>
      <c r="H21" s="406">
        <v>560292</v>
      </c>
      <c r="I21" s="407">
        <v>0</v>
      </c>
      <c r="J21" s="407">
        <v>0</v>
      </c>
      <c r="K21" s="407">
        <f t="shared" si="0"/>
        <v>560292</v>
      </c>
      <c r="L21" s="408">
        <v>0</v>
      </c>
      <c r="M21" s="408"/>
      <c r="N21" s="408"/>
      <c r="O21" s="405">
        <v>0</v>
      </c>
      <c r="P21" s="409" t="s">
        <v>414</v>
      </c>
      <c r="Q21" s="410"/>
    </row>
    <row r="22" spans="1:17" s="332" customFormat="1" ht="110.25">
      <c r="A22" s="352" t="s">
        <v>415</v>
      </c>
      <c r="B22" s="355" t="s">
        <v>471</v>
      </c>
      <c r="C22" s="345" t="s">
        <v>230</v>
      </c>
      <c r="D22" s="346">
        <v>36383</v>
      </c>
      <c r="E22" s="346">
        <v>36454</v>
      </c>
      <c r="F22" s="345" t="s">
        <v>409</v>
      </c>
      <c r="G22" s="347"/>
      <c r="H22" s="347">
        <v>796634</v>
      </c>
      <c r="I22" s="348">
        <v>0</v>
      </c>
      <c r="J22" s="348">
        <v>0</v>
      </c>
      <c r="K22" s="348">
        <f t="shared" si="0"/>
        <v>796634</v>
      </c>
      <c r="L22" s="388">
        <f>K22-28680-15617</f>
        <v>752337</v>
      </c>
      <c r="M22" s="388">
        <v>687700</v>
      </c>
      <c r="N22" s="388"/>
      <c r="O22" s="345">
        <v>0</v>
      </c>
      <c r="P22" s="349"/>
      <c r="Q22" s="331"/>
    </row>
    <row r="23" spans="1:17" s="332" customFormat="1" ht="78.75">
      <c r="A23" s="352" t="s">
        <v>416</v>
      </c>
      <c r="B23" s="355" t="s">
        <v>485</v>
      </c>
      <c r="C23" s="335" t="s">
        <v>230</v>
      </c>
      <c r="D23" s="336">
        <v>36383</v>
      </c>
      <c r="E23" s="336">
        <v>36454</v>
      </c>
      <c r="F23" s="335" t="s">
        <v>409</v>
      </c>
      <c r="G23" s="337"/>
      <c r="H23" s="337">
        <v>156452</v>
      </c>
      <c r="I23" s="338">
        <v>0</v>
      </c>
      <c r="J23" s="338">
        <v>0</v>
      </c>
      <c r="K23" s="338">
        <f t="shared" si="0"/>
        <v>156452</v>
      </c>
      <c r="L23" s="374">
        <v>156452</v>
      </c>
      <c r="M23" s="374">
        <v>156675</v>
      </c>
      <c r="N23" s="374"/>
      <c r="O23" s="335">
        <v>0</v>
      </c>
      <c r="P23" s="339"/>
      <c r="Q23" s="331"/>
    </row>
    <row r="24" spans="1:17" s="332" customFormat="1">
      <c r="A24" s="353" t="s">
        <v>417</v>
      </c>
      <c r="B24" s="355" t="s">
        <v>418</v>
      </c>
      <c r="C24" s="326" t="s">
        <v>230</v>
      </c>
      <c r="D24" s="327">
        <v>36383</v>
      </c>
      <c r="E24" s="327">
        <v>36383</v>
      </c>
      <c r="F24" s="326" t="s">
        <v>409</v>
      </c>
      <c r="G24" s="328"/>
      <c r="H24" s="328">
        <v>0</v>
      </c>
      <c r="I24" s="329">
        <v>0</v>
      </c>
      <c r="J24" s="329">
        <v>0</v>
      </c>
      <c r="K24" s="362">
        <f t="shared" si="0"/>
        <v>0</v>
      </c>
      <c r="L24" s="373"/>
      <c r="M24" s="373">
        <v>0</v>
      </c>
      <c r="N24" s="373"/>
      <c r="O24" s="326">
        <v>0</v>
      </c>
      <c r="P24" s="330" t="s">
        <v>410</v>
      </c>
      <c r="Q24" s="331"/>
    </row>
    <row r="25" spans="1:17" s="332" customFormat="1" ht="94.5">
      <c r="A25" s="352" t="s">
        <v>419</v>
      </c>
      <c r="B25" s="355" t="s">
        <v>481</v>
      </c>
      <c r="C25" s="335" t="s">
        <v>230</v>
      </c>
      <c r="D25" s="336">
        <v>36383</v>
      </c>
      <c r="E25" s="336">
        <v>36454</v>
      </c>
      <c r="F25" s="335" t="s">
        <v>409</v>
      </c>
      <c r="G25" s="337"/>
      <c r="H25" s="337">
        <v>496034</v>
      </c>
      <c r="I25" s="338">
        <v>0</v>
      </c>
      <c r="J25" s="338">
        <v>0</v>
      </c>
      <c r="K25" s="363">
        <f t="shared" si="0"/>
        <v>496034</v>
      </c>
      <c r="L25" s="374">
        <v>486308</v>
      </c>
      <c r="M25" s="374">
        <v>486424</v>
      </c>
      <c r="N25" s="374"/>
      <c r="O25" s="335">
        <v>0</v>
      </c>
      <c r="P25" s="339"/>
      <c r="Q25" s="331"/>
    </row>
    <row r="26" spans="1:17" s="332" customFormat="1" ht="47.25">
      <c r="A26" s="352" t="s">
        <v>420</v>
      </c>
      <c r="B26" s="355" t="s">
        <v>473</v>
      </c>
      <c r="C26" s="335" t="s">
        <v>230</v>
      </c>
      <c r="D26" s="336">
        <v>36383</v>
      </c>
      <c r="E26" s="336">
        <v>36454</v>
      </c>
      <c r="F26" s="335" t="s">
        <v>409</v>
      </c>
      <c r="G26" s="337"/>
      <c r="H26" s="337">
        <v>38207</v>
      </c>
      <c r="I26" s="338">
        <v>0</v>
      </c>
      <c r="J26" s="338">
        <v>0</v>
      </c>
      <c r="K26" s="363">
        <f t="shared" si="0"/>
        <v>38207</v>
      </c>
      <c r="L26" s="374">
        <f>K26-78-525-749</f>
        <v>36855</v>
      </c>
      <c r="M26" s="374">
        <v>37261</v>
      </c>
      <c r="N26" s="374"/>
      <c r="O26" s="335">
        <v>0</v>
      </c>
      <c r="P26" s="339"/>
      <c r="Q26" s="331"/>
    </row>
    <row r="27" spans="1:17" s="332" customFormat="1" ht="78.75">
      <c r="A27" s="352" t="s">
        <v>421</v>
      </c>
      <c r="B27" s="355" t="s">
        <v>474</v>
      </c>
      <c r="C27" s="335" t="s">
        <v>230</v>
      </c>
      <c r="D27" s="336">
        <v>36383</v>
      </c>
      <c r="E27" s="336">
        <v>36454</v>
      </c>
      <c r="F27" s="335" t="s">
        <v>409</v>
      </c>
      <c r="G27" s="337"/>
      <c r="H27" s="337">
        <v>67746</v>
      </c>
      <c r="I27" s="338">
        <v>0</v>
      </c>
      <c r="J27" s="338">
        <v>0</v>
      </c>
      <c r="K27" s="363">
        <f t="shared" si="0"/>
        <v>67746</v>
      </c>
      <c r="L27" s="374">
        <f>K27-650-4125-1328</f>
        <v>61643</v>
      </c>
      <c r="M27" s="374">
        <v>64450</v>
      </c>
      <c r="N27" s="374"/>
      <c r="O27" s="335">
        <v>0</v>
      </c>
      <c r="P27" s="339"/>
      <c r="Q27" s="331"/>
    </row>
    <row r="28" spans="1:17">
      <c r="A28" s="354"/>
      <c r="B28" s="356"/>
      <c r="C28" s="280"/>
      <c r="D28" s="281"/>
      <c r="E28" s="281"/>
      <c r="F28" s="280"/>
      <c r="G28" s="282"/>
      <c r="H28" s="282"/>
      <c r="I28" s="283"/>
      <c r="J28" s="283"/>
      <c r="K28" s="364"/>
      <c r="L28" s="375"/>
      <c r="M28" s="375"/>
      <c r="N28" s="375"/>
      <c r="O28" s="280"/>
      <c r="P28" s="284"/>
      <c r="Q28" s="285"/>
    </row>
    <row r="29" spans="1:17" s="332" customFormat="1" ht="31.5">
      <c r="A29" s="353" t="s">
        <v>422</v>
      </c>
      <c r="B29" s="355" t="s">
        <v>475</v>
      </c>
      <c r="C29" s="326" t="s">
        <v>236</v>
      </c>
      <c r="D29" s="327">
        <v>36458</v>
      </c>
      <c r="E29" s="327">
        <v>36458</v>
      </c>
      <c r="F29" s="326" t="s">
        <v>406</v>
      </c>
      <c r="G29" s="328"/>
      <c r="H29" s="328">
        <v>0</v>
      </c>
      <c r="I29" s="329">
        <v>5000</v>
      </c>
      <c r="J29" s="329">
        <v>0</v>
      </c>
      <c r="K29" s="362">
        <f t="shared" si="0"/>
        <v>5000</v>
      </c>
      <c r="L29" s="373">
        <v>5000</v>
      </c>
      <c r="M29" s="373">
        <v>5000</v>
      </c>
      <c r="N29" s="373"/>
      <c r="O29" s="326">
        <v>0</v>
      </c>
      <c r="P29" s="330"/>
      <c r="Q29" s="331"/>
    </row>
    <row r="30" spans="1:17" ht="18">
      <c r="A30" s="279"/>
      <c r="B30" s="295" t="s">
        <v>429</v>
      </c>
      <c r="C30" s="280"/>
      <c r="D30" s="280"/>
      <c r="E30" s="280"/>
      <c r="F30" s="280" t="s">
        <v>406</v>
      </c>
      <c r="G30" s="296"/>
      <c r="H30" s="360">
        <f t="shared" ref="H30:M30" si="1">SUM(H13:H29)</f>
        <v>13576552</v>
      </c>
      <c r="I30" s="360">
        <f t="shared" si="1"/>
        <v>5000</v>
      </c>
      <c r="J30" s="360">
        <f t="shared" si="1"/>
        <v>0</v>
      </c>
      <c r="K30" s="360">
        <f t="shared" si="1"/>
        <v>13581552</v>
      </c>
      <c r="L30" s="422">
        <f t="shared" si="1"/>
        <v>7035125</v>
      </c>
      <c r="M30" s="422">
        <f t="shared" si="1"/>
        <v>10674363</v>
      </c>
      <c r="N30" s="422"/>
      <c r="O30" s="280"/>
      <c r="P30" s="284"/>
      <c r="Q30" s="285"/>
    </row>
    <row r="31" spans="1:17">
      <c r="A31" s="279"/>
      <c r="B31" s="295" t="s">
        <v>430</v>
      </c>
      <c r="C31" s="280"/>
      <c r="D31" s="280"/>
      <c r="E31" s="280"/>
      <c r="F31" s="280" t="s">
        <v>409</v>
      </c>
      <c r="G31" s="296"/>
      <c r="H31" s="296">
        <v>0</v>
      </c>
      <c r="I31" s="296">
        <v>0</v>
      </c>
      <c r="J31" s="296">
        <v>0</v>
      </c>
      <c r="K31" s="360">
        <v>0</v>
      </c>
      <c r="L31" s="377"/>
      <c r="M31" s="377"/>
      <c r="N31" s="377"/>
      <c r="O31" s="280"/>
      <c r="P31" s="284"/>
      <c r="Q31" s="285"/>
    </row>
    <row r="32" spans="1:17">
      <c r="A32" s="279"/>
      <c r="B32" s="295" t="s">
        <v>431</v>
      </c>
      <c r="C32" s="280"/>
      <c r="D32" s="280"/>
      <c r="E32" s="280"/>
      <c r="F32" s="280" t="s">
        <v>412</v>
      </c>
      <c r="G32" s="296"/>
      <c r="H32" s="296">
        <v>0</v>
      </c>
      <c r="I32" s="296">
        <v>0</v>
      </c>
      <c r="J32" s="296">
        <v>0</v>
      </c>
      <c r="K32" s="360">
        <v>0</v>
      </c>
      <c r="L32" s="377"/>
      <c r="M32" s="377"/>
      <c r="N32" s="377"/>
      <c r="O32" s="280"/>
      <c r="P32" s="284"/>
      <c r="Q32" s="285"/>
    </row>
    <row r="33" spans="1:17">
      <c r="A33" s="279"/>
      <c r="B33" s="295" t="s">
        <v>432</v>
      </c>
      <c r="C33" s="280"/>
      <c r="D33" s="280"/>
      <c r="E33" s="280"/>
      <c r="F33" s="280" t="s">
        <v>433</v>
      </c>
      <c r="G33" s="296"/>
      <c r="H33" s="296">
        <v>0</v>
      </c>
      <c r="I33" s="296">
        <v>0</v>
      </c>
      <c r="J33" s="296">
        <v>0</v>
      </c>
      <c r="K33" s="360">
        <v>0</v>
      </c>
      <c r="L33" s="377"/>
      <c r="M33" s="377"/>
      <c r="N33" s="377"/>
      <c r="O33" s="280"/>
      <c r="P33" s="284"/>
      <c r="Q33" s="285"/>
    </row>
    <row r="34" spans="1:17" ht="16.5" thickBot="1">
      <c r="A34" s="297"/>
      <c r="B34" s="298"/>
      <c r="C34" s="299"/>
      <c r="D34" s="299"/>
      <c r="E34" s="299"/>
      <c r="F34" s="300"/>
      <c r="G34" s="301"/>
      <c r="H34" s="301"/>
      <c r="I34" s="301"/>
      <c r="J34" s="301"/>
      <c r="K34" s="361"/>
      <c r="L34" s="378"/>
      <c r="M34" s="378"/>
      <c r="N34" s="378"/>
      <c r="O34" s="299"/>
      <c r="P34" s="302"/>
      <c r="Q34" s="303"/>
    </row>
    <row r="35" spans="1:17">
      <c r="A35" s="279"/>
      <c r="B35" s="295"/>
      <c r="C35" s="280"/>
      <c r="D35" s="280"/>
      <c r="E35" s="280"/>
      <c r="F35" s="421"/>
      <c r="G35" s="296"/>
      <c r="H35" s="296"/>
      <c r="I35" s="296"/>
      <c r="J35" s="296"/>
      <c r="K35" s="360"/>
      <c r="L35" s="377"/>
      <c r="M35" s="377"/>
      <c r="N35" s="377"/>
      <c r="O35" s="280"/>
      <c r="P35" s="284"/>
      <c r="Q35" s="285"/>
    </row>
    <row r="36" spans="1:17">
      <c r="A36" s="279"/>
      <c r="B36" s="295"/>
      <c r="C36" s="280"/>
      <c r="D36" s="280"/>
      <c r="E36" s="280"/>
      <c r="F36" s="421"/>
      <c r="G36" s="296"/>
      <c r="H36" s="296"/>
      <c r="I36" s="296"/>
      <c r="J36" s="296"/>
      <c r="K36" s="360"/>
      <c r="L36" s="377"/>
      <c r="M36" s="377"/>
      <c r="N36" s="377"/>
      <c r="O36" s="280"/>
      <c r="P36" s="284"/>
      <c r="Q36" s="285"/>
    </row>
    <row r="37" spans="1:17" s="33" customFormat="1">
      <c r="A37" s="354"/>
      <c r="B37" s="420" t="s">
        <v>513</v>
      </c>
      <c r="C37" s="412"/>
      <c r="D37" s="413"/>
      <c r="E37" s="413"/>
      <c r="F37" s="412"/>
      <c r="G37" s="414"/>
      <c r="H37" s="414"/>
      <c r="I37" s="415"/>
      <c r="J37" s="415"/>
      <c r="K37" s="416"/>
      <c r="L37" s="417"/>
      <c r="M37" s="417"/>
      <c r="N37" s="417"/>
      <c r="O37" s="412"/>
      <c r="P37" s="418"/>
      <c r="Q37" s="419"/>
    </row>
    <row r="38" spans="1:17" s="332" customFormat="1">
      <c r="A38" s="353" t="s">
        <v>423</v>
      </c>
      <c r="B38" s="355" t="s">
        <v>424</v>
      </c>
      <c r="C38" s="326" t="s">
        <v>425</v>
      </c>
      <c r="D38" s="327">
        <v>36210</v>
      </c>
      <c r="E38" s="327">
        <v>36210</v>
      </c>
      <c r="F38" s="326" t="s">
        <v>406</v>
      </c>
      <c r="G38" s="328">
        <v>480000</v>
      </c>
      <c r="H38" s="328">
        <v>0</v>
      </c>
      <c r="I38" s="329">
        <v>0</v>
      </c>
      <c r="J38" s="329">
        <v>0</v>
      </c>
      <c r="K38" s="362">
        <f t="shared" si="0"/>
        <v>480000</v>
      </c>
      <c r="L38" s="373">
        <v>480000</v>
      </c>
      <c r="M38" s="373"/>
      <c r="N38" s="373"/>
      <c r="O38" s="326">
        <v>0</v>
      </c>
      <c r="P38" s="330"/>
      <c r="Q38" s="331"/>
    </row>
    <row r="39" spans="1:17" s="332" customFormat="1" ht="47.25">
      <c r="A39" s="352" t="s">
        <v>426</v>
      </c>
      <c r="B39" s="355" t="s">
        <v>476</v>
      </c>
      <c r="C39" s="335" t="s">
        <v>425</v>
      </c>
      <c r="D39" s="336">
        <v>36416</v>
      </c>
      <c r="E39" s="336">
        <v>36416</v>
      </c>
      <c r="F39" s="335" t="s">
        <v>406</v>
      </c>
      <c r="G39" s="337">
        <v>1832000</v>
      </c>
      <c r="H39" s="337">
        <v>0</v>
      </c>
      <c r="I39" s="338">
        <v>0</v>
      </c>
      <c r="J39" s="338">
        <v>0</v>
      </c>
      <c r="K39" s="363">
        <f t="shared" si="0"/>
        <v>1832000</v>
      </c>
      <c r="L39" s="374">
        <v>1832000</v>
      </c>
      <c r="M39" s="374"/>
      <c r="N39" s="374"/>
      <c r="O39" s="335">
        <v>0</v>
      </c>
      <c r="P39" s="339"/>
      <c r="Q39" s="331"/>
    </row>
    <row r="40" spans="1:17">
      <c r="A40" s="354"/>
      <c r="B40" s="356"/>
      <c r="C40" s="280"/>
      <c r="D40" s="281"/>
      <c r="E40" s="281"/>
      <c r="F40" s="280"/>
      <c r="G40" s="282"/>
      <c r="H40" s="282"/>
      <c r="I40" s="283"/>
      <c r="J40" s="283"/>
      <c r="K40" s="364"/>
      <c r="L40" s="375"/>
      <c r="M40" s="375"/>
      <c r="N40" s="375"/>
      <c r="O40" s="280"/>
      <c r="P40" s="284"/>
      <c r="Q40" s="285"/>
    </row>
    <row r="41" spans="1:17" s="332" customFormat="1">
      <c r="A41" s="353" t="s">
        <v>427</v>
      </c>
      <c r="B41" s="355" t="s">
        <v>428</v>
      </c>
      <c r="C41" s="326" t="s">
        <v>425</v>
      </c>
      <c r="D41" s="327">
        <v>36413</v>
      </c>
      <c r="E41" s="327">
        <v>36413</v>
      </c>
      <c r="F41" s="326" t="s">
        <v>406</v>
      </c>
      <c r="G41" s="328">
        <v>9479079</v>
      </c>
      <c r="H41" s="328">
        <v>0</v>
      </c>
      <c r="I41" s="329">
        <v>0</v>
      </c>
      <c r="J41" s="329">
        <v>0</v>
      </c>
      <c r="K41" s="362">
        <f t="shared" si="0"/>
        <v>9479079</v>
      </c>
      <c r="L41" s="373">
        <v>9479079</v>
      </c>
      <c r="M41" s="373"/>
      <c r="N41" s="373"/>
      <c r="O41" s="326">
        <v>0</v>
      </c>
      <c r="P41" s="330"/>
      <c r="Q41" s="331"/>
    </row>
    <row r="42" spans="1:17">
      <c r="A42" s="286"/>
      <c r="B42" s="325"/>
      <c r="C42" s="280"/>
      <c r="D42" s="281"/>
      <c r="E42" s="281"/>
      <c r="F42" s="280"/>
      <c r="G42" s="282"/>
      <c r="H42" s="282"/>
      <c r="I42" s="283"/>
      <c r="J42" s="283"/>
      <c r="K42" s="364"/>
      <c r="L42" s="375"/>
      <c r="M42" s="375"/>
      <c r="N42" s="375"/>
      <c r="O42" s="280"/>
      <c r="P42" s="284"/>
      <c r="Q42" s="285"/>
    </row>
    <row r="43" spans="1:17" ht="4.5" customHeight="1">
      <c r="A43" s="288"/>
      <c r="B43" s="324"/>
      <c r="C43" s="290"/>
      <c r="D43" s="290"/>
      <c r="E43" s="290"/>
      <c r="F43" s="290"/>
      <c r="G43" s="291"/>
      <c r="H43" s="291"/>
      <c r="I43" s="292"/>
      <c r="J43" s="292"/>
      <c r="K43" s="365"/>
      <c r="L43" s="376"/>
      <c r="M43" s="376"/>
      <c r="N43" s="376"/>
      <c r="O43" s="290"/>
      <c r="P43" s="293"/>
      <c r="Q43" s="294"/>
    </row>
    <row r="44" spans="1:17" ht="4.5" customHeight="1">
      <c r="A44" s="279"/>
      <c r="B44" s="295"/>
      <c r="C44" s="280"/>
      <c r="D44" s="280"/>
      <c r="E44" s="280"/>
      <c r="F44" s="280"/>
      <c r="G44" s="280"/>
      <c r="H44" s="296"/>
      <c r="I44" s="296"/>
      <c r="J44" s="296"/>
      <c r="K44" s="360"/>
      <c r="L44" s="377"/>
      <c r="M44" s="377"/>
      <c r="N44" s="377"/>
      <c r="O44" s="280"/>
      <c r="P44" s="284"/>
      <c r="Q44" s="285"/>
    </row>
    <row r="45" spans="1:17" ht="12.75">
      <c r="A45" s="279"/>
      <c r="B45" s="295" t="s">
        <v>429</v>
      </c>
      <c r="C45" s="280"/>
      <c r="D45" s="280"/>
      <c r="E45" s="280"/>
      <c r="F45" s="280" t="s">
        <v>406</v>
      </c>
      <c r="G45" s="296">
        <f t="shared" ref="G45:L45" si="2">SUM(G38:G41)</f>
        <v>11791079</v>
      </c>
      <c r="H45" s="296">
        <f t="shared" si="2"/>
        <v>0</v>
      </c>
      <c r="I45" s="296">
        <f t="shared" si="2"/>
        <v>0</v>
      </c>
      <c r="J45" s="296">
        <f t="shared" si="2"/>
        <v>0</v>
      </c>
      <c r="K45" s="296">
        <f t="shared" si="2"/>
        <v>11791079</v>
      </c>
      <c r="L45" s="423">
        <f t="shared" si="2"/>
        <v>11791079</v>
      </c>
      <c r="M45" s="423"/>
      <c r="N45" s="423"/>
      <c r="O45" s="280"/>
      <c r="P45" s="284"/>
      <c r="Q45" s="285"/>
    </row>
    <row r="46" spans="1:17">
      <c r="A46" s="279"/>
      <c r="B46" s="295" t="s">
        <v>430</v>
      </c>
      <c r="C46" s="280"/>
      <c r="D46" s="280"/>
      <c r="E46" s="280"/>
      <c r="F46" s="280" t="s">
        <v>409</v>
      </c>
      <c r="G46" s="296">
        <f t="shared" ref="G46:K48" si="3">SUMIF($F$12:$F$43,$F46,G$12:G$43)</f>
        <v>0</v>
      </c>
      <c r="H46" s="296">
        <v>0</v>
      </c>
      <c r="I46" s="296">
        <f t="shared" si="3"/>
        <v>0</v>
      </c>
      <c r="J46" s="296">
        <f t="shared" si="3"/>
        <v>0</v>
      </c>
      <c r="K46" s="360">
        <v>0</v>
      </c>
      <c r="L46" s="377"/>
      <c r="M46" s="377"/>
      <c r="N46" s="377"/>
      <c r="O46" s="280"/>
      <c r="P46" s="284"/>
      <c r="Q46" s="285"/>
    </row>
    <row r="47" spans="1:17">
      <c r="A47" s="279"/>
      <c r="B47" s="295" t="s">
        <v>431</v>
      </c>
      <c r="C47" s="280"/>
      <c r="D47" s="280"/>
      <c r="E47" s="280"/>
      <c r="F47" s="280" t="s">
        <v>412</v>
      </c>
      <c r="G47" s="296">
        <f t="shared" si="3"/>
        <v>0</v>
      </c>
      <c r="H47" s="296">
        <v>0</v>
      </c>
      <c r="I47" s="296">
        <f t="shared" si="3"/>
        <v>0</v>
      </c>
      <c r="J47" s="296">
        <f t="shared" si="3"/>
        <v>0</v>
      </c>
      <c r="K47" s="360">
        <v>0</v>
      </c>
      <c r="L47" s="377"/>
      <c r="M47" s="377"/>
      <c r="N47" s="377"/>
      <c r="O47" s="280"/>
      <c r="P47" s="284"/>
      <c r="Q47" s="285"/>
    </row>
    <row r="48" spans="1:17">
      <c r="A48" s="279"/>
      <c r="B48" s="295" t="s">
        <v>432</v>
      </c>
      <c r="C48" s="280"/>
      <c r="D48" s="280"/>
      <c r="E48" s="280"/>
      <c r="F48" s="280" t="s">
        <v>433</v>
      </c>
      <c r="G48" s="296">
        <f t="shared" si="3"/>
        <v>0</v>
      </c>
      <c r="H48" s="296">
        <f t="shared" si="3"/>
        <v>0</v>
      </c>
      <c r="I48" s="296">
        <f t="shared" si="3"/>
        <v>0</v>
      </c>
      <c r="J48" s="296">
        <f t="shared" si="3"/>
        <v>0</v>
      </c>
      <c r="K48" s="360">
        <f t="shared" si="3"/>
        <v>0</v>
      </c>
      <c r="L48" s="377"/>
      <c r="M48" s="377"/>
      <c r="N48" s="377"/>
      <c r="O48" s="280"/>
      <c r="P48" s="284"/>
      <c r="Q48" s="285"/>
    </row>
    <row r="49" spans="1:14" ht="12.75">
      <c r="L49"/>
      <c r="M49"/>
      <c r="N49"/>
    </row>
    <row r="50" spans="1:14">
      <c r="K50" s="366"/>
    </row>
    <row r="51" spans="1:14">
      <c r="B51" s="24" t="s">
        <v>514</v>
      </c>
      <c r="K51" s="366"/>
    </row>
    <row r="52" spans="1:14">
      <c r="K52" s="425"/>
      <c r="L52" s="424"/>
      <c r="M52" s="424"/>
      <c r="N52" s="424"/>
    </row>
    <row r="55" spans="1:14" ht="15">
      <c r="A55" s="429" t="s">
        <v>542</v>
      </c>
      <c r="B55" s="430"/>
      <c r="L55"/>
      <c r="M55"/>
      <c r="N55"/>
    </row>
    <row r="56" spans="1:14" s="18" customFormat="1" ht="15">
      <c r="A56" s="436" t="s">
        <v>567</v>
      </c>
      <c r="B56" s="435" t="s">
        <v>568</v>
      </c>
      <c r="H56" s="68">
        <v>385857</v>
      </c>
    </row>
    <row r="57" spans="1:14" s="18" customFormat="1" ht="15">
      <c r="A57" s="436" t="s">
        <v>569</v>
      </c>
      <c r="B57" s="435" t="s">
        <v>570</v>
      </c>
      <c r="H57" s="68">
        <v>-67189</v>
      </c>
    </row>
    <row r="58" spans="1:14" s="18" customFormat="1" ht="15">
      <c r="A58" s="436" t="s">
        <v>547</v>
      </c>
      <c r="B58" s="435" t="s">
        <v>571</v>
      </c>
      <c r="H58" s="68">
        <v>38441</v>
      </c>
    </row>
    <row r="59" spans="1:14" s="18" customFormat="1" ht="15">
      <c r="A59" s="436" t="s">
        <v>572</v>
      </c>
      <c r="B59" s="435" t="s">
        <v>573</v>
      </c>
      <c r="H59" s="68">
        <v>99963</v>
      </c>
    </row>
    <row r="60" spans="1:14" s="18" customFormat="1" ht="15">
      <c r="A60" s="436" t="s">
        <v>549</v>
      </c>
      <c r="B60" s="435" t="s">
        <v>574</v>
      </c>
      <c r="H60" s="68">
        <v>-64133</v>
      </c>
    </row>
    <row r="61" spans="1:14" s="18" customFormat="1" ht="15">
      <c r="A61" s="436" t="s">
        <v>575</v>
      </c>
      <c r="B61" s="435" t="s">
        <v>576</v>
      </c>
      <c r="H61" s="68">
        <v>-85517</v>
      </c>
    </row>
    <row r="62" spans="1:14" s="18" customFormat="1" ht="15">
      <c r="A62" s="436" t="s">
        <v>577</v>
      </c>
      <c r="B62" s="435" t="s">
        <v>578</v>
      </c>
      <c r="H62" s="68">
        <v>93106</v>
      </c>
    </row>
    <row r="63" spans="1:14" s="18" customFormat="1" ht="15">
      <c r="A63" s="436" t="s">
        <v>549</v>
      </c>
      <c r="B63" s="435" t="s">
        <v>574</v>
      </c>
      <c r="H63" s="68">
        <v>24659</v>
      </c>
    </row>
    <row r="64" spans="1:14" s="307" customFormat="1" ht="15">
      <c r="A64" s="433" t="s">
        <v>435</v>
      </c>
      <c r="B64" s="433"/>
      <c r="H64" s="437">
        <f>SUM(H56:H63)</f>
        <v>425187</v>
      </c>
    </row>
    <row r="65" spans="1:14" ht="12.75">
      <c r="A65" s="30"/>
      <c r="B65" s="30"/>
      <c r="L65"/>
      <c r="M65"/>
      <c r="N65"/>
    </row>
    <row r="66" spans="1:14" ht="12.75">
      <c r="A66" s="30"/>
      <c r="B66" s="30"/>
      <c r="L66"/>
      <c r="M66"/>
      <c r="N66"/>
    </row>
    <row r="67" spans="1:14" ht="18.75" thickBot="1">
      <c r="B67" s="441" t="s">
        <v>566</v>
      </c>
      <c r="C67" s="442"/>
      <c r="D67" s="442"/>
      <c r="E67" s="442"/>
      <c r="F67" s="442"/>
      <c r="G67" s="442"/>
      <c r="H67" s="454">
        <f>H64+L45</f>
        <v>12216266</v>
      </c>
      <c r="L67"/>
      <c r="M67"/>
      <c r="N67"/>
    </row>
    <row r="68" spans="1:14" ht="16.5"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6"/>
      <c r="I1" s="256"/>
      <c r="J1" s="256"/>
      <c r="K1" s="256"/>
      <c r="L1" s="49"/>
      <c r="M1" s="49"/>
    </row>
    <row r="2" spans="1:19" ht="11.25" customHeight="1">
      <c r="N2" s="257"/>
    </row>
    <row r="3" spans="1:19" ht="40.5" customHeight="1">
      <c r="A3" s="258"/>
      <c r="B3" s="258" t="s">
        <v>388</v>
      </c>
      <c r="G3" s="350" t="s">
        <v>380</v>
      </c>
      <c r="N3" s="257"/>
    </row>
    <row r="4" spans="1:19" ht="26.25">
      <c r="A4" s="259"/>
      <c r="B4" s="259" t="s">
        <v>389</v>
      </c>
      <c r="C4" s="257"/>
      <c r="D4" s="257"/>
      <c r="E4" s="257"/>
      <c r="F4" s="257"/>
      <c r="G4" s="257"/>
      <c r="H4" s="260"/>
      <c r="I4" s="260"/>
      <c r="J4" s="260"/>
      <c r="K4" s="260"/>
      <c r="L4" s="257"/>
      <c r="M4" s="257"/>
      <c r="N4" s="257"/>
    </row>
    <row r="5" spans="1:19" ht="20.25">
      <c r="A5" s="261"/>
      <c r="B5" s="261" t="s">
        <v>390</v>
      </c>
      <c r="C5" s="257"/>
      <c r="D5" s="257"/>
      <c r="E5" s="257"/>
      <c r="F5" s="257"/>
      <c r="G5" s="257"/>
      <c r="H5" s="260"/>
      <c r="I5" s="260"/>
      <c r="J5" s="260"/>
      <c r="K5" s="260"/>
      <c r="L5" s="257"/>
      <c r="M5" s="257"/>
      <c r="N5" s="257"/>
    </row>
    <row r="6" spans="1:19" ht="6.75" customHeight="1" thickBot="1">
      <c r="C6" s="49"/>
      <c r="H6" s="256"/>
      <c r="I6" s="256"/>
      <c r="J6" s="256"/>
      <c r="K6" s="256"/>
      <c r="L6" s="49"/>
      <c r="M6" s="49"/>
    </row>
    <row r="7" spans="1:19" ht="25.5" customHeight="1">
      <c r="A7" s="466" t="s">
        <v>391</v>
      </c>
      <c r="B7" s="469" t="s">
        <v>392</v>
      </c>
      <c r="C7" s="469" t="s">
        <v>393</v>
      </c>
      <c r="D7" s="469" t="s">
        <v>394</v>
      </c>
      <c r="E7" s="469" t="s">
        <v>395</v>
      </c>
      <c r="F7" s="469" t="s">
        <v>396</v>
      </c>
      <c r="G7" s="463" t="s">
        <v>397</v>
      </c>
      <c r="H7" s="463" t="s">
        <v>398</v>
      </c>
      <c r="I7" s="463" t="s">
        <v>399</v>
      </c>
      <c r="J7" s="463" t="s">
        <v>400</v>
      </c>
      <c r="K7" s="463" t="s">
        <v>401</v>
      </c>
      <c r="L7" s="469" t="s">
        <v>402</v>
      </c>
      <c r="M7" s="460" t="s">
        <v>403</v>
      </c>
      <c r="N7" s="262"/>
    </row>
    <row r="8" spans="1:19">
      <c r="A8" s="467"/>
      <c r="B8" s="470"/>
      <c r="C8" s="470"/>
      <c r="D8" s="470"/>
      <c r="E8" s="470"/>
      <c r="F8" s="470"/>
      <c r="G8" s="464"/>
      <c r="H8" s="464"/>
      <c r="I8" s="464"/>
      <c r="J8" s="464"/>
      <c r="K8" s="464"/>
      <c r="L8" s="470"/>
      <c r="M8" s="461"/>
      <c r="N8" s="263"/>
    </row>
    <row r="9" spans="1:19" ht="13.5" thickBot="1">
      <c r="A9" s="468"/>
      <c r="B9" s="471"/>
      <c r="C9" s="471"/>
      <c r="D9" s="471"/>
      <c r="E9" s="471"/>
      <c r="F9" s="471"/>
      <c r="G9" s="465"/>
      <c r="H9" s="465"/>
      <c r="I9" s="465"/>
      <c r="J9" s="465"/>
      <c r="K9" s="465"/>
      <c r="L9" s="471"/>
      <c r="M9" s="462"/>
      <c r="N9" s="264"/>
    </row>
    <row r="10" spans="1:19" ht="13.5" thickBot="1">
      <c r="A10" s="265"/>
      <c r="B10" s="266"/>
      <c r="C10" s="266"/>
      <c r="D10" s="266"/>
      <c r="E10" s="266"/>
      <c r="F10" s="266"/>
      <c r="G10" s="266"/>
      <c r="H10" s="265"/>
      <c r="I10" s="265"/>
      <c r="J10" s="265"/>
      <c r="K10" s="265"/>
      <c r="L10" s="266"/>
      <c r="M10" s="266"/>
      <c r="N10" s="267"/>
    </row>
    <row r="11" spans="1:19" s="30" customFormat="1" ht="18.75" customHeight="1" thickBot="1">
      <c r="A11" s="268" t="s">
        <v>436</v>
      </c>
      <c r="B11" s="269"/>
      <c r="C11" s="270"/>
      <c r="D11" s="270"/>
      <c r="E11" s="270"/>
      <c r="F11" s="270"/>
      <c r="G11" s="270"/>
      <c r="H11" s="271"/>
      <c r="I11" s="271"/>
      <c r="J11" s="271"/>
      <c r="K11" s="271"/>
      <c r="L11" s="270"/>
      <c r="M11" s="267"/>
      <c r="N11" s="267"/>
    </row>
    <row r="12" spans="1:19" ht="6" customHeight="1">
      <c r="A12" s="272"/>
      <c r="B12" s="273"/>
      <c r="C12" s="274"/>
      <c r="D12" s="274"/>
      <c r="E12" s="274"/>
      <c r="F12" s="274"/>
      <c r="G12" s="274"/>
      <c r="H12" s="275"/>
      <c r="I12" s="276"/>
      <c r="J12" s="276"/>
      <c r="K12" s="276"/>
      <c r="L12" s="274"/>
      <c r="M12" s="277"/>
      <c r="N12" s="278"/>
    </row>
    <row r="13" spans="1:19" s="334" customFormat="1" ht="110.25">
      <c r="A13" s="351" t="s">
        <v>437</v>
      </c>
      <c r="B13" s="357" t="s">
        <v>483</v>
      </c>
      <c r="C13" s="340" t="s">
        <v>230</v>
      </c>
      <c r="D13" s="341">
        <v>36369</v>
      </c>
      <c r="E13" s="341"/>
      <c r="F13" s="340" t="s">
        <v>412</v>
      </c>
      <c r="G13" s="342"/>
      <c r="H13" s="342">
        <v>3822297</v>
      </c>
      <c r="I13" s="343">
        <v>0</v>
      </c>
      <c r="J13" s="343">
        <v>0</v>
      </c>
      <c r="K13" s="343">
        <f>SUM(G13:J13)</f>
        <v>3822297</v>
      </c>
      <c r="L13" s="340" t="s">
        <v>438</v>
      </c>
      <c r="M13" s="344"/>
      <c r="N13" s="333"/>
    </row>
    <row r="14" spans="1:19" s="334" customFormat="1" ht="141.75">
      <c r="A14" s="351" t="s">
        <v>439</v>
      </c>
      <c r="B14" s="357" t="s">
        <v>482</v>
      </c>
      <c r="C14" s="340" t="s">
        <v>230</v>
      </c>
      <c r="D14" s="341">
        <v>36464</v>
      </c>
      <c r="E14" s="341"/>
      <c r="F14" s="340" t="s">
        <v>412</v>
      </c>
      <c r="G14" s="342"/>
      <c r="H14" s="342">
        <v>2906759</v>
      </c>
      <c r="I14" s="343">
        <v>0</v>
      </c>
      <c r="J14" s="343">
        <v>0</v>
      </c>
      <c r="K14" s="343">
        <f>SUM(G14:J14)</f>
        <v>2906759</v>
      </c>
      <c r="L14" s="340" t="s">
        <v>438</v>
      </c>
      <c r="M14" s="344"/>
      <c r="N14" s="333"/>
    </row>
    <row r="15" spans="1:19" s="438" customFormat="1">
      <c r="A15" s="341"/>
      <c r="B15" s="453" t="s">
        <v>561</v>
      </c>
      <c r="C15" s="341"/>
      <c r="D15" s="341"/>
      <c r="E15" s="341"/>
      <c r="F15" s="341"/>
      <c r="G15" s="341"/>
      <c r="H15" s="439">
        <v>263743</v>
      </c>
      <c r="I15" s="341"/>
      <c r="J15" s="341"/>
      <c r="K15" s="440">
        <f>SUM(C15:J15)</f>
        <v>263743</v>
      </c>
      <c r="L15" s="341"/>
      <c r="M15" s="341"/>
      <c r="N15" s="341"/>
      <c r="O15" s="341"/>
      <c r="P15" s="341"/>
      <c r="Q15" s="341"/>
      <c r="R15" s="341"/>
      <c r="S15" s="341"/>
    </row>
    <row r="16" spans="1:19" ht="15.75">
      <c r="A16" s="279" t="s">
        <v>440</v>
      </c>
      <c r="B16" s="358"/>
      <c r="C16" s="280" t="s">
        <v>425</v>
      </c>
      <c r="D16" s="281">
        <v>36350</v>
      </c>
      <c r="E16" s="281">
        <v>36350</v>
      </c>
      <c r="F16" s="280" t="s">
        <v>406</v>
      </c>
      <c r="G16" s="282">
        <v>436901</v>
      </c>
      <c r="H16" s="282">
        <v>0</v>
      </c>
      <c r="I16" s="283">
        <v>0</v>
      </c>
      <c r="J16" s="283">
        <v>0</v>
      </c>
      <c r="K16" s="283">
        <f>SUM(G16:J16)</f>
        <v>436901</v>
      </c>
      <c r="L16" s="280">
        <v>0</v>
      </c>
      <c r="M16" s="284"/>
      <c r="N16" s="285"/>
    </row>
    <row r="17" spans="1:14" ht="15.75">
      <c r="A17" s="279" t="s">
        <v>441</v>
      </c>
      <c r="B17" s="358" t="s">
        <v>442</v>
      </c>
      <c r="C17" s="280" t="s">
        <v>425</v>
      </c>
      <c r="D17" s="281">
        <v>36425</v>
      </c>
      <c r="E17" s="281">
        <v>36425</v>
      </c>
      <c r="F17" s="280" t="s">
        <v>406</v>
      </c>
      <c r="G17" s="282">
        <v>900</v>
      </c>
      <c r="H17" s="282">
        <v>0</v>
      </c>
      <c r="I17" s="283">
        <v>0</v>
      </c>
      <c r="J17" s="283">
        <v>0</v>
      </c>
      <c r="K17" s="283">
        <f>SUM(G17:J17)</f>
        <v>900</v>
      </c>
      <c r="L17" s="280">
        <v>0</v>
      </c>
      <c r="M17" s="284"/>
      <c r="N17" s="285"/>
    </row>
    <row r="18" spans="1:14" ht="15.75">
      <c r="A18" s="279"/>
      <c r="B18" s="358"/>
      <c r="C18" s="280"/>
      <c r="D18" s="281"/>
      <c r="E18" s="281"/>
      <c r="F18" s="280"/>
      <c r="G18" s="282"/>
      <c r="H18" s="282"/>
      <c r="I18" s="283"/>
      <c r="J18" s="283"/>
      <c r="K18" s="283"/>
      <c r="L18" s="280"/>
      <c r="M18" s="284"/>
      <c r="N18" s="285"/>
    </row>
    <row r="19" spans="1:14" ht="15.75">
      <c r="A19" s="279" t="s">
        <v>443</v>
      </c>
      <c r="B19" s="358" t="s">
        <v>444</v>
      </c>
      <c r="C19" s="280" t="s">
        <v>425</v>
      </c>
      <c r="D19" s="281">
        <v>36423</v>
      </c>
      <c r="E19" s="281">
        <v>36423</v>
      </c>
      <c r="F19" s="280" t="s">
        <v>406</v>
      </c>
      <c r="G19" s="282">
        <v>1099800</v>
      </c>
      <c r="H19" s="282">
        <v>0</v>
      </c>
      <c r="I19" s="282">
        <v>0</v>
      </c>
      <c r="J19" s="282">
        <v>0</v>
      </c>
      <c r="K19" s="283">
        <f>SUM(G19:J19)</f>
        <v>1099800</v>
      </c>
      <c r="L19" s="280">
        <v>0</v>
      </c>
      <c r="M19" s="284"/>
      <c r="N19" s="285"/>
    </row>
    <row r="20" spans="1:14" ht="15.75">
      <c r="A20" s="279" t="s">
        <v>445</v>
      </c>
      <c r="B20" s="358" t="s">
        <v>446</v>
      </c>
      <c r="C20" s="280" t="s">
        <v>425</v>
      </c>
      <c r="D20" s="281">
        <v>36425</v>
      </c>
      <c r="E20" s="281">
        <v>36425</v>
      </c>
      <c r="F20" s="280" t="s">
        <v>406</v>
      </c>
      <c r="G20" s="282">
        <v>16100</v>
      </c>
      <c r="H20" s="282">
        <v>0</v>
      </c>
      <c r="I20" s="282">
        <v>0</v>
      </c>
      <c r="J20" s="282">
        <v>0</v>
      </c>
      <c r="K20" s="283">
        <f>SUM(G20:J20)</f>
        <v>16100</v>
      </c>
      <c r="L20" s="280">
        <v>0</v>
      </c>
      <c r="M20" s="284"/>
      <c r="N20" s="285"/>
    </row>
    <row r="21" spans="1:14" ht="15.75">
      <c r="A21" s="279" t="s">
        <v>445</v>
      </c>
      <c r="B21" s="358" t="s">
        <v>447</v>
      </c>
      <c r="C21" s="280" t="s">
        <v>425</v>
      </c>
      <c r="D21" s="281">
        <v>36425</v>
      </c>
      <c r="E21" s="281">
        <v>36425</v>
      </c>
      <c r="F21" s="280" t="s">
        <v>406</v>
      </c>
      <c r="G21" s="282">
        <v>29800</v>
      </c>
      <c r="H21" s="282">
        <v>0</v>
      </c>
      <c r="I21" s="282">
        <v>0</v>
      </c>
      <c r="J21" s="282">
        <v>0</v>
      </c>
      <c r="K21" s="283">
        <f>SUM(G21:J21)</f>
        <v>29800</v>
      </c>
      <c r="L21" s="280">
        <v>0</v>
      </c>
      <c r="M21" s="284"/>
      <c r="N21" s="285"/>
    </row>
    <row r="22" spans="1:14" ht="15.75">
      <c r="A22" s="279" t="s">
        <v>448</v>
      </c>
      <c r="B22" s="358" t="s">
        <v>449</v>
      </c>
      <c r="C22" s="280" t="s">
        <v>425</v>
      </c>
      <c r="D22" s="281">
        <v>36425</v>
      </c>
      <c r="E22" s="281">
        <v>36425</v>
      </c>
      <c r="F22" s="280" t="s">
        <v>406</v>
      </c>
      <c r="G22" s="282">
        <v>22900</v>
      </c>
      <c r="H22" s="282">
        <v>0</v>
      </c>
      <c r="I22" s="282">
        <v>0</v>
      </c>
      <c r="J22" s="282">
        <v>0</v>
      </c>
      <c r="K22" s="283">
        <f>SUM(G22:J22)</f>
        <v>22900</v>
      </c>
      <c r="L22" s="280">
        <v>0</v>
      </c>
      <c r="M22" s="284"/>
      <c r="N22" s="285"/>
    </row>
    <row r="23" spans="1:14" ht="15.75">
      <c r="A23" s="279" t="s">
        <v>448</v>
      </c>
      <c r="B23" s="358" t="s">
        <v>450</v>
      </c>
      <c r="C23" s="280" t="s">
        <v>425</v>
      </c>
      <c r="D23" s="281">
        <v>36425</v>
      </c>
      <c r="E23" s="281">
        <v>36425</v>
      </c>
      <c r="F23" s="280" t="s">
        <v>406</v>
      </c>
      <c r="G23" s="282">
        <v>39315</v>
      </c>
      <c r="H23" s="282">
        <v>0</v>
      </c>
      <c r="I23" s="282">
        <v>0</v>
      </c>
      <c r="J23" s="282">
        <v>0</v>
      </c>
      <c r="K23" s="283">
        <f>SUM(G23:J23)</f>
        <v>39315</v>
      </c>
      <c r="L23" s="280">
        <v>0</v>
      </c>
      <c r="M23" s="284"/>
      <c r="N23" s="285"/>
    </row>
    <row r="24" spans="1:14" ht="15.75">
      <c r="A24" s="286"/>
      <c r="B24" s="359"/>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c r="A27" s="279"/>
      <c r="B27" s="295" t="s">
        <v>429</v>
      </c>
      <c r="C27" s="280"/>
      <c r="D27" s="280"/>
      <c r="E27" s="280"/>
      <c r="F27" s="280" t="s">
        <v>406</v>
      </c>
      <c r="G27" s="296">
        <f t="shared" ref="G27:K30" si="0">SUMIF($F$12:$F$25,$F27,G$12:G$25)</f>
        <v>1645716</v>
      </c>
      <c r="H27" s="296">
        <f t="shared" si="0"/>
        <v>0</v>
      </c>
      <c r="I27" s="296">
        <f t="shared" si="0"/>
        <v>0</v>
      </c>
      <c r="J27" s="296">
        <f t="shared" si="0"/>
        <v>0</v>
      </c>
      <c r="K27" s="296">
        <f>SUM(K16:K23)</f>
        <v>1645716</v>
      </c>
      <c r="L27" s="280"/>
      <c r="M27" s="284"/>
      <c r="N27" s="285"/>
    </row>
    <row r="28" spans="1:14">
      <c r="A28" s="279"/>
      <c r="B28" s="295" t="s">
        <v>430</v>
      </c>
      <c r="C28" s="280"/>
      <c r="D28" s="280"/>
      <c r="E28" s="280"/>
      <c r="F28" s="280" t="s">
        <v>409</v>
      </c>
      <c r="G28" s="296">
        <f t="shared" si="0"/>
        <v>0</v>
      </c>
      <c r="H28" s="296">
        <f>SUM(H13:H15)</f>
        <v>6992799</v>
      </c>
      <c r="I28" s="296">
        <f t="shared" si="0"/>
        <v>0</v>
      </c>
      <c r="J28" s="296">
        <f t="shared" si="0"/>
        <v>0</v>
      </c>
      <c r="K28" s="296">
        <f>SUM(K13:K15)</f>
        <v>6992799</v>
      </c>
      <c r="L28" s="280"/>
      <c r="M28" s="284"/>
      <c r="N28" s="285"/>
    </row>
    <row r="29" spans="1:14">
      <c r="A29" s="279"/>
      <c r="B29" s="295" t="s">
        <v>431</v>
      </c>
      <c r="C29" s="280"/>
      <c r="D29" s="280"/>
      <c r="E29" s="280"/>
      <c r="F29" s="280" t="s">
        <v>412</v>
      </c>
      <c r="G29" s="296">
        <f t="shared" si="0"/>
        <v>0</v>
      </c>
      <c r="H29" s="296">
        <v>0</v>
      </c>
      <c r="I29" s="296">
        <f t="shared" si="0"/>
        <v>0</v>
      </c>
      <c r="J29" s="296">
        <f t="shared" si="0"/>
        <v>0</v>
      </c>
      <c r="K29" s="296">
        <v>0</v>
      </c>
      <c r="L29" s="280"/>
      <c r="M29" s="284"/>
      <c r="N29" s="285"/>
    </row>
    <row r="30" spans="1:14">
      <c r="A30" s="279"/>
      <c r="B30" s="295" t="s">
        <v>432</v>
      </c>
      <c r="C30" s="280"/>
      <c r="D30" s="280"/>
      <c r="E30" s="280"/>
      <c r="F30" s="280" t="s">
        <v>433</v>
      </c>
      <c r="G30" s="296">
        <f t="shared" si="0"/>
        <v>0</v>
      </c>
      <c r="H30" s="296">
        <f t="shared" si="0"/>
        <v>0</v>
      </c>
      <c r="I30" s="296">
        <f t="shared" si="0"/>
        <v>0</v>
      </c>
      <c r="J30" s="296">
        <f t="shared" si="0"/>
        <v>0</v>
      </c>
      <c r="K30" s="296">
        <f t="shared" si="0"/>
        <v>0</v>
      </c>
      <c r="L30" s="280"/>
      <c r="M30" s="284"/>
      <c r="N30" s="285"/>
    </row>
    <row r="31" spans="1:14" ht="13.5" thickBot="1">
      <c r="A31" s="297"/>
      <c r="B31" s="298" t="s">
        <v>451</v>
      </c>
      <c r="C31" s="299"/>
      <c r="D31" s="299"/>
      <c r="E31" s="299"/>
      <c r="F31" s="300" t="s">
        <v>75</v>
      </c>
      <c r="G31" s="301">
        <f>SUM(G26:G30)</f>
        <v>1645716</v>
      </c>
      <c r="H31" s="301">
        <f>SUM(H27:H30)</f>
        <v>6992799</v>
      </c>
      <c r="I31" s="301">
        <f>SUM(I26:I30)</f>
        <v>0</v>
      </c>
      <c r="J31" s="301">
        <f>SUM(J26:J30)</f>
        <v>0</v>
      </c>
      <c r="K31" s="301">
        <f>SUM(K26:K30)</f>
        <v>8638515</v>
      </c>
      <c r="L31" s="299"/>
      <c r="M31" s="302"/>
      <c r="N31" s="303"/>
    </row>
    <row r="32" spans="1:14">
      <c r="A32" s="309"/>
      <c r="B32" s="310"/>
      <c r="C32" s="311"/>
      <c r="D32" s="311"/>
      <c r="E32" s="311"/>
      <c r="F32" s="270"/>
      <c r="G32" s="312"/>
      <c r="H32" s="312"/>
      <c r="I32" s="312"/>
      <c r="J32" s="312"/>
      <c r="K32" s="312"/>
      <c r="L32" s="311"/>
      <c r="M32" s="284"/>
      <c r="N32" s="313"/>
    </row>
    <row r="33" spans="1:8" ht="15">
      <c r="A33" s="308" t="s">
        <v>452</v>
      </c>
    </row>
    <row r="34" spans="1:8" ht="15">
      <c r="A34" s="308"/>
    </row>
    <row r="35" spans="1:8" s="122" customFormat="1" ht="15.75">
      <c r="A35" s="122" t="s">
        <v>434</v>
      </c>
      <c r="H35" s="304">
        <f>H24+H25</f>
        <v>0</v>
      </c>
    </row>
    <row r="37" spans="1:8" s="305" customFormat="1" ht="15">
      <c r="A37" s="305" t="s">
        <v>453</v>
      </c>
      <c r="H37" s="306">
        <v>0</v>
      </c>
    </row>
    <row r="39" spans="1:8" ht="15">
      <c r="A39" s="429" t="s">
        <v>542</v>
      </c>
      <c r="B39" s="430"/>
    </row>
    <row r="40" spans="1:8" s="18" customFormat="1" ht="15">
      <c r="A40" s="436" t="s">
        <v>543</v>
      </c>
      <c r="B40" s="435" t="s">
        <v>546</v>
      </c>
      <c r="H40" s="68">
        <v>317897</v>
      </c>
    </row>
    <row r="41" spans="1:8" s="18" customFormat="1" ht="15">
      <c r="A41" s="436" t="s">
        <v>547</v>
      </c>
      <c r="B41" s="435" t="s">
        <v>550</v>
      </c>
      <c r="H41" s="68">
        <v>-739008</v>
      </c>
    </row>
    <row r="42" spans="1:8" s="18" customFormat="1" ht="15">
      <c r="A42" s="436" t="s">
        <v>549</v>
      </c>
      <c r="B42" s="435" t="s">
        <v>562</v>
      </c>
      <c r="H42" s="68">
        <v>421112</v>
      </c>
    </row>
    <row r="43" spans="1:8" s="307" customFormat="1" ht="15">
      <c r="A43" s="433" t="s">
        <v>435</v>
      </c>
      <c r="B43" s="433"/>
      <c r="H43" s="437">
        <f>SUM(H40:H42)</f>
        <v>1</v>
      </c>
    </row>
    <row r="44" spans="1:8">
      <c r="H44" s="256"/>
    </row>
    <row r="46" spans="1:8" ht="18.75" thickBot="1">
      <c r="B46" s="441" t="s">
        <v>566</v>
      </c>
      <c r="C46" s="442"/>
      <c r="D46" s="442"/>
      <c r="E46" s="442"/>
      <c r="F46" s="442"/>
      <c r="G46" s="442"/>
      <c r="H46" s="443">
        <f>H31+H43</f>
        <v>6992800</v>
      </c>
    </row>
    <row r="47" spans="1:8" ht="13.5"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6"/>
      <c r="I1" s="256"/>
      <c r="J1" s="256"/>
      <c r="K1" s="256"/>
      <c r="L1" s="49"/>
      <c r="M1" s="49"/>
    </row>
    <row r="2" spans="1:14" ht="11.25" customHeight="1">
      <c r="N2" s="257"/>
    </row>
    <row r="3" spans="1:14" ht="40.5" customHeight="1">
      <c r="A3" s="258"/>
      <c r="B3" s="258" t="s">
        <v>388</v>
      </c>
      <c r="G3" s="350" t="s">
        <v>381</v>
      </c>
      <c r="N3" s="257"/>
    </row>
    <row r="4" spans="1:14" ht="26.25">
      <c r="A4" s="259"/>
      <c r="B4" s="259" t="s">
        <v>389</v>
      </c>
      <c r="C4" s="257"/>
      <c r="D4" s="257"/>
      <c r="E4" s="257"/>
      <c r="F4" s="257"/>
      <c r="G4" s="257"/>
      <c r="H4" s="260"/>
      <c r="I4" s="260"/>
      <c r="J4" s="260"/>
      <c r="K4" s="260"/>
      <c r="L4" s="257"/>
      <c r="M4" s="257"/>
      <c r="N4" s="257"/>
    </row>
    <row r="5" spans="1:14" ht="20.25">
      <c r="A5" s="261"/>
      <c r="B5" s="261" t="s">
        <v>390</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66" t="s">
        <v>391</v>
      </c>
      <c r="B7" s="469" t="s">
        <v>392</v>
      </c>
      <c r="C7" s="469" t="s">
        <v>393</v>
      </c>
      <c r="D7" s="469" t="s">
        <v>394</v>
      </c>
      <c r="E7" s="469" t="s">
        <v>395</v>
      </c>
      <c r="F7" s="469" t="s">
        <v>396</v>
      </c>
      <c r="G7" s="463" t="s">
        <v>397</v>
      </c>
      <c r="H7" s="463" t="s">
        <v>398</v>
      </c>
      <c r="I7" s="463" t="s">
        <v>399</v>
      </c>
      <c r="J7" s="463" t="s">
        <v>400</v>
      </c>
      <c r="K7" s="463" t="s">
        <v>401</v>
      </c>
      <c r="L7" s="469" t="s">
        <v>402</v>
      </c>
      <c r="M7" s="460" t="s">
        <v>403</v>
      </c>
      <c r="N7" s="262"/>
    </row>
    <row r="8" spans="1:14">
      <c r="A8" s="467"/>
      <c r="B8" s="470"/>
      <c r="C8" s="470"/>
      <c r="D8" s="470"/>
      <c r="E8" s="470"/>
      <c r="F8" s="470"/>
      <c r="G8" s="464"/>
      <c r="H8" s="464"/>
      <c r="I8" s="464"/>
      <c r="J8" s="464"/>
      <c r="K8" s="464"/>
      <c r="L8" s="470"/>
      <c r="M8" s="461"/>
      <c r="N8" s="263"/>
    </row>
    <row r="9" spans="1:14" ht="13.5" thickBot="1">
      <c r="A9" s="468"/>
      <c r="B9" s="471"/>
      <c r="C9" s="471"/>
      <c r="D9" s="471"/>
      <c r="E9" s="471"/>
      <c r="F9" s="471"/>
      <c r="G9" s="465"/>
      <c r="H9" s="465"/>
      <c r="I9" s="465"/>
      <c r="J9" s="465"/>
      <c r="K9" s="465"/>
      <c r="L9" s="471"/>
      <c r="M9" s="462"/>
      <c r="N9" s="264"/>
    </row>
    <row r="10" spans="1:14" ht="13.5" thickBot="1">
      <c r="A10" s="265"/>
      <c r="B10" s="266"/>
      <c r="C10" s="266"/>
      <c r="D10" s="266"/>
      <c r="E10" s="266"/>
      <c r="F10" s="266"/>
      <c r="G10" s="266"/>
      <c r="H10" s="265"/>
      <c r="I10" s="265"/>
      <c r="J10" s="265"/>
      <c r="K10" s="265"/>
      <c r="L10" s="266"/>
      <c r="M10" s="266"/>
      <c r="N10" s="267"/>
    </row>
    <row r="11" spans="1:14" s="30" customFormat="1" ht="18.75" customHeight="1" thickBot="1">
      <c r="A11" s="268" t="s">
        <v>455</v>
      </c>
      <c r="B11" s="269"/>
      <c r="C11" s="270"/>
      <c r="D11" s="270"/>
      <c r="E11" s="270"/>
      <c r="F11" s="270"/>
      <c r="G11" s="270"/>
      <c r="H11" s="271"/>
      <c r="I11" s="271"/>
      <c r="J11" s="271"/>
      <c r="K11" s="271"/>
      <c r="L11" s="270"/>
      <c r="M11" s="267"/>
      <c r="N11" s="267"/>
    </row>
    <row r="12" spans="1:14" s="334" customFormat="1" ht="74.25" customHeight="1">
      <c r="A12" s="351" t="s">
        <v>456</v>
      </c>
      <c r="B12" s="357" t="s">
        <v>484</v>
      </c>
      <c r="C12" s="340" t="s">
        <v>230</v>
      </c>
      <c r="D12" s="341">
        <v>36388</v>
      </c>
      <c r="E12" s="341"/>
      <c r="F12" s="340" t="s">
        <v>412</v>
      </c>
      <c r="G12" s="342"/>
      <c r="H12" s="342">
        <v>3953393</v>
      </c>
      <c r="I12" s="343">
        <v>0</v>
      </c>
      <c r="J12" s="343">
        <v>0</v>
      </c>
      <c r="K12" s="343">
        <f>SUM(G12:J12)</f>
        <v>3953393</v>
      </c>
      <c r="L12" s="340" t="s">
        <v>438</v>
      </c>
      <c r="M12" s="344"/>
      <c r="N12" s="333"/>
    </row>
    <row r="13" spans="1:14" s="334" customFormat="1" ht="89.25" customHeight="1">
      <c r="A13" s="351" t="s">
        <v>457</v>
      </c>
      <c r="B13" s="357" t="s">
        <v>486</v>
      </c>
      <c r="C13" s="340" t="s">
        <v>230</v>
      </c>
      <c r="D13" s="341">
        <v>36464</v>
      </c>
      <c r="E13" s="341"/>
      <c r="F13" s="340" t="s">
        <v>412</v>
      </c>
      <c r="G13" s="342"/>
      <c r="H13" s="342">
        <v>2321129</v>
      </c>
      <c r="I13" s="343">
        <v>0</v>
      </c>
      <c r="J13" s="343">
        <v>0</v>
      </c>
      <c r="K13" s="343">
        <f>SUM(G13:J13)</f>
        <v>2321129</v>
      </c>
      <c r="L13" s="340" t="s">
        <v>438</v>
      </c>
      <c r="M13" s="344"/>
      <c r="N13" s="333"/>
    </row>
    <row r="14" spans="1:14" s="452" customFormat="1" ht="23.25" customHeight="1">
      <c r="A14" s="444"/>
      <c r="B14" s="445" t="s">
        <v>561</v>
      </c>
      <c r="C14" s="446"/>
      <c r="D14" s="447"/>
      <c r="E14" s="447"/>
      <c r="F14" s="446"/>
      <c r="G14" s="448"/>
      <c r="H14" s="448">
        <v>294693</v>
      </c>
      <c r="I14" s="449"/>
      <c r="J14" s="449"/>
      <c r="K14" s="449">
        <f>SUM(H14:J14)</f>
        <v>294693</v>
      </c>
      <c r="L14" s="446"/>
      <c r="M14" s="450"/>
      <c r="N14" s="451"/>
    </row>
    <row r="15" spans="1:14" ht="15.75">
      <c r="A15" s="279"/>
      <c r="B15" s="358"/>
      <c r="C15" s="280"/>
      <c r="D15" s="281"/>
      <c r="E15" s="281"/>
      <c r="F15" s="280"/>
      <c r="G15" s="282"/>
      <c r="H15" s="282"/>
      <c r="I15" s="283"/>
      <c r="J15" s="283"/>
      <c r="K15" s="283"/>
      <c r="L15" s="280"/>
      <c r="M15" s="284"/>
      <c r="N15" s="285"/>
    </row>
    <row r="16" spans="1:14" ht="15.75">
      <c r="A16" s="279" t="s">
        <v>458</v>
      </c>
      <c r="B16" s="358" t="s">
        <v>459</v>
      </c>
      <c r="C16" s="280" t="s">
        <v>425</v>
      </c>
      <c r="D16" s="281">
        <v>36342</v>
      </c>
      <c r="E16" s="281">
        <v>36342</v>
      </c>
      <c r="F16" s="280" t="s">
        <v>406</v>
      </c>
      <c r="G16" s="282">
        <v>-100000</v>
      </c>
      <c r="H16" s="282">
        <v>0</v>
      </c>
      <c r="I16" s="283">
        <v>0</v>
      </c>
      <c r="J16" s="283">
        <v>0</v>
      </c>
      <c r="K16" s="283">
        <f>SUM(G16:J16)</f>
        <v>-100000</v>
      </c>
      <c r="L16" s="280">
        <v>0</v>
      </c>
      <c r="M16" s="284"/>
      <c r="N16" s="285"/>
    </row>
    <row r="17" spans="1:14" ht="15.75">
      <c r="A17" s="279" t="s">
        <v>460</v>
      </c>
      <c r="B17" s="358" t="s">
        <v>461</v>
      </c>
      <c r="C17" s="280" t="s">
        <v>425</v>
      </c>
      <c r="D17" s="281">
        <v>36348</v>
      </c>
      <c r="E17" s="281">
        <v>36348</v>
      </c>
      <c r="F17" s="280" t="s">
        <v>406</v>
      </c>
      <c r="G17" s="282">
        <v>353801</v>
      </c>
      <c r="H17" s="282">
        <v>0</v>
      </c>
      <c r="I17" s="283">
        <v>0</v>
      </c>
      <c r="J17" s="283">
        <v>0</v>
      </c>
      <c r="K17" s="283">
        <f>SUM(G17:J17)</f>
        <v>353801</v>
      </c>
      <c r="L17" s="280">
        <v>0</v>
      </c>
      <c r="M17" s="284"/>
      <c r="N17" s="285"/>
    </row>
    <row r="18" spans="1:14" ht="15.75">
      <c r="A18" s="279" t="s">
        <v>462</v>
      </c>
      <c r="B18" s="358" t="s">
        <v>463</v>
      </c>
      <c r="C18" s="280" t="s">
        <v>425</v>
      </c>
      <c r="D18" s="281">
        <v>36398</v>
      </c>
      <c r="E18" s="281">
        <v>36398</v>
      </c>
      <c r="F18" s="280" t="s">
        <v>406</v>
      </c>
      <c r="G18" s="282">
        <v>-22200</v>
      </c>
      <c r="H18" s="282">
        <v>0</v>
      </c>
      <c r="I18" s="283">
        <v>0</v>
      </c>
      <c r="J18" s="283">
        <v>0</v>
      </c>
      <c r="K18" s="283">
        <f>SUM(G18:J18)</f>
        <v>-22200</v>
      </c>
      <c r="L18" s="280">
        <v>0</v>
      </c>
      <c r="M18" s="284"/>
      <c r="N18" s="285"/>
    </row>
    <row r="19" spans="1:14">
      <c r="A19" s="286"/>
      <c r="B19" s="287"/>
      <c r="C19" s="280"/>
      <c r="D19" s="281"/>
      <c r="E19" s="281"/>
      <c r="F19" s="280"/>
      <c r="G19" s="282"/>
      <c r="H19" s="282"/>
      <c r="I19" s="283"/>
      <c r="J19" s="283"/>
      <c r="K19" s="283"/>
      <c r="L19" s="280"/>
      <c r="M19" s="284"/>
      <c r="N19" s="285"/>
    </row>
    <row r="20" spans="1:14" ht="4.5" customHeight="1">
      <c r="A20" s="288"/>
      <c r="B20" s="289"/>
      <c r="C20" s="290"/>
      <c r="D20" s="290"/>
      <c r="E20" s="290"/>
      <c r="F20" s="290"/>
      <c r="G20" s="290"/>
      <c r="H20" s="291"/>
      <c r="I20" s="292"/>
      <c r="J20" s="292"/>
      <c r="K20" s="292"/>
      <c r="L20" s="290"/>
      <c r="M20" s="293"/>
      <c r="N20" s="294"/>
    </row>
    <row r="21" spans="1:14" ht="4.5" customHeight="1">
      <c r="A21" s="279"/>
      <c r="B21" s="295"/>
      <c r="C21" s="280"/>
      <c r="D21" s="280"/>
      <c r="E21" s="280"/>
      <c r="F21" s="280"/>
      <c r="G21" s="280"/>
      <c r="H21" s="296"/>
      <c r="I21" s="296"/>
      <c r="J21" s="296"/>
      <c r="K21" s="296"/>
      <c r="L21" s="280"/>
      <c r="M21" s="284"/>
      <c r="N21" s="285"/>
    </row>
    <row r="22" spans="1:14">
      <c r="A22" s="279"/>
      <c r="B22" s="295" t="s">
        <v>429</v>
      </c>
      <c r="C22" s="280"/>
      <c r="D22" s="280"/>
      <c r="E22" s="280"/>
      <c r="F22" s="280" t="s">
        <v>406</v>
      </c>
      <c r="G22" s="296">
        <f t="shared" ref="G22:K25" si="0">SUMIF($F$12:$F$20,$F22,G$12:G$20)</f>
        <v>231601</v>
      </c>
      <c r="H22" s="296">
        <f t="shared" si="0"/>
        <v>0</v>
      </c>
      <c r="I22" s="296">
        <f t="shared" si="0"/>
        <v>0</v>
      </c>
      <c r="J22" s="296">
        <f t="shared" si="0"/>
        <v>0</v>
      </c>
      <c r="K22" s="296">
        <f t="shared" si="0"/>
        <v>231601</v>
      </c>
      <c r="L22" s="280"/>
      <c r="M22" s="284"/>
      <c r="N22" s="285"/>
    </row>
    <row r="23" spans="1:14">
      <c r="A23" s="279"/>
      <c r="B23" s="295" t="s">
        <v>430</v>
      </c>
      <c r="C23" s="280"/>
      <c r="D23" s="280"/>
      <c r="E23" s="280"/>
      <c r="F23" s="280" t="s">
        <v>409</v>
      </c>
      <c r="G23" s="296">
        <f t="shared" si="0"/>
        <v>0</v>
      </c>
      <c r="H23" s="296">
        <f>SUM(H12:H19)</f>
        <v>6569215</v>
      </c>
      <c r="I23" s="296">
        <f t="shared" si="0"/>
        <v>0</v>
      </c>
      <c r="J23" s="296">
        <f t="shared" si="0"/>
        <v>0</v>
      </c>
      <c r="K23" s="296">
        <f t="shared" si="0"/>
        <v>0</v>
      </c>
      <c r="L23" s="280"/>
      <c r="M23" s="284"/>
      <c r="N23" s="285"/>
    </row>
    <row r="24" spans="1:14">
      <c r="A24" s="279"/>
      <c r="B24" s="295" t="s">
        <v>431</v>
      </c>
      <c r="C24" s="280"/>
      <c r="D24" s="280"/>
      <c r="E24" s="280"/>
      <c r="F24" s="280" t="s">
        <v>412</v>
      </c>
      <c r="G24" s="296">
        <f t="shared" si="0"/>
        <v>0</v>
      </c>
      <c r="H24" s="296"/>
      <c r="I24" s="296">
        <f t="shared" si="0"/>
        <v>0</v>
      </c>
      <c r="J24" s="296">
        <f t="shared" si="0"/>
        <v>0</v>
      </c>
      <c r="K24" s="296">
        <f t="shared" si="0"/>
        <v>6274522</v>
      </c>
      <c r="L24" s="280"/>
      <c r="M24" s="284"/>
      <c r="N24" s="285"/>
    </row>
    <row r="25" spans="1:14">
      <c r="A25" s="279"/>
      <c r="B25" s="295" t="s">
        <v>432</v>
      </c>
      <c r="C25" s="280"/>
      <c r="D25" s="280"/>
      <c r="E25" s="280"/>
      <c r="F25" s="280" t="s">
        <v>433</v>
      </c>
      <c r="G25" s="296">
        <f t="shared" si="0"/>
        <v>0</v>
      </c>
      <c r="H25" s="296">
        <f t="shared" si="0"/>
        <v>0</v>
      </c>
      <c r="I25" s="296">
        <f t="shared" si="0"/>
        <v>0</v>
      </c>
      <c r="J25" s="296">
        <f t="shared" si="0"/>
        <v>0</v>
      </c>
      <c r="K25" s="296">
        <f t="shared" si="0"/>
        <v>0</v>
      </c>
      <c r="L25" s="280"/>
      <c r="M25" s="284"/>
      <c r="N25" s="285"/>
    </row>
    <row r="26" spans="1:14" ht="13.5" thickBot="1">
      <c r="A26" s="279"/>
      <c r="B26" s="295" t="s">
        <v>464</v>
      </c>
      <c r="C26" s="299"/>
      <c r="D26" s="299"/>
      <c r="E26" s="299"/>
      <c r="F26" s="300" t="s">
        <v>75</v>
      </c>
      <c r="G26" s="301">
        <f>SUM(G21:G25)</f>
        <v>231601</v>
      </c>
      <c r="H26" s="301">
        <f>SUM(H22:H25)</f>
        <v>6569215</v>
      </c>
      <c r="I26" s="301">
        <f>SUM(I21:I25)</f>
        <v>0</v>
      </c>
      <c r="J26" s="301">
        <f>SUM(J21:J25)</f>
        <v>0</v>
      </c>
      <c r="K26" s="301">
        <f>SUM(K21:K25)</f>
        <v>6506123</v>
      </c>
      <c r="L26" s="299"/>
      <c r="M26" s="302"/>
      <c r="N26" s="303"/>
    </row>
    <row r="27" spans="1:14">
      <c r="A27" s="30"/>
      <c r="B27" s="30"/>
    </row>
    <row r="28" spans="1:14" ht="15">
      <c r="A28" s="434" t="s">
        <v>452</v>
      </c>
      <c r="B28" s="30"/>
    </row>
    <row r="29" spans="1:14" ht="15">
      <c r="A29" s="434"/>
      <c r="B29" s="30"/>
    </row>
    <row r="30" spans="1:14" s="122" customFormat="1" ht="15.75">
      <c r="A30" s="431" t="s">
        <v>434</v>
      </c>
      <c r="B30" s="431"/>
      <c r="H30" s="304">
        <f>H19+H20</f>
        <v>0</v>
      </c>
    </row>
    <row r="31" spans="1:14">
      <c r="A31" s="30"/>
      <c r="B31" s="30"/>
    </row>
    <row r="32" spans="1:14" s="305" customFormat="1" ht="15">
      <c r="A32" s="432" t="s">
        <v>453</v>
      </c>
      <c r="B32" s="432"/>
      <c r="H32" s="306">
        <v>0</v>
      </c>
    </row>
    <row r="33" spans="1:8">
      <c r="A33" s="30"/>
      <c r="B33" s="30"/>
    </row>
    <row r="34" spans="1:8">
      <c r="A34" s="30"/>
      <c r="B34" s="30"/>
    </row>
    <row r="35" spans="1:8" ht="15">
      <c r="A35" s="429" t="s">
        <v>542</v>
      </c>
      <c r="B35" s="430"/>
    </row>
    <row r="36" spans="1:8" s="18" customFormat="1" ht="15">
      <c r="A36" s="436" t="s">
        <v>543</v>
      </c>
      <c r="B36" s="435" t="s">
        <v>544</v>
      </c>
      <c r="H36" s="68">
        <v>-124695</v>
      </c>
    </row>
    <row r="37" spans="1:8" s="18" customFormat="1" ht="15">
      <c r="A37" s="436" t="s">
        <v>545</v>
      </c>
      <c r="B37" s="435" t="s">
        <v>546</v>
      </c>
      <c r="H37" s="68">
        <v>-95805</v>
      </c>
    </row>
    <row r="38" spans="1:8" s="18" customFormat="1" ht="15">
      <c r="A38" s="436" t="s">
        <v>547</v>
      </c>
      <c r="B38" s="435" t="s">
        <v>548</v>
      </c>
      <c r="H38" s="68">
        <v>-477220</v>
      </c>
    </row>
    <row r="39" spans="1:8" s="18" customFormat="1" ht="15">
      <c r="A39" s="436" t="s">
        <v>549</v>
      </c>
      <c r="B39" s="435" t="s">
        <v>550</v>
      </c>
      <c r="H39" s="68">
        <v>745403</v>
      </c>
    </row>
    <row r="40" spans="1:8" s="307" customFormat="1" ht="15">
      <c r="A40" s="433" t="s">
        <v>435</v>
      </c>
      <c r="B40" s="433"/>
      <c r="H40" s="437">
        <f>SUM(H36:H39)</f>
        <v>47683</v>
      </c>
    </row>
    <row r="41" spans="1:8">
      <c r="A41" s="30"/>
      <c r="B41" s="30"/>
    </row>
    <row r="42" spans="1:8">
      <c r="A42" s="30"/>
      <c r="B42" s="30"/>
    </row>
    <row r="43" spans="1:8" ht="18.75" thickBot="1">
      <c r="B43" s="441" t="s">
        <v>566</v>
      </c>
      <c r="C43" s="442"/>
      <c r="D43" s="442"/>
      <c r="E43" s="442"/>
      <c r="F43" s="442"/>
      <c r="G43" s="442"/>
      <c r="H43" s="443">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4" t="s">
        <v>385</v>
      </c>
    </row>
    <row r="3" spans="1:79">
      <c r="A3" s="24" t="s">
        <v>379</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382</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383</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384</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386</v>
      </c>
      <c r="H9" s="252">
        <f>865.389</f>
        <v>865.38900000000001</v>
      </c>
      <c r="I9" s="252">
        <f>4488.545-865</f>
        <v>3623.5450000000001</v>
      </c>
    </row>
    <row r="10" spans="1:79">
      <c r="B10" t="s">
        <v>44</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380</v>
      </c>
    </row>
    <row r="14" spans="1:79">
      <c r="B14" t="s">
        <v>382</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383</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384</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386</v>
      </c>
      <c r="G18" s="252">
        <v>0</v>
      </c>
      <c r="H18" s="252">
        <f>884.52-175.093</f>
        <v>709.42700000000002</v>
      </c>
      <c r="I18" s="252">
        <f>2628.807-709</f>
        <v>1919.8069999999998</v>
      </c>
    </row>
    <row r="19" spans="1:79">
      <c r="B19" t="s">
        <v>44</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381</v>
      </c>
    </row>
    <row r="25" spans="1:79">
      <c r="B25" t="s">
        <v>382</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383</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384</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386</v>
      </c>
      <c r="G29" s="252">
        <v>0</v>
      </c>
      <c r="H29" s="252">
        <f>1018.28-214.458</f>
        <v>803.822</v>
      </c>
      <c r="I29" s="252">
        <f>2301.095-804</f>
        <v>1497.0949999999998</v>
      </c>
    </row>
    <row r="30" spans="1:79">
      <c r="B30" t="s">
        <v>44</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387</v>
      </c>
    </row>
    <row r="37" spans="1:79">
      <c r="B37" t="s">
        <v>382</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383</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384</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386</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44</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5" thickBot="1">
      <c r="A45" s="21"/>
      <c r="G45" s="4" t="s">
        <v>495</v>
      </c>
      <c r="I45" s="367">
        <v>19947.871999999999</v>
      </c>
      <c r="J45" s="20">
        <f>I45+10717.074</f>
        <v>30664.946</v>
      </c>
    </row>
    <row r="46" spans="1:79" ht="16.5" thickBot="1">
      <c r="D46" t="s">
        <v>469</v>
      </c>
      <c r="I46" s="35">
        <f>I45-I42</f>
        <v>10528.787</v>
      </c>
      <c r="J46" s="368">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10"/>
  <sheetViews>
    <sheetView tabSelected="1" zoomScale="90" zoomScaleNormal="90" zoomScaleSheetLayoutView="100" workbookViewId="0">
      <selection activeCell="A4" sqref="A4"/>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29" ht="15.75">
      <c r="A1" s="174" t="s">
        <v>127</v>
      </c>
    </row>
    <row r="2" spans="1:29" ht="15.75">
      <c r="A2" s="174" t="s">
        <v>170</v>
      </c>
      <c r="G2" s="176"/>
      <c r="J2" s="177" t="s">
        <v>124</v>
      </c>
      <c r="O2" s="176">
        <f ca="1">NOW()</f>
        <v>36613.377524768519</v>
      </c>
    </row>
    <row r="3" spans="1:29" ht="15.75">
      <c r="A3" s="178" t="s">
        <v>189</v>
      </c>
      <c r="G3" s="176"/>
      <c r="J3" s="177"/>
      <c r="O3" s="176"/>
    </row>
    <row r="4" spans="1:29" ht="15.75">
      <c r="A4" s="174" t="s">
        <v>185</v>
      </c>
      <c r="J4" s="177" t="s">
        <v>125</v>
      </c>
      <c r="O4" s="98" t="s">
        <v>587</v>
      </c>
    </row>
    <row r="5" spans="1:29" ht="15.75">
      <c r="A5" s="178" t="s">
        <v>586</v>
      </c>
      <c r="I5" s="26"/>
      <c r="O5" s="179"/>
    </row>
    <row r="6" spans="1:29" ht="16.5" thickBot="1">
      <c r="A6" s="174"/>
      <c r="I6" s="26"/>
      <c r="O6" s="179"/>
    </row>
    <row r="7" spans="1:29" ht="16.5" thickBot="1">
      <c r="A7" s="174"/>
      <c r="G7" s="165" t="s">
        <v>122</v>
      </c>
      <c r="H7" s="166"/>
      <c r="I7" s="166"/>
      <c r="J7" s="166"/>
      <c r="K7" s="167"/>
      <c r="L7" s="174"/>
      <c r="M7" s="174"/>
    </row>
    <row r="8" spans="1:29">
      <c r="A8" s="226" t="s">
        <v>272</v>
      </c>
      <c r="C8" s="180"/>
      <c r="E8" s="27" t="s">
        <v>43</v>
      </c>
      <c r="G8" s="86" t="s">
        <v>44</v>
      </c>
      <c r="H8" s="181"/>
      <c r="I8" s="87" t="s">
        <v>51</v>
      </c>
      <c r="J8" s="181"/>
      <c r="K8" s="88" t="s">
        <v>128</v>
      </c>
      <c r="M8" s="27" t="s">
        <v>141</v>
      </c>
      <c r="O8" s="27" t="s">
        <v>45</v>
      </c>
    </row>
    <row r="9" spans="1:29">
      <c r="A9" s="29" t="s">
        <v>284</v>
      </c>
      <c r="C9" s="29" t="s">
        <v>47</v>
      </c>
      <c r="E9" s="151" t="s">
        <v>286</v>
      </c>
      <c r="G9" s="89" t="str">
        <f>+O4</f>
        <v xml:space="preserve"> As of 3/24/00</v>
      </c>
      <c r="H9" s="182"/>
      <c r="I9" s="53" t="str">
        <f>+O4</f>
        <v xml:space="preserve"> As of 3/24/00</v>
      </c>
      <c r="J9" s="182"/>
      <c r="K9" s="90" t="str">
        <f>+O4</f>
        <v xml:space="preserve"> As of 3/24/00</v>
      </c>
      <c r="M9" s="28" t="s">
        <v>143</v>
      </c>
      <c r="O9" s="28" t="s">
        <v>46</v>
      </c>
    </row>
    <row r="10" spans="1:29">
      <c r="A10" s="180"/>
      <c r="C10" s="27"/>
      <c r="E10" s="180"/>
      <c r="G10" s="183"/>
      <c r="H10" s="182"/>
      <c r="I10" s="180"/>
      <c r="J10" s="182"/>
      <c r="K10" s="184"/>
      <c r="M10" s="180"/>
      <c r="O10" s="180"/>
    </row>
    <row r="11" spans="1:29">
      <c r="A11" s="185" t="s">
        <v>254</v>
      </c>
      <c r="C11" s="186">
        <v>608</v>
      </c>
      <c r="E11" s="188">
        <f>Wilton!R213/1000</f>
        <v>242742.22575000001</v>
      </c>
      <c r="F11" s="187"/>
      <c r="G11" s="189">
        <f>Wilton!BL213/1000</f>
        <v>198790.12885325387</v>
      </c>
      <c r="H11" s="182"/>
      <c r="I11" s="188">
        <f>K11-G11</f>
        <v>56299.981001071486</v>
      </c>
      <c r="J11" s="182"/>
      <c r="K11" s="190">
        <f>Wilton!BR213/1000</f>
        <v>255090.10985432536</v>
      </c>
      <c r="M11" s="188">
        <f>+E11-K11</f>
        <v>-12347.884104325349</v>
      </c>
      <c r="O11" s="191">
        <f>+G11/K11</f>
        <v>0.7792937521834038</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124308.80166618437</v>
      </c>
      <c r="H13" s="182"/>
      <c r="I13" s="188">
        <f>K13-G13</f>
        <v>51709.327682823132</v>
      </c>
      <c r="J13" s="182"/>
      <c r="K13" s="190">
        <f>Gleason!BT255/1000</f>
        <v>176018.1293490075</v>
      </c>
      <c r="M13" s="188">
        <f>+E13-K13</f>
        <v>-2376.4193490075122</v>
      </c>
      <c r="O13" s="191">
        <f>+G13/K13</f>
        <v>0.7062272626458026</v>
      </c>
    </row>
    <row r="14" spans="1:29">
      <c r="A14" s="192"/>
      <c r="C14" s="186"/>
      <c r="E14" s="193"/>
      <c r="F14" s="187"/>
      <c r="G14" s="194"/>
      <c r="H14" s="182"/>
      <c r="I14" s="193"/>
      <c r="J14" s="182"/>
      <c r="K14" s="195"/>
      <c r="M14" s="193"/>
      <c r="O14" s="196"/>
    </row>
    <row r="15" spans="1:29">
      <c r="A15" s="185" t="s">
        <v>194</v>
      </c>
      <c r="C15" s="186">
        <v>470</v>
      </c>
      <c r="E15" s="188">
        <f>Wheatland!R212/1000</f>
        <v>161517.94809999998</v>
      </c>
      <c r="F15" s="187"/>
      <c r="G15" s="189">
        <f>Wheatland!BL212/1000</f>
        <v>115885.96909701866</v>
      </c>
      <c r="H15" s="182"/>
      <c r="I15" s="188">
        <f>K15-G15</f>
        <v>46812.054731829427</v>
      </c>
      <c r="J15" s="182"/>
      <c r="K15" s="190">
        <f>Wheatland!BR212/1000</f>
        <v>162698.02382884809</v>
      </c>
      <c r="M15" s="188">
        <f>+E15-K15</f>
        <v>-1180.0757288481109</v>
      </c>
      <c r="O15" s="191">
        <f>+G15/K15</f>
        <v>0.71227643931880902</v>
      </c>
      <c r="AC15" t="s">
        <v>154</v>
      </c>
    </row>
    <row r="16" spans="1:29" ht="8.25" customHeight="1">
      <c r="A16" s="192"/>
      <c r="B16" s="182"/>
      <c r="C16" s="197"/>
      <c r="D16" s="182"/>
      <c r="E16" s="197"/>
      <c r="F16" s="182"/>
      <c r="G16" s="198"/>
      <c r="H16" s="182"/>
      <c r="I16" s="197"/>
      <c r="J16" s="182"/>
      <c r="K16" s="199"/>
      <c r="L16" s="182"/>
      <c r="M16" s="197"/>
      <c r="N16" s="182"/>
      <c r="O16" s="192"/>
    </row>
    <row r="17" spans="1:29">
      <c r="A17" s="200" t="s">
        <v>267</v>
      </c>
      <c r="B17" s="201"/>
      <c r="C17" s="202">
        <f>SUM(C11:C15)</f>
        <v>1587</v>
      </c>
      <c r="D17" s="182"/>
      <c r="E17" s="203">
        <f>SUM(E11:E15)</f>
        <v>577901.88384999998</v>
      </c>
      <c r="F17" s="204"/>
      <c r="G17" s="205">
        <f>SUM(G11:G15)</f>
        <v>438984.89961645688</v>
      </c>
      <c r="H17" s="204"/>
      <c r="I17" s="203">
        <f>SUM(I11:I15)</f>
        <v>154821.36341572404</v>
      </c>
      <c r="J17" s="182"/>
      <c r="K17" s="206">
        <f>SUM(K11:K15)</f>
        <v>593806.26303218096</v>
      </c>
      <c r="L17" s="182"/>
      <c r="M17" s="203">
        <f>SUM(M10:M15)</f>
        <v>-15904.379182180972</v>
      </c>
      <c r="N17" s="182"/>
      <c r="O17" s="207">
        <f>+G17/K17</f>
        <v>0.73927293621803103</v>
      </c>
    </row>
    <row r="18" spans="1:29" ht="13.5" thickBot="1">
      <c r="A18" s="208" t="s">
        <v>50</v>
      </c>
      <c r="B18" s="201"/>
      <c r="C18" s="208"/>
      <c r="D18" s="182"/>
      <c r="E18" s="209">
        <f>E17/C17</f>
        <v>364.14737482671705</v>
      </c>
      <c r="F18" s="204"/>
      <c r="G18" s="210"/>
      <c r="H18" s="211"/>
      <c r="I18" s="212"/>
      <c r="J18" s="213"/>
      <c r="K18" s="214">
        <f>+K17/C17</f>
        <v>374.16903782746124</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5" hidden="1" thickBot="1">
      <c r="A20" s="174"/>
      <c r="C20"/>
      <c r="G20" s="165" t="s">
        <v>122</v>
      </c>
      <c r="H20" s="166"/>
      <c r="I20" s="166"/>
      <c r="J20" s="166"/>
      <c r="K20" s="167"/>
      <c r="L20" s="174"/>
      <c r="M20" s="174"/>
      <c r="O20"/>
    </row>
    <row r="21" spans="1:29" hidden="1">
      <c r="A21" s="226"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3/24/00</v>
      </c>
      <c r="H22" s="182"/>
      <c r="I22" s="53" t="str">
        <f>I9</f>
        <v xml:space="preserve"> As of 3/24/00</v>
      </c>
      <c r="J22" s="182"/>
      <c r="K22" s="90" t="str">
        <f>K9</f>
        <v xml:space="preserve"> As of 3/24/00</v>
      </c>
      <c r="M22" s="28" t="s">
        <v>143</v>
      </c>
      <c r="O22"/>
    </row>
    <row r="23" spans="1:29" hidden="1">
      <c r="A23" s="180"/>
      <c r="C23"/>
      <c r="E23" s="180"/>
      <c r="G23" s="183"/>
      <c r="H23" s="182"/>
      <c r="I23" s="180"/>
      <c r="J23" s="182"/>
      <c r="K23" s="184"/>
      <c r="M23" s="180"/>
      <c r="O23"/>
    </row>
    <row r="24" spans="1:29" hidden="1">
      <c r="A24" s="185" t="s">
        <v>254</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194</v>
      </c>
      <c r="C28"/>
      <c r="E28" s="188">
        <v>1500</v>
      </c>
      <c r="F28" s="187"/>
      <c r="G28" s="189">
        <v>0</v>
      </c>
      <c r="H28" s="182"/>
      <c r="I28" s="188">
        <f>K28-G28</f>
        <v>1500</v>
      </c>
      <c r="J28" s="182"/>
      <c r="K28" s="190">
        <v>1500</v>
      </c>
      <c r="M28" s="188">
        <f>+E28-K28</f>
        <v>0</v>
      </c>
      <c r="O28"/>
      <c r="AC28" t="s">
        <v>154</v>
      </c>
    </row>
    <row r="29" spans="1:29" ht="8.25" hidden="1" customHeight="1">
      <c r="A29" s="192"/>
      <c r="B29" s="182"/>
      <c r="C29"/>
      <c r="D29" s="182"/>
      <c r="E29" s="197"/>
      <c r="F29" s="182"/>
      <c r="G29" s="198"/>
      <c r="H29" s="182"/>
      <c r="I29" s="197"/>
      <c r="J29" s="182"/>
      <c r="K29" s="199"/>
      <c r="L29" s="182"/>
      <c r="M29" s="197"/>
      <c r="N29" s="182"/>
      <c r="O29"/>
    </row>
    <row r="30" spans="1:29" hidden="1">
      <c r="A30" s="225" t="s">
        <v>267</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5" thickBot="1">
      <c r="A32" s="216"/>
      <c r="B32" s="216"/>
      <c r="C32" s="216"/>
      <c r="D32" s="217"/>
      <c r="E32" s="204"/>
      <c r="F32" s="204"/>
      <c r="G32" s="204"/>
      <c r="H32" s="204"/>
      <c r="I32" s="204"/>
      <c r="J32" s="217"/>
      <c r="K32" s="204"/>
      <c r="L32" s="217"/>
      <c r="M32" s="204"/>
      <c r="N32" s="217"/>
      <c r="O32" s="218"/>
    </row>
    <row r="33" spans="1:29" ht="16.5" thickBot="1">
      <c r="A33" s="135" t="s">
        <v>200</v>
      </c>
      <c r="G33" s="165" t="s">
        <v>122</v>
      </c>
      <c r="H33" s="166"/>
      <c r="I33" s="166"/>
      <c r="J33" s="166"/>
      <c r="K33" s="167"/>
      <c r="L33" s="174"/>
      <c r="M33" s="174"/>
    </row>
    <row r="34" spans="1:29">
      <c r="A34" s="192"/>
      <c r="E34" s="27" t="s">
        <v>43</v>
      </c>
      <c r="G34" s="86" t="s">
        <v>44</v>
      </c>
      <c r="H34" s="181"/>
      <c r="I34" s="87" t="s">
        <v>51</v>
      </c>
      <c r="J34" s="181"/>
      <c r="K34" s="88" t="s">
        <v>128</v>
      </c>
    </row>
    <row r="35" spans="1:29">
      <c r="A35" s="29" t="s">
        <v>48</v>
      </c>
      <c r="E35" s="151">
        <v>36433</v>
      </c>
      <c r="G35" s="89" t="str">
        <f>O4</f>
        <v xml:space="preserve"> As of 3/24/00</v>
      </c>
      <c r="H35" s="182"/>
      <c r="I35" s="53" t="str">
        <f>O4</f>
        <v xml:space="preserve"> As of 3/24/00</v>
      </c>
      <c r="J35" s="182"/>
      <c r="K35" s="90" t="str">
        <f>O4</f>
        <v xml:space="preserve"> As of 3/24/00</v>
      </c>
    </row>
    <row r="36" spans="1:29">
      <c r="A36" s="180"/>
      <c r="E36" s="180"/>
      <c r="G36" s="183"/>
      <c r="H36" s="182"/>
      <c r="I36" s="180"/>
      <c r="J36" s="182"/>
      <c r="K36" s="184"/>
    </row>
    <row r="37" spans="1:29">
      <c r="A37" s="185" t="s">
        <v>196</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294</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199</v>
      </c>
      <c r="E41" s="188"/>
      <c r="F41" s="187"/>
      <c r="G41" s="189">
        <f>Wheatland!BL230/1000</f>
        <v>15.1</v>
      </c>
      <c r="H41" s="182"/>
      <c r="I41" s="188"/>
      <c r="J41" s="182"/>
      <c r="K41" s="190">
        <f>+I41+G41</f>
        <v>15.1</v>
      </c>
      <c r="AC41" t="s">
        <v>154</v>
      </c>
    </row>
    <row r="42" spans="1:29" ht="8.25" customHeight="1">
      <c r="A42" s="192"/>
      <c r="B42" s="182"/>
      <c r="D42" s="182"/>
      <c r="E42" s="197"/>
      <c r="F42" s="182"/>
      <c r="G42" s="198"/>
      <c r="H42" s="182"/>
      <c r="I42" s="197"/>
      <c r="J42" s="182"/>
      <c r="K42" s="199"/>
      <c r="L42" s="182"/>
    </row>
    <row r="43" spans="1:29" ht="13.5" thickBot="1">
      <c r="A43" s="208" t="s">
        <v>49</v>
      </c>
      <c r="B43" s="201"/>
      <c r="D43" s="182"/>
      <c r="E43" s="209">
        <f>SUM(E37:E41)</f>
        <v>1513</v>
      </c>
      <c r="F43" s="204"/>
      <c r="G43" s="210">
        <f>SUM(G37:G41)</f>
        <v>1715.7097133333327</v>
      </c>
      <c r="H43" s="211"/>
      <c r="I43" s="212">
        <f>SUM(I37:I41)</f>
        <v>111.91455666666729</v>
      </c>
      <c r="J43" s="213"/>
      <c r="K43" s="214">
        <f>SUM(K37:K41)</f>
        <v>1827.6242699999998</v>
      </c>
      <c r="L43" s="182"/>
    </row>
    <row r="44" spans="1:29" ht="13.5" thickBot="1"/>
    <row r="45" spans="1:29" ht="13.5" thickBot="1">
      <c r="A45" s="458" t="s">
        <v>205</v>
      </c>
      <c r="B45" s="459"/>
      <c r="C45" s="459"/>
      <c r="D45" s="459"/>
      <c r="E45" s="459"/>
      <c r="F45" s="459"/>
      <c r="G45" s="459"/>
      <c r="H45" s="459"/>
      <c r="I45" s="459"/>
      <c r="J45" s="459"/>
      <c r="K45" s="459"/>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5" thickBot="1">
      <c r="A50"/>
      <c r="B50"/>
      <c r="C50"/>
      <c r="D50"/>
      <c r="E50"/>
      <c r="F50"/>
      <c r="G50"/>
      <c r="H50"/>
      <c r="I50"/>
      <c r="J50"/>
      <c r="K50"/>
      <c r="L50"/>
      <c r="M50"/>
      <c r="N50"/>
      <c r="O50"/>
    </row>
    <row r="51" spans="1:15" s="233" customFormat="1" hidden="1">
      <c r="O51" s="232"/>
    </row>
    <row r="52" spans="1:15" hidden="1"/>
    <row r="53" spans="1:15" ht="13.5" hidden="1" thickBot="1"/>
    <row r="54" spans="1:15" ht="13.5" thickBot="1">
      <c r="A54" s="458" t="s">
        <v>142</v>
      </c>
      <c r="B54" s="459"/>
      <c r="C54" s="459"/>
      <c r="D54" s="459"/>
      <c r="E54" s="459"/>
      <c r="F54" s="459"/>
      <c r="G54" s="459"/>
      <c r="H54" s="459"/>
      <c r="I54" s="459"/>
      <c r="J54" s="459"/>
      <c r="K54" s="459"/>
      <c r="L54" s="163"/>
      <c r="M54" s="163"/>
      <c r="N54" s="163"/>
      <c r="O54" s="164"/>
    </row>
    <row r="56" spans="1:15">
      <c r="J56" s="219"/>
    </row>
    <row r="57" spans="1:15">
      <c r="A57" s="227" t="s">
        <v>254</v>
      </c>
      <c r="C57" s="228">
        <f>Wilton!BT196/1000</f>
        <v>-207.06</v>
      </c>
      <c r="E57" s="219" t="s">
        <v>279</v>
      </c>
      <c r="F57" s="219"/>
      <c r="G57" s="219"/>
      <c r="H57" s="219"/>
      <c r="I57" s="219"/>
      <c r="J57" s="219"/>
    </row>
    <row r="58" spans="1:15">
      <c r="A58" s="182"/>
      <c r="C58" s="228">
        <f>Wilton!BT124/1000</f>
        <v>-10411.332</v>
      </c>
      <c r="E58" s="175" t="s">
        <v>466</v>
      </c>
    </row>
    <row r="59" spans="1:15">
      <c r="A59" s="182"/>
      <c r="C59" s="228">
        <f>Wilton!BT12/1000</f>
        <v>-1832</v>
      </c>
      <c r="E59" s="175" t="s">
        <v>373</v>
      </c>
    </row>
    <row r="60" spans="1:15">
      <c r="A60" s="182"/>
      <c r="C60" s="228">
        <f>Wilton!BT15/1000</f>
        <v>-37.448</v>
      </c>
      <c r="E60" s="175" t="s">
        <v>376</v>
      </c>
    </row>
    <row r="61" spans="1:15">
      <c r="A61" s="182"/>
      <c r="C61" s="228">
        <f>Wilton!BT178/1000</f>
        <v>-3000</v>
      </c>
      <c r="E61" s="175" t="s">
        <v>374</v>
      </c>
    </row>
    <row r="62" spans="1:15">
      <c r="A62" s="182"/>
      <c r="C62" s="228">
        <f>(Wilton!BT167+Wilton!BT134+Wilton!BT143)/1000</f>
        <v>-198.09028000000026</v>
      </c>
      <c r="E62" s="175" t="s">
        <v>494</v>
      </c>
    </row>
    <row r="63" spans="1:15">
      <c r="A63" s="182"/>
      <c r="C63" s="228">
        <f>Wilton!BT176/1000</f>
        <v>-200</v>
      </c>
      <c r="E63" s="175" t="s">
        <v>565</v>
      </c>
    </row>
    <row r="64" spans="1:15">
      <c r="A64" s="182"/>
      <c r="C64" s="228">
        <f>Wilton!BT206/1000</f>
        <v>539.62618567465063</v>
      </c>
      <c r="E64" s="175" t="s">
        <v>564</v>
      </c>
    </row>
    <row r="65" spans="1:12">
      <c r="A65" s="182"/>
      <c r="C65" s="228">
        <f>(Wilton!BT197-Wilton!BT196-Wilton!BT195)/1000</f>
        <v>-413.32643000000007</v>
      </c>
      <c r="E65" s="175" t="s">
        <v>579</v>
      </c>
    </row>
    <row r="66" spans="1:12">
      <c r="A66" s="182"/>
      <c r="C66" s="228">
        <f>-Wilton!BR195/1000</f>
        <v>-191.01289000000003</v>
      </c>
      <c r="E66" s="175" t="s">
        <v>491</v>
      </c>
    </row>
    <row r="67" spans="1:12">
      <c r="A67" s="182"/>
      <c r="C67" s="228">
        <f>Wilton!BT204/1000</f>
        <v>-301.67212999999998</v>
      </c>
      <c r="E67" s="175" t="s">
        <v>500</v>
      </c>
    </row>
    <row r="68" spans="1:12">
      <c r="A68" s="182"/>
      <c r="C68" s="315">
        <v>4408.0720000000001</v>
      </c>
      <c r="E68" s="182" t="s">
        <v>375</v>
      </c>
      <c r="F68" s="182"/>
      <c r="G68" s="182"/>
      <c r="H68" s="182"/>
      <c r="I68" s="182"/>
    </row>
    <row r="69" spans="1:12">
      <c r="A69" s="182"/>
      <c r="C69" s="315">
        <f>Wilton!BT186/1000</f>
        <v>-116.24850000000001</v>
      </c>
      <c r="E69" s="182" t="s">
        <v>488</v>
      </c>
      <c r="F69" s="182"/>
      <c r="G69" s="182"/>
      <c r="H69" s="182"/>
      <c r="I69" s="182"/>
    </row>
    <row r="70" spans="1:12">
      <c r="A70" s="182"/>
      <c r="C70" s="247">
        <f>Wilton!BT156/1000</f>
        <v>-387.39181000000008</v>
      </c>
      <c r="D70" s="248"/>
      <c r="E70" s="248" t="s">
        <v>493</v>
      </c>
      <c r="F70" s="248"/>
      <c r="G70" s="248"/>
      <c r="H70" s="248"/>
      <c r="I70" s="248"/>
      <c r="J70" s="248"/>
      <c r="K70" s="248"/>
    </row>
    <row r="71" spans="1:12">
      <c r="A71" s="182"/>
      <c r="C71" s="455">
        <f>SUM(C57:C70)</f>
        <v>-12347.883854325348</v>
      </c>
      <c r="D71" s="182"/>
      <c r="E71" s="427" t="s">
        <v>468</v>
      </c>
      <c r="F71" s="182"/>
      <c r="G71" s="182"/>
      <c r="H71" s="182"/>
      <c r="I71" s="182"/>
      <c r="J71" s="182"/>
      <c r="K71" s="182"/>
      <c r="L71" s="182"/>
    </row>
    <row r="72" spans="1:12">
      <c r="A72" s="182"/>
      <c r="C72" s="456"/>
    </row>
    <row r="73" spans="1:12">
      <c r="A73" s="182"/>
      <c r="C73" s="456">
        <f>-'Wilton - Nepco Scope Changes'!M15/1000</f>
        <v>-2169.1590000000001</v>
      </c>
      <c r="E73" s="175" t="s">
        <v>580</v>
      </c>
    </row>
    <row r="74" spans="1:12" ht="13.5" thickBot="1">
      <c r="A74" s="182"/>
      <c r="C74" s="322">
        <f>SUM(C71:C73)</f>
        <v>-14517.042854325347</v>
      </c>
      <c r="D74" s="316"/>
      <c r="E74" s="317" t="s">
        <v>468</v>
      </c>
      <c r="F74" s="316"/>
      <c r="G74" s="316"/>
      <c r="H74" s="316"/>
      <c r="I74" s="316"/>
      <c r="J74" s="316"/>
      <c r="K74" s="316"/>
    </row>
    <row r="75" spans="1:12" ht="13.5" thickTop="1">
      <c r="A75" s="182"/>
      <c r="C75" s="228"/>
    </row>
    <row r="76" spans="1:12">
      <c r="A76" s="227" t="s">
        <v>295</v>
      </c>
      <c r="C76" s="228">
        <f>Gleason!BV238/1000</f>
        <v>-32.203279999999999</v>
      </c>
      <c r="E76" s="219" t="s">
        <v>279</v>
      </c>
      <c r="F76" s="219"/>
      <c r="G76" s="219"/>
      <c r="H76" s="219"/>
      <c r="I76" s="219"/>
    </row>
    <row r="77" spans="1:12">
      <c r="A77" s="227"/>
      <c r="C77" s="315">
        <f>Gleason!BV133/1000</f>
        <v>-3860.0135599999985</v>
      </c>
      <c r="D77" s="182"/>
      <c r="E77" s="175" t="s">
        <v>466</v>
      </c>
      <c r="F77" s="217"/>
      <c r="G77" s="217"/>
      <c r="H77" s="217"/>
      <c r="I77" s="217"/>
      <c r="J77" s="182"/>
      <c r="K77" s="182"/>
    </row>
    <row r="78" spans="1:12">
      <c r="A78" s="227"/>
      <c r="C78" s="315">
        <f>Gleason!BV16/1000</f>
        <v>-1981.0440000000001</v>
      </c>
      <c r="E78" s="175" t="s">
        <v>373</v>
      </c>
      <c r="F78" s="217"/>
      <c r="G78" s="217"/>
      <c r="H78" s="217"/>
      <c r="I78" s="217"/>
      <c r="J78" s="182"/>
      <c r="K78" s="182"/>
    </row>
    <row r="79" spans="1:12">
      <c r="A79" s="227"/>
      <c r="C79" s="315">
        <f>Gleason!BV33/1000</f>
        <v>-138.80000000000001</v>
      </c>
      <c r="E79" s="175" t="s">
        <v>533</v>
      </c>
      <c r="F79" s="217"/>
      <c r="G79" s="217"/>
      <c r="H79" s="217"/>
      <c r="I79" s="217"/>
      <c r="J79" s="182"/>
      <c r="K79" s="182"/>
    </row>
    <row r="80" spans="1:12">
      <c r="A80" s="227"/>
      <c r="C80" s="315">
        <f>Gleason!BV218/1000</f>
        <v>-1690.117</v>
      </c>
      <c r="E80" s="175" t="s">
        <v>496</v>
      </c>
      <c r="F80" s="217"/>
      <c r="G80" s="217"/>
      <c r="H80" s="217"/>
      <c r="I80" s="217"/>
      <c r="J80" s="182"/>
      <c r="K80" s="182"/>
    </row>
    <row r="81" spans="1:15">
      <c r="A81" s="227"/>
      <c r="C81" s="315">
        <f>Gleason!BV237/1000</f>
        <v>-191.01290000000003</v>
      </c>
      <c r="E81" s="175" t="s">
        <v>491</v>
      </c>
      <c r="F81" s="217"/>
      <c r="G81" s="217"/>
      <c r="H81" s="217"/>
      <c r="I81" s="217"/>
      <c r="J81" s="182"/>
      <c r="K81" s="182"/>
    </row>
    <row r="82" spans="1:15">
      <c r="A82" s="227"/>
      <c r="C82" s="315">
        <f>Gleason!BV247/1000</f>
        <v>303.372990992479</v>
      </c>
      <c r="E82" s="175" t="s">
        <v>564</v>
      </c>
      <c r="F82" s="217"/>
      <c r="G82" s="217"/>
      <c r="H82" s="217"/>
      <c r="I82" s="217"/>
      <c r="J82" s="182"/>
      <c r="K82" s="182"/>
    </row>
    <row r="83" spans="1:15">
      <c r="A83" s="227"/>
      <c r="C83" s="315">
        <f>Gleason!BV245/1000</f>
        <v>-252.20846000000003</v>
      </c>
      <c r="E83" s="175" t="s">
        <v>501</v>
      </c>
      <c r="F83" s="217"/>
      <c r="G83" s="217"/>
      <c r="H83" s="217"/>
      <c r="I83" s="217"/>
      <c r="J83" s="182"/>
      <c r="K83" s="182"/>
    </row>
    <row r="84" spans="1:15">
      <c r="A84" s="227"/>
      <c r="C84" s="315">
        <f>Gleason!BV185/1000</f>
        <v>-39.51</v>
      </c>
      <c r="E84" s="175" t="s">
        <v>534</v>
      </c>
      <c r="F84" s="217"/>
      <c r="G84" s="217"/>
      <c r="H84" s="217"/>
      <c r="I84" s="217"/>
      <c r="J84" s="182"/>
      <c r="K84" s="182"/>
    </row>
    <row r="85" spans="1:15">
      <c r="A85" s="227"/>
      <c r="C85" s="315">
        <f>Gleason!BV195/1000</f>
        <v>-58.725019999999901</v>
      </c>
      <c r="E85" s="175" t="s">
        <v>535</v>
      </c>
      <c r="F85" s="217"/>
      <c r="G85" s="217"/>
      <c r="H85" s="217"/>
      <c r="I85" s="217"/>
      <c r="J85" s="182"/>
      <c r="K85" s="182"/>
    </row>
    <row r="86" spans="1:15">
      <c r="A86" s="227"/>
      <c r="C86" s="315">
        <f>Gleason!BV236/1000</f>
        <v>-108.72086999999999</v>
      </c>
      <c r="E86" s="175" t="s">
        <v>579</v>
      </c>
      <c r="F86" s="217"/>
      <c r="G86" s="217"/>
      <c r="H86" s="217"/>
      <c r="I86" s="217"/>
      <c r="J86" s="182"/>
      <c r="K86" s="182"/>
    </row>
    <row r="87" spans="1:15">
      <c r="A87" s="227"/>
      <c r="C87" s="315">
        <f>Gleason!BV251/1000</f>
        <v>5423.4979999999996</v>
      </c>
      <c r="D87" s="182"/>
      <c r="E87" s="182" t="s">
        <v>375</v>
      </c>
      <c r="F87" s="217"/>
      <c r="G87" s="217"/>
      <c r="H87" s="217"/>
      <c r="I87" s="217"/>
      <c r="J87" s="182"/>
      <c r="K87" s="182"/>
    </row>
    <row r="88" spans="1:15" s="30" customFormat="1">
      <c r="A88" s="227"/>
      <c r="B88" s="182"/>
      <c r="C88" s="247">
        <f>Gleason!BV141/1000</f>
        <v>250</v>
      </c>
      <c r="D88" s="248"/>
      <c r="E88" s="369" t="s">
        <v>497</v>
      </c>
      <c r="F88" s="314"/>
      <c r="G88" s="314"/>
      <c r="H88" s="314"/>
      <c r="I88" s="314"/>
      <c r="J88" s="248"/>
      <c r="K88" s="248"/>
      <c r="L88" s="182"/>
      <c r="M88" s="182"/>
      <c r="N88" s="182"/>
      <c r="O88" s="182"/>
    </row>
    <row r="89" spans="1:15">
      <c r="A89" s="227"/>
      <c r="C89" s="455">
        <f>SUM(C76:C88)</f>
        <v>-2375.4840990075209</v>
      </c>
      <c r="D89" s="182"/>
      <c r="E89" s="323" t="s">
        <v>465</v>
      </c>
      <c r="F89" s="217"/>
      <c r="G89" s="217"/>
      <c r="H89" s="217"/>
      <c r="I89" s="217"/>
      <c r="J89" s="182"/>
      <c r="K89" s="182"/>
    </row>
    <row r="90" spans="1:15">
      <c r="A90" s="182"/>
      <c r="C90" s="228"/>
      <c r="E90" s="219"/>
      <c r="F90" s="219"/>
      <c r="G90" s="219"/>
      <c r="H90" s="219"/>
      <c r="I90" s="219"/>
    </row>
    <row r="91" spans="1:15">
      <c r="A91" s="182"/>
      <c r="C91" s="228">
        <f>Gleason!BT129/1000</f>
        <v>-3387.761</v>
      </c>
      <c r="E91" s="175" t="s">
        <v>581</v>
      </c>
    </row>
    <row r="92" spans="1:15" ht="13.5" thickBot="1">
      <c r="A92" s="182"/>
      <c r="C92" s="321">
        <f>SUM(C89:C91)</f>
        <v>-5763.2450990075213</v>
      </c>
      <c r="D92" s="316"/>
      <c r="E92" s="317" t="s">
        <v>468</v>
      </c>
      <c r="F92" s="316"/>
      <c r="G92" s="318"/>
      <c r="H92" s="319"/>
      <c r="I92" s="320"/>
      <c r="J92" s="316"/>
      <c r="K92" s="316"/>
    </row>
    <row r="93" spans="1:15" ht="13.5" thickTop="1">
      <c r="A93" s="182"/>
      <c r="C93" s="228"/>
      <c r="E93" s="219"/>
      <c r="F93" s="219"/>
      <c r="G93" s="219"/>
      <c r="H93" s="219"/>
      <c r="I93" s="219"/>
    </row>
    <row r="94" spans="1:15">
      <c r="A94" s="227" t="s">
        <v>194</v>
      </c>
      <c r="C94" s="228">
        <f>Wheatland!BT195/1000</f>
        <v>-168.35607999999999</v>
      </c>
      <c r="E94" s="219" t="s">
        <v>279</v>
      </c>
    </row>
    <row r="95" spans="1:15">
      <c r="C95" s="228">
        <f>Wheatland!BT127/1000</f>
        <v>-2702.085</v>
      </c>
      <c r="E95" s="175" t="s">
        <v>467</v>
      </c>
    </row>
    <row r="96" spans="1:15">
      <c r="A96" s="231"/>
      <c r="B96" s="232"/>
      <c r="C96" s="228">
        <f>Wheatland!BT12/1000</f>
        <v>-297.80099999999999</v>
      </c>
      <c r="D96" s="232"/>
      <c r="E96" s="175" t="s">
        <v>373</v>
      </c>
      <c r="F96" s="232"/>
      <c r="G96" s="232"/>
      <c r="H96" s="232"/>
      <c r="I96" s="232"/>
      <c r="J96" s="232"/>
      <c r="K96" s="232"/>
      <c r="L96" s="232"/>
      <c r="M96" s="232"/>
      <c r="N96" s="232"/>
    </row>
    <row r="97" spans="1:15">
      <c r="C97" s="228">
        <f>Wheatland!BT32/1000</f>
        <v>-78.48</v>
      </c>
      <c r="E97" s="175" t="s">
        <v>376</v>
      </c>
    </row>
    <row r="98" spans="1:15">
      <c r="C98" s="228">
        <f>Wheatland!BT166/1000</f>
        <v>-1100.6275700000001</v>
      </c>
      <c r="E98" s="175" t="s">
        <v>454</v>
      </c>
    </row>
    <row r="99" spans="1:15">
      <c r="C99" s="228">
        <f>Wheatland!BT193/1000</f>
        <v>-5.9185999999999765</v>
      </c>
      <c r="E99" s="175" t="s">
        <v>579</v>
      </c>
    </row>
    <row r="100" spans="1:15">
      <c r="C100" s="228">
        <f>Wheatland!BT194/1000</f>
        <v>-195.04080999999999</v>
      </c>
      <c r="E100" s="175" t="s">
        <v>502</v>
      </c>
    </row>
    <row r="101" spans="1:15">
      <c r="C101" s="228">
        <f>Wheatland!BT203/1000</f>
        <v>-301.67212999999998</v>
      </c>
      <c r="E101" s="175" t="s">
        <v>501</v>
      </c>
    </row>
    <row r="102" spans="1:15">
      <c r="C102" s="228">
        <f>Wheatland!BT205/1000</f>
        <v>345.75346115188859</v>
      </c>
      <c r="E102" s="175" t="s">
        <v>540</v>
      </c>
    </row>
    <row r="103" spans="1:15">
      <c r="A103" s="231"/>
      <c r="B103" s="232"/>
      <c r="C103" s="247">
        <v>3324.1521000000002</v>
      </c>
      <c r="D103" s="428"/>
      <c r="E103" s="248" t="s">
        <v>375</v>
      </c>
      <c r="F103" s="428"/>
      <c r="G103" s="428"/>
      <c r="H103" s="428"/>
      <c r="I103" s="428"/>
      <c r="J103" s="427"/>
      <c r="K103" s="427"/>
      <c r="L103" s="232"/>
      <c r="M103" s="232"/>
    </row>
    <row r="104" spans="1:15" ht="14.25" customHeight="1">
      <c r="C104" s="457">
        <f>SUM(C94:C103)</f>
        <v>-1180.0756288481116</v>
      </c>
      <c r="D104" s="182"/>
      <c r="E104" s="427" t="s">
        <v>468</v>
      </c>
      <c r="F104" s="182"/>
      <c r="G104" s="182"/>
      <c r="H104" s="182"/>
      <c r="I104" s="182"/>
      <c r="J104" s="182"/>
      <c r="K104" s="182"/>
    </row>
    <row r="106" spans="1:15">
      <c r="C106" s="228">
        <f>Wheatland!BR123/1000</f>
        <v>-3953.393</v>
      </c>
      <c r="E106" s="175" t="s">
        <v>581</v>
      </c>
    </row>
    <row r="107" spans="1:15" ht="13.5" thickBot="1">
      <c r="A107"/>
      <c r="B107"/>
      <c r="C107" s="321">
        <f>C104+C106</f>
        <v>-5133.4686288481116</v>
      </c>
      <c r="D107" s="316"/>
      <c r="E107" s="317" t="s">
        <v>468</v>
      </c>
      <c r="F107" s="316"/>
      <c r="G107" s="318"/>
      <c r="H107" s="319"/>
      <c r="I107" s="320"/>
      <c r="J107" s="316"/>
      <c r="K107" s="316"/>
      <c r="L107"/>
      <c r="M107"/>
      <c r="N107"/>
      <c r="O107"/>
    </row>
    <row r="108" spans="1:15" ht="13.5" thickTop="1">
      <c r="A108"/>
      <c r="B108"/>
      <c r="C108"/>
      <c r="D108"/>
      <c r="E108"/>
      <c r="F108"/>
      <c r="G108"/>
      <c r="H108"/>
      <c r="I108"/>
      <c r="J108"/>
      <c r="K108"/>
      <c r="L108"/>
      <c r="M108"/>
      <c r="N108"/>
      <c r="O108"/>
    </row>
    <row r="109" spans="1:15">
      <c r="B109" s="26"/>
      <c r="C109" s="177"/>
    </row>
    <row r="110" spans="1:15">
      <c r="A110" s="220" t="str">
        <f ca="1">CELL("FILENAME")</f>
        <v>O:\Fin_Ops\Engysvc\PowerPlants\2000 Plants\Draw Schedule\[Draw Sched - 032900.xls]Gleason</v>
      </c>
      <c r="B110" s="177"/>
      <c r="C110" s="177"/>
    </row>
  </sheetData>
  <mergeCells count="2">
    <mergeCell ref="A54:K54"/>
    <mergeCell ref="A45:K45"/>
  </mergeCells>
  <printOptions horizontalCentered="1"/>
  <pageMargins left="0.25" right="0.25" top="0.5" bottom="0.5"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tabSelected="1" zoomScale="80" zoomScaleNormal="66" workbookViewId="0">
      <pane xSplit="19" ySplit="8" topLeftCell="BM106" activePane="bottomRight" state="frozen"/>
      <selection activeCell="A4" sqref="A4"/>
      <selection pane="topRight" activeCell="A4" sqref="A4"/>
      <selection pane="bottomLeft" activeCell="A4" sqref="A4"/>
      <selection pane="bottomRight" activeCell="A4" sqref="A4"/>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- 032900.xls]Gleason</v>
      </c>
    </row>
    <row r="3" spans="1:74" s="18" customFormat="1" ht="15.75">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36613.377524768519</v>
      </c>
      <c r="BR3" s="23"/>
      <c r="BT3" s="78" t="str">
        <f>Summary!A5</f>
        <v>Revision # 51</v>
      </c>
    </row>
    <row r="4" spans="1:74" s="18" customFormat="1" ht="15.75">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370</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3/24/00</v>
      </c>
      <c r="U7" s="96"/>
      <c r="V7" s="82" t="str">
        <f>+Summary!$O$4</f>
        <v xml:space="preserve"> As of 3/24/00</v>
      </c>
      <c r="W7" s="69"/>
      <c r="X7" s="82" t="str">
        <f>+Summary!$O$4</f>
        <v xml:space="preserve"> As of 3/24/00</v>
      </c>
      <c r="Y7" s="69"/>
      <c r="Z7" s="82" t="str">
        <f>+Summary!$O$4</f>
        <v xml:space="preserve"> As of 3/24/00</v>
      </c>
      <c r="AA7" s="69"/>
      <c r="AB7" s="82" t="str">
        <f>+Summary!$O$4</f>
        <v xml:space="preserve"> As of 3/24/00</v>
      </c>
      <c r="AC7" s="69"/>
      <c r="AD7" s="82" t="str">
        <f>+Summary!$O$4</f>
        <v xml:space="preserve"> As of 3/24/00</v>
      </c>
      <c r="AE7" s="69"/>
      <c r="AF7" s="82" t="str">
        <f>+Summary!$O$4</f>
        <v xml:space="preserve"> As of 3/24/00</v>
      </c>
      <c r="AG7" s="69"/>
      <c r="AH7" s="82" t="str">
        <f>+Summary!$O$4</f>
        <v xml:space="preserve"> As of 3/24/00</v>
      </c>
      <c r="AI7"/>
      <c r="AJ7" s="82" t="str">
        <f>+Summary!$O$4</f>
        <v xml:space="preserve"> As of 3/24/00</v>
      </c>
      <c r="AK7"/>
      <c r="AL7" s="82" t="str">
        <f>+Summary!$O$4</f>
        <v xml:space="preserve"> As of 3/24/00</v>
      </c>
      <c r="AM7"/>
      <c r="AN7" s="82" t="str">
        <f>+Summary!$O$4</f>
        <v xml:space="preserve"> As of 3/24/00</v>
      </c>
      <c r="AO7" s="69"/>
      <c r="AP7" s="82" t="str">
        <f>+Summary!$O$4</f>
        <v xml:space="preserve"> As of 3/24/00</v>
      </c>
      <c r="AQ7" s="69"/>
      <c r="AR7" s="82" t="str">
        <f>+Summary!$O$4</f>
        <v xml:space="preserve"> As of 3/24/00</v>
      </c>
      <c r="AS7" s="69"/>
      <c r="AT7" s="82" t="str">
        <f>+Summary!$O$4</f>
        <v xml:space="preserve"> As of 3/24/00</v>
      </c>
      <c r="AU7" s="82"/>
      <c r="AV7" s="82" t="str">
        <f>+Summary!$O$4</f>
        <v xml:space="preserve"> As of 3/24/00</v>
      </c>
      <c r="AW7" s="82"/>
      <c r="AX7" s="82" t="str">
        <f>+Summary!$O$4</f>
        <v xml:space="preserve"> As of 3/24/00</v>
      </c>
      <c r="AY7" s="82"/>
      <c r="AZ7" s="82" t="str">
        <f>+Summary!$O$4</f>
        <v xml:space="preserve"> As of 3/24/00</v>
      </c>
      <c r="BA7" s="82"/>
      <c r="BB7" s="82" t="str">
        <f>+Summary!$O$4</f>
        <v xml:space="preserve"> As of 3/24/00</v>
      </c>
      <c r="BC7" s="82"/>
      <c r="BD7" s="82" t="str">
        <f>+Summary!$O$4</f>
        <v xml:space="preserve"> As of 3/24/00</v>
      </c>
      <c r="BE7" s="82"/>
      <c r="BF7" s="82" t="str">
        <f>+Summary!$O$4</f>
        <v xml:space="preserve"> As of 3/24/00</v>
      </c>
      <c r="BG7" s="82"/>
      <c r="BH7" s="82" t="str">
        <f>+Summary!$O$4</f>
        <v xml:space="preserve"> As of 3/24/00</v>
      </c>
      <c r="BI7" s="82"/>
      <c r="BJ7" s="82" t="str">
        <f>+Summary!$O$4</f>
        <v xml:space="preserve"> As of 3/24/00</v>
      </c>
      <c r="BL7" s="71" t="str">
        <f>+Summary!$O$4</f>
        <v xml:space="preserve"> As of 3/24/00</v>
      </c>
      <c r="BN7" s="64" t="str">
        <f>+Summary!$O$4</f>
        <v xml:space="preserve"> As of 3/24/00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0</v>
      </c>
      <c r="AZ9" s="6">
        <v>0</v>
      </c>
      <c r="BB9" s="6">
        <v>0</v>
      </c>
      <c r="BD9" s="6">
        <v>0</v>
      </c>
      <c r="BF9" s="6">
        <v>0</v>
      </c>
      <c r="BH9" s="6">
        <v>0</v>
      </c>
      <c r="BJ9" s="6">
        <v>0</v>
      </c>
      <c r="BK9" s="6"/>
      <c r="BL9" s="6">
        <f>SUM(T9:BK9)</f>
        <v>134961693.44</v>
      </c>
      <c r="BM9" s="6"/>
      <c r="BN9" s="6">
        <f>142064940-R9-192000</f>
        <v>1832000</v>
      </c>
      <c r="BO9" s="6"/>
      <c r="BP9" s="6">
        <f>IF(+R9-BL9+BN9&gt;0,R9-BL9+BN9,0)</f>
        <v>6911246.5600000024</v>
      </c>
      <c r="BR9" s="6">
        <f>+BL9+BP9</f>
        <v>141872940</v>
      </c>
      <c r="BT9" s="6">
        <f>+R9-BR9</f>
        <v>-1832000</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134961693.44</v>
      </c>
      <c r="BM12" s="6"/>
      <c r="BN12" s="101">
        <f>SUM(BN9:BN11)</f>
        <v>1832000</v>
      </c>
      <c r="BO12" s="6"/>
      <c r="BP12" s="101">
        <f>SUM(BP9:BP11)</f>
        <v>7103246.5600000024</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140286136.63999999</v>
      </c>
      <c r="BM33" s="115"/>
      <c r="BN33" s="115">
        <f>+BN31+BN12</f>
        <v>1869448</v>
      </c>
      <c r="BO33" s="115"/>
      <c r="BP33" s="115">
        <f>+BP31+BP12</f>
        <v>7694851.3600000022</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310</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298</v>
      </c>
      <c r="C39"/>
      <c r="D39"/>
      <c r="E39"/>
      <c r="F39"/>
      <c r="G39"/>
      <c r="H39"/>
      <c r="I39"/>
      <c r="J39" s="49" t="s">
        <v>229</v>
      </c>
      <c r="K39"/>
      <c r="L39" s="134" t="s">
        <v>202</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299</v>
      </c>
      <c r="C40"/>
      <c r="D40"/>
      <c r="E40"/>
      <c r="F40"/>
      <c r="G40"/>
      <c r="H40"/>
      <c r="I40"/>
      <c r="J40" s="49" t="s">
        <v>229</v>
      </c>
      <c r="K40"/>
      <c r="L40" s="134" t="s">
        <v>202</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300</v>
      </c>
      <c r="C41"/>
      <c r="D41"/>
      <c r="E41"/>
      <c r="F41"/>
      <c r="G41"/>
      <c r="H41"/>
      <c r="I41"/>
      <c r="J41" s="49" t="s">
        <v>229</v>
      </c>
      <c r="K41"/>
      <c r="L41" s="134" t="s">
        <v>202</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301</v>
      </c>
      <c r="C42"/>
      <c r="D42"/>
      <c r="E42"/>
      <c r="F42"/>
      <c r="G42"/>
      <c r="H42"/>
      <c r="I42"/>
      <c r="J42" s="49" t="s">
        <v>229</v>
      </c>
      <c r="K42"/>
      <c r="L42" s="134" t="s">
        <v>202</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302</v>
      </c>
      <c r="C43"/>
      <c r="D43"/>
      <c r="E43"/>
      <c r="F43"/>
      <c r="G43"/>
      <c r="H43"/>
      <c r="I43"/>
      <c r="J43" s="49" t="s">
        <v>229</v>
      </c>
      <c r="K43"/>
      <c r="L43" s="134" t="s">
        <v>202</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303</v>
      </c>
      <c r="C44"/>
      <c r="D44"/>
      <c r="E44"/>
      <c r="F44"/>
      <c r="G44"/>
      <c r="H44"/>
      <c r="I44"/>
      <c r="J44" s="49" t="s">
        <v>229</v>
      </c>
      <c r="K44"/>
      <c r="L44" s="134" t="s">
        <v>202</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304</v>
      </c>
      <c r="C45"/>
      <c r="D45"/>
      <c r="E45"/>
      <c r="F45"/>
      <c r="G45"/>
      <c r="H45"/>
      <c r="I45"/>
      <c r="J45" s="49" t="s">
        <v>229</v>
      </c>
      <c r="K45"/>
      <c r="L45" s="134" t="s">
        <v>202</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305</v>
      </c>
      <c r="C46"/>
      <c r="D46"/>
      <c r="E46"/>
      <c r="F46"/>
      <c r="G46"/>
      <c r="H46"/>
      <c r="I46"/>
      <c r="J46" s="49" t="s">
        <v>229</v>
      </c>
      <c r="K46"/>
      <c r="L46" s="134" t="s">
        <v>202</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306</v>
      </c>
      <c r="C47"/>
      <c r="D47"/>
      <c r="E47"/>
      <c r="F47"/>
      <c r="G47"/>
      <c r="H47"/>
      <c r="I47"/>
      <c r="J47" s="49" t="s">
        <v>229</v>
      </c>
      <c r="K47"/>
      <c r="L47" s="134" t="s">
        <v>202</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307</v>
      </c>
      <c r="C48"/>
      <c r="D48"/>
      <c r="E48"/>
      <c r="F48"/>
      <c r="G48"/>
      <c r="H48"/>
      <c r="I48"/>
      <c r="J48" s="49" t="s">
        <v>229</v>
      </c>
      <c r="K48"/>
      <c r="L48" s="134" t="s">
        <v>202</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536</v>
      </c>
      <c r="C49"/>
      <c r="D49"/>
      <c r="E49"/>
      <c r="F49"/>
      <c r="G49"/>
      <c r="H49"/>
      <c r="I49"/>
      <c r="J49" s="49" t="s">
        <v>229</v>
      </c>
      <c r="K49"/>
      <c r="L49" s="134" t="s">
        <v>202</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308</v>
      </c>
      <c r="C50"/>
      <c r="D50"/>
      <c r="E50"/>
      <c r="F50"/>
      <c r="G50"/>
      <c r="H50"/>
      <c r="I50"/>
      <c r="J50" s="49" t="s">
        <v>229</v>
      </c>
      <c r="K50"/>
      <c r="L50" s="134" t="s">
        <v>202</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190</v>
      </c>
      <c r="C51"/>
      <c r="D51"/>
      <c r="E51"/>
      <c r="F51"/>
      <c r="G51"/>
      <c r="H51"/>
      <c r="I51"/>
      <c r="J51" s="49" t="s">
        <v>229</v>
      </c>
      <c r="K51"/>
      <c r="L51" s="134" t="s">
        <v>202</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309</v>
      </c>
      <c r="C52"/>
      <c r="D52"/>
      <c r="E52"/>
      <c r="F52"/>
      <c r="G52"/>
      <c r="H52"/>
      <c r="I52"/>
      <c r="J52" s="49"/>
      <c r="K52"/>
      <c r="L52" s="134" t="s">
        <v>202</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537</v>
      </c>
      <c r="C53"/>
      <c r="D53"/>
      <c r="E53"/>
      <c r="F53"/>
      <c r="G53"/>
      <c r="H53"/>
      <c r="I53"/>
      <c r="J53" s="49"/>
      <c r="K53"/>
      <c r="L53" s="134" t="s">
        <v>202</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202</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330</v>
      </c>
      <c r="J55" s="8"/>
      <c r="L55" s="143" t="s">
        <v>202</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331</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311</v>
      </c>
      <c r="C58"/>
      <c r="D58"/>
      <c r="E58"/>
      <c r="F58"/>
      <c r="G58"/>
      <c r="H58"/>
      <c r="I58"/>
      <c r="J58" s="49" t="s">
        <v>229</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312</v>
      </c>
      <c r="C59"/>
      <c r="D59"/>
      <c r="E59"/>
      <c r="F59"/>
      <c r="G59"/>
      <c r="H59"/>
      <c r="I59"/>
      <c r="J59" s="49" t="s">
        <v>229</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313</v>
      </c>
      <c r="C60"/>
      <c r="D60"/>
      <c r="E60"/>
      <c r="F60"/>
      <c r="G60"/>
      <c r="H60"/>
      <c r="I60"/>
      <c r="J60" s="49" t="s">
        <v>229</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314</v>
      </c>
      <c r="C61"/>
      <c r="D61"/>
      <c r="E61"/>
      <c r="F61"/>
      <c r="G61"/>
      <c r="H61"/>
      <c r="I61"/>
      <c r="J61" s="49" t="s">
        <v>229</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315</v>
      </c>
      <c r="C62"/>
      <c r="D62"/>
      <c r="E62"/>
      <c r="F62"/>
      <c r="G62"/>
      <c r="H62"/>
      <c r="I62"/>
      <c r="J62" s="49" t="s">
        <v>229</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316</v>
      </c>
      <c r="C63"/>
      <c r="D63"/>
      <c r="E63"/>
      <c r="F63"/>
      <c r="G63"/>
      <c r="H63"/>
      <c r="I63"/>
      <c r="J63" s="49" t="s">
        <v>229</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317</v>
      </c>
      <c r="C64"/>
      <c r="D64"/>
      <c r="E64"/>
      <c r="F64"/>
      <c r="G64"/>
      <c r="H64"/>
      <c r="I64"/>
      <c r="J64" s="49" t="s">
        <v>229</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318</v>
      </c>
      <c r="C65"/>
      <c r="D65"/>
      <c r="E65"/>
      <c r="F65"/>
      <c r="G65"/>
      <c r="H65"/>
      <c r="I65"/>
      <c r="J65" s="49" t="s">
        <v>229</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319</v>
      </c>
      <c r="C66"/>
      <c r="D66"/>
      <c r="E66"/>
      <c r="F66"/>
      <c r="G66"/>
      <c r="H66"/>
      <c r="I66"/>
      <c r="J66" s="49" t="s">
        <v>229</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320</v>
      </c>
      <c r="C67"/>
      <c r="D67"/>
      <c r="E67"/>
      <c r="F67"/>
      <c r="G67"/>
      <c r="H67"/>
      <c r="I67"/>
      <c r="J67" s="49" t="s">
        <v>229</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321</v>
      </c>
      <c r="C68"/>
      <c r="D68"/>
      <c r="E68"/>
      <c r="F68"/>
      <c r="G68"/>
      <c r="H68"/>
      <c r="I68"/>
      <c r="J68" s="49" t="s">
        <v>229</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322</v>
      </c>
      <c r="C69"/>
      <c r="D69"/>
      <c r="E69"/>
      <c r="F69"/>
      <c r="G69"/>
      <c r="H69"/>
      <c r="I69"/>
      <c r="J69" s="49" t="s">
        <v>229</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149</v>
      </c>
      <c r="C70"/>
      <c r="D70"/>
      <c r="E70"/>
      <c r="F70"/>
      <c r="G70"/>
      <c r="H70"/>
      <c r="I70"/>
      <c r="J70" s="49" t="s">
        <v>229</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55</v>
      </c>
      <c r="C71"/>
      <c r="D71"/>
      <c r="E71"/>
      <c r="F71"/>
      <c r="G71"/>
      <c r="H71"/>
      <c r="I71"/>
      <c r="J71" s="49" t="s">
        <v>229</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323</v>
      </c>
      <c r="C72"/>
      <c r="D72"/>
      <c r="E72"/>
      <c r="F72"/>
      <c r="G72"/>
      <c r="H72"/>
      <c r="I72"/>
      <c r="J72" s="49" t="s">
        <v>229</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324</v>
      </c>
      <c r="C73"/>
      <c r="D73"/>
      <c r="E73"/>
      <c r="F73"/>
      <c r="G73"/>
      <c r="H73"/>
      <c r="I73"/>
      <c r="J73" s="49" t="s">
        <v>229</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52</v>
      </c>
      <c r="C74"/>
      <c r="D74"/>
      <c r="E74"/>
      <c r="F74"/>
      <c r="G74"/>
      <c r="H74"/>
      <c r="I74"/>
      <c r="J74" s="49" t="s">
        <v>229</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174</v>
      </c>
      <c r="C75"/>
      <c r="D75"/>
      <c r="E75"/>
      <c r="F75"/>
      <c r="G75"/>
      <c r="H75"/>
      <c r="I75"/>
      <c r="J75" s="49" t="s">
        <v>229</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325</v>
      </c>
      <c r="C76"/>
      <c r="D76"/>
      <c r="E76"/>
      <c r="F76"/>
      <c r="G76"/>
      <c r="H76"/>
      <c r="I76"/>
      <c r="J76" s="49" t="s">
        <v>229</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326</v>
      </c>
      <c r="C77"/>
      <c r="D77"/>
      <c r="E77"/>
      <c r="F77"/>
      <c r="G77"/>
      <c r="H77"/>
      <c r="I77"/>
      <c r="J77" s="49" t="s">
        <v>229</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327</v>
      </c>
      <c r="C78"/>
      <c r="D78"/>
      <c r="E78"/>
      <c r="F78"/>
      <c r="G78"/>
      <c r="H78"/>
      <c r="I78"/>
      <c r="J78" s="49" t="s">
        <v>229</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328</v>
      </c>
      <c r="C79"/>
      <c r="D79"/>
      <c r="E79"/>
      <c r="F79"/>
      <c r="G79"/>
      <c r="H79"/>
      <c r="I79"/>
      <c r="J79" s="49" t="s">
        <v>229</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329</v>
      </c>
      <c r="C80"/>
      <c r="D80"/>
      <c r="E80"/>
      <c r="F80"/>
      <c r="G80"/>
      <c r="H80"/>
      <c r="I80"/>
      <c r="J80" s="49" t="s">
        <v>229</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332</v>
      </c>
      <c r="J81" s="8"/>
      <c r="L81" s="143" t="s">
        <v>202</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360</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333</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334</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335</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336</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337</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338</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339</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340</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341</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371</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342</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343</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344</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345</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346</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347</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348</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349</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350</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351</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352</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353</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354</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355</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356</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357</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358</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359</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551</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552</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553</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361</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363</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67</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362</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378</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v>12922196</v>
      </c>
      <c r="AW122" s="9"/>
      <c r="AX122" s="9"/>
      <c r="AY122" s="9"/>
      <c r="AZ122" s="9"/>
      <c r="BA122" s="9"/>
      <c r="BB122" s="9"/>
      <c r="BC122" s="9"/>
      <c r="BD122" s="9"/>
      <c r="BE122" s="9"/>
      <c r="BF122" s="9"/>
      <c r="BG122" s="9"/>
      <c r="BH122" s="9"/>
      <c r="BI122" s="9"/>
      <c r="BJ122" s="9"/>
      <c r="BK122" s="9"/>
      <c r="BL122" s="6">
        <f>SUM(T122:BK122)</f>
        <v>20774842</v>
      </c>
      <c r="BM122" s="9"/>
      <c r="BN122" s="9">
        <v>0</v>
      </c>
      <c r="BO122" s="9">
        <f>SUM(BO120:BO121)</f>
        <v>0</v>
      </c>
      <c r="BP122" s="6">
        <v>-20774842</v>
      </c>
      <c r="BQ122" s="9">
        <f>SUM(BQ120:BQ121)</f>
        <v>0</v>
      </c>
      <c r="BR122" s="6">
        <f>+BL122+BP122</f>
        <v>0</v>
      </c>
      <c r="BS122" s="9">
        <f>SUM(BS120:BS121)</f>
        <v>0</v>
      </c>
      <c r="BT122" s="6">
        <f>+R122-BR122</f>
        <v>0</v>
      </c>
      <c r="BU122" s="9"/>
    </row>
    <row r="123" spans="1:73" s="21" customFormat="1">
      <c r="B123" s="249" t="s">
        <v>377</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243</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12922196</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33821983</v>
      </c>
      <c r="BM124" s="246">
        <f t="shared" si="24"/>
        <v>0</v>
      </c>
      <c r="BN124" s="246">
        <f t="shared" si="24"/>
        <v>7960784</v>
      </c>
      <c r="BO124" s="246">
        <f t="shared" si="24"/>
        <v>0</v>
      </c>
      <c r="BP124" s="246">
        <f t="shared" si="24"/>
        <v>27534049</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228</v>
      </c>
      <c r="C127"/>
      <c r="D127"/>
      <c r="E127"/>
      <c r="F127"/>
      <c r="G127"/>
      <c r="H127"/>
      <c r="I127"/>
      <c r="J127" s="49" t="s">
        <v>236</v>
      </c>
      <c r="K127"/>
      <c r="L127" s="134" t="s">
        <v>202</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77933.33</v>
      </c>
      <c r="AX127" s="6">
        <v>77933.33</v>
      </c>
      <c r="AZ127" s="6">
        <v>0</v>
      </c>
      <c r="BB127" s="6">
        <v>0</v>
      </c>
      <c r="BD127" s="6">
        <v>0</v>
      </c>
      <c r="BF127" s="6">
        <v>0</v>
      </c>
      <c r="BH127" s="6">
        <v>0</v>
      </c>
      <c r="BJ127" s="6">
        <v>0</v>
      </c>
      <c r="BK127" s="6"/>
      <c r="BL127" s="6">
        <f t="shared" ref="BL127:BL132" si="25">SUM(T127:BK127)</f>
        <v>706399.67333333322</v>
      </c>
      <c r="BM127" s="6"/>
      <c r="BN127" s="6">
        <v>5000</v>
      </c>
      <c r="BO127" s="6"/>
      <c r="BP127" s="6">
        <f t="shared" ref="BP127:BP133" si="26">IF(+R127-BL127+BN127&gt;0,R127-BL127+BN127,0)</f>
        <v>233800.32666666678</v>
      </c>
      <c r="BR127" s="6">
        <f t="shared" ref="BR127:BR132" si="27">+BL127+BP127</f>
        <v>940200</v>
      </c>
      <c r="BT127" s="6">
        <f t="shared" ref="BT127:BT132" si="28">+R127-BR127</f>
        <v>-5000</v>
      </c>
      <c r="BU127" s="6"/>
    </row>
    <row r="128" spans="1:73">
      <c r="A128" s="61"/>
      <c r="B128" s="17" t="s">
        <v>230</v>
      </c>
      <c r="C128"/>
      <c r="D128"/>
      <c r="E128"/>
      <c r="F128"/>
      <c r="G128"/>
      <c r="H128"/>
      <c r="I128"/>
      <c r="J128" s="49" t="s">
        <v>230</v>
      </c>
      <c r="K128"/>
      <c r="L128" s="134" t="s">
        <v>202</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235400</v>
      </c>
      <c r="AX128" s="6">
        <v>235400</v>
      </c>
      <c r="AZ128" s="6">
        <v>0</v>
      </c>
      <c r="BB128" s="6">
        <v>0</v>
      </c>
      <c r="BD128" s="6">
        <v>0</v>
      </c>
      <c r="BF128" s="6">
        <v>0</v>
      </c>
      <c r="BH128" s="6">
        <v>0</v>
      </c>
      <c r="BJ128" s="6">
        <v>0</v>
      </c>
      <c r="BK128" s="6"/>
      <c r="BL128" s="6">
        <f t="shared" si="25"/>
        <v>2118594</v>
      </c>
      <c r="BM128" s="6"/>
      <c r="BN128" s="6">
        <v>0</v>
      </c>
      <c r="BO128" s="6"/>
      <c r="BP128" s="6">
        <f t="shared" si="26"/>
        <v>706206</v>
      </c>
      <c r="BR128" s="6">
        <f t="shared" si="27"/>
        <v>2824800</v>
      </c>
      <c r="BT128" s="6">
        <f t="shared" si="28"/>
        <v>0</v>
      </c>
      <c r="BU128" s="6"/>
    </row>
    <row r="129" spans="1:73">
      <c r="A129" s="61"/>
      <c r="B129" s="17" t="s">
        <v>231</v>
      </c>
      <c r="C129"/>
      <c r="D129"/>
      <c r="E129"/>
      <c r="F129"/>
      <c r="G129"/>
      <c r="H129"/>
      <c r="I129"/>
      <c r="J129" s="49" t="s">
        <v>236</v>
      </c>
      <c r="K129"/>
      <c r="L129" s="134" t="s">
        <v>202</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232</v>
      </c>
      <c r="C130"/>
      <c r="D130"/>
      <c r="E130"/>
      <c r="F130"/>
      <c r="G130"/>
      <c r="H130"/>
      <c r="I130"/>
      <c r="J130" s="49" t="s">
        <v>236</v>
      </c>
      <c r="K130"/>
      <c r="L130" s="134" t="s">
        <v>202</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233</v>
      </c>
      <c r="C131" s="30"/>
      <c r="D131" s="30"/>
      <c r="E131" s="30"/>
      <c r="F131" s="30"/>
      <c r="G131" s="30"/>
      <c r="H131" s="30"/>
      <c r="I131" s="30"/>
      <c r="J131" s="156" t="s">
        <v>236</v>
      </c>
      <c r="K131" s="30"/>
      <c r="L131" s="134" t="s">
        <v>202</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121</v>
      </c>
      <c r="C132"/>
      <c r="D132"/>
      <c r="E132"/>
      <c r="F132"/>
      <c r="G132"/>
      <c r="H132"/>
      <c r="I132"/>
      <c r="J132" s="49"/>
      <c r="K132"/>
      <c r="L132" s="134" t="s">
        <v>202</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244</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313333.33</v>
      </c>
      <c r="AW134" s="117"/>
      <c r="AX134" s="116">
        <f>SUM(AX127:AX133)</f>
        <v>313333.33</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2824993.6733333333</v>
      </c>
      <c r="BM134" s="115"/>
      <c r="BN134" s="116">
        <f>SUM(BN127:BN133)</f>
        <v>5000</v>
      </c>
      <c r="BO134" s="115"/>
      <c r="BP134" s="116">
        <f>SUM(BP127:BP133)</f>
        <v>4006706.3266666667</v>
      </c>
      <c r="BQ134" s="115"/>
      <c r="BR134" s="116">
        <f>SUM(BR127:BR133)</f>
        <v>6831700</v>
      </c>
      <c r="BS134" s="115"/>
      <c r="BT134" s="116">
        <f>SUM(BT127:BT133)</f>
        <v>-5000</v>
      </c>
      <c r="BU134" s="117"/>
    </row>
    <row r="135" spans="1:73" customFormat="1"/>
    <row r="136" spans="1:73" s="15" customFormat="1">
      <c r="A136" s="62" t="s">
        <v>242</v>
      </c>
      <c r="B136" s="17"/>
      <c r="C136"/>
      <c r="D136"/>
      <c r="E136"/>
      <c r="F136"/>
      <c r="G136"/>
      <c r="H136"/>
      <c r="I136"/>
      <c r="J136" s="49"/>
      <c r="K136"/>
      <c r="L136" s="134" t="s">
        <v>202</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255</v>
      </c>
      <c r="C137"/>
      <c r="D137"/>
      <c r="E137"/>
      <c r="F137"/>
      <c r="G137"/>
      <c r="H137"/>
      <c r="I137"/>
      <c r="J137" s="49" t="s">
        <v>0</v>
      </c>
      <c r="K137"/>
      <c r="L137" s="134" t="s">
        <v>202</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1183814.8799999999</v>
      </c>
      <c r="AW137" s="22"/>
      <c r="AX137" s="22">
        <v>2943550.62</v>
      </c>
      <c r="AY137" s="22"/>
      <c r="AZ137" s="22">
        <v>0</v>
      </c>
      <c r="BA137" s="22"/>
      <c r="BB137" s="22">
        <v>0</v>
      </c>
      <c r="BC137" s="22"/>
      <c r="BD137" s="22">
        <v>0</v>
      </c>
      <c r="BE137" s="22"/>
      <c r="BF137" s="22">
        <v>0</v>
      </c>
      <c r="BG137" s="22"/>
      <c r="BH137" s="22">
        <v>0</v>
      </c>
      <c r="BI137" s="22"/>
      <c r="BJ137" s="22">
        <v>0</v>
      </c>
      <c r="BK137" s="22"/>
      <c r="BL137" s="22">
        <f>SUM(T137:BK137)</f>
        <v>8862625</v>
      </c>
      <c r="BM137" s="22"/>
      <c r="BN137" s="22">
        <v>440</v>
      </c>
      <c r="BO137" s="22"/>
      <c r="BP137" s="6">
        <f t="shared" ref="BP137:BP142" si="29">IF(+R137-BL137+BN137&gt;0,R137-BL137+BN137,0)</f>
        <v>616894</v>
      </c>
      <c r="BQ137" s="22"/>
      <c r="BR137" s="6">
        <f>+BL137+BP137</f>
        <v>9479519</v>
      </c>
      <c r="BS137" s="22"/>
      <c r="BT137" s="6">
        <f>+R137-BR137</f>
        <v>-440</v>
      </c>
      <c r="BU137" s="22"/>
    </row>
    <row r="138" spans="1:73" s="15" customFormat="1">
      <c r="A138" s="62"/>
      <c r="B138" s="17" t="s">
        <v>256</v>
      </c>
      <c r="C138"/>
      <c r="D138"/>
      <c r="E138"/>
      <c r="F138"/>
      <c r="G138"/>
      <c r="H138"/>
      <c r="I138"/>
      <c r="J138" s="49" t="s">
        <v>0</v>
      </c>
      <c r="K138"/>
      <c r="L138" s="134" t="s">
        <v>202</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257</v>
      </c>
      <c r="C139"/>
      <c r="D139"/>
      <c r="E139"/>
      <c r="F139"/>
      <c r="G139"/>
      <c r="H139"/>
      <c r="I139"/>
      <c r="J139" s="49" t="s">
        <v>0</v>
      </c>
      <c r="K139"/>
      <c r="L139" s="134" t="s">
        <v>202</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258</v>
      </c>
      <c r="C140" s="30"/>
      <c r="D140" s="30"/>
      <c r="E140" s="30"/>
      <c r="F140" s="30"/>
      <c r="G140" s="30"/>
      <c r="H140" s="30"/>
      <c r="I140" s="30"/>
      <c r="J140" s="49" t="s">
        <v>0</v>
      </c>
      <c r="K140" s="30"/>
      <c r="L140" s="134" t="s">
        <v>202</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259</v>
      </c>
      <c r="C141"/>
      <c r="D141"/>
      <c r="E141"/>
      <c r="F141"/>
      <c r="G141"/>
      <c r="H141"/>
      <c r="I141"/>
      <c r="J141" s="49" t="s">
        <v>0</v>
      </c>
      <c r="K141"/>
      <c r="L141" s="134" t="s">
        <v>202</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245</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1183814.8799999999</v>
      </c>
      <c r="AW143" s="103"/>
      <c r="AX143" s="108">
        <f>SUM(AX137:AX142)</f>
        <v>2943550.62</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8862625</v>
      </c>
      <c r="BM143" s="16"/>
      <c r="BN143" s="108">
        <f>SUM(BN137:BN142)</f>
        <v>440</v>
      </c>
      <c r="BO143" s="16"/>
      <c r="BP143" s="108">
        <f>SUM(BP137:BP142)</f>
        <v>616894</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582</v>
      </c>
      <c r="E149" s="4"/>
      <c r="G149" s="4"/>
      <c r="I149" s="4"/>
      <c r="J149" s="5" t="s">
        <v>0</v>
      </c>
      <c r="L149" s="134" t="s">
        <v>202</v>
      </c>
      <c r="M149" s="22"/>
      <c r="N149" s="6">
        <v>0</v>
      </c>
      <c r="O149" s="22"/>
      <c r="P149" s="6">
        <v>0</v>
      </c>
      <c r="Q149" s="22"/>
      <c r="R149" s="6">
        <v>185000</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37000</v>
      </c>
      <c r="AX149" s="6">
        <v>37000</v>
      </c>
      <c r="AZ149" s="6">
        <v>0</v>
      </c>
      <c r="BB149" s="6">
        <v>0</v>
      </c>
      <c r="BD149" s="6">
        <v>0</v>
      </c>
      <c r="BF149" s="6">
        <v>0</v>
      </c>
      <c r="BH149" s="6">
        <v>0</v>
      </c>
      <c r="BJ149" s="6">
        <v>0</v>
      </c>
      <c r="BK149" s="6"/>
      <c r="BL149" s="6">
        <f>SUM(T149:BK149)</f>
        <v>74000</v>
      </c>
      <c r="BM149" s="6"/>
      <c r="BN149" s="6">
        <v>0</v>
      </c>
      <c r="BO149" s="6"/>
      <c r="BP149" s="6">
        <f>IF(+R149-BL149+BN149&gt;0,R149-BL149+BN149,0)</f>
        <v>111000</v>
      </c>
      <c r="BQ149" s="22"/>
      <c r="BR149" s="6">
        <f>+BL149+BP149</f>
        <v>185000</v>
      </c>
      <c r="BS149" s="22"/>
      <c r="BT149" s="6">
        <f>+R149-BR149</f>
        <v>0</v>
      </c>
      <c r="BU149" s="6"/>
    </row>
    <row r="150" spans="1:73">
      <c r="A150" s="61"/>
      <c r="B150" s="17" t="s">
        <v>584</v>
      </c>
      <c r="E150" s="4"/>
      <c r="G150" s="4"/>
      <c r="I150" s="4"/>
      <c r="L150" s="134" t="s">
        <v>202</v>
      </c>
      <c r="M150" s="22"/>
      <c r="N150" s="6">
        <v>0</v>
      </c>
      <c r="O150" s="22"/>
      <c r="P150" s="6">
        <v>0</v>
      </c>
      <c r="Q150" s="22"/>
      <c r="R150" s="6">
        <v>723786</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X150" s="6">
        <f>60063+44589</f>
        <v>104652</v>
      </c>
      <c r="AZ150" s="6">
        <v>0</v>
      </c>
      <c r="BB150" s="6">
        <v>0</v>
      </c>
      <c r="BD150" s="6">
        <v>0</v>
      </c>
      <c r="BF150" s="6">
        <v>0</v>
      </c>
      <c r="BH150" s="6">
        <v>0</v>
      </c>
      <c r="BJ150" s="6">
        <v>0</v>
      </c>
      <c r="BK150" s="6"/>
      <c r="BL150" s="6">
        <f>SUM(T150:BK150)</f>
        <v>104652</v>
      </c>
      <c r="BM150" s="6"/>
      <c r="BN150" s="6">
        <v>0</v>
      </c>
      <c r="BO150" s="6"/>
      <c r="BP150" s="6">
        <f>+R150-BL150+BN150</f>
        <v>619134</v>
      </c>
      <c r="BQ150" s="22"/>
      <c r="BR150" s="6">
        <f>+BL150+BP150</f>
        <v>723786</v>
      </c>
      <c r="BS150" s="22"/>
      <c r="BT150" s="6">
        <f>+R150-BR150</f>
        <v>0</v>
      </c>
      <c r="BU150" s="6"/>
    </row>
    <row r="151" spans="1:73" hidden="1">
      <c r="A151" s="61"/>
      <c r="B151" s="17" t="s">
        <v>121</v>
      </c>
      <c r="E151" s="4"/>
      <c r="G151" s="4"/>
      <c r="I151" s="4"/>
      <c r="L151" s="134" t="s">
        <v>202</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247</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37000</v>
      </c>
      <c r="AW152" s="10"/>
      <c r="AX152" s="102">
        <f>SUM(AX149:AX151)</f>
        <v>141652</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178652</v>
      </c>
      <c r="BM152" s="9"/>
      <c r="BN152" s="102">
        <f>SUM(BN149:BN151)</f>
        <v>0</v>
      </c>
      <c r="BO152" s="9"/>
      <c r="BP152" s="102">
        <f>SUM(BP149:BP151)</f>
        <v>730134</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120</v>
      </c>
      <c r="B154" s="58"/>
      <c r="J154" s="8" t="s">
        <v>0</v>
      </c>
      <c r="L154" s="143" t="s">
        <v>202</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216</v>
      </c>
      <c r="B156" s="31"/>
      <c r="J156" s="8" t="s">
        <v>0</v>
      </c>
      <c r="L156" s="134" t="s">
        <v>202</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168836</v>
      </c>
      <c r="AY156" s="9"/>
      <c r="AZ156" s="9">
        <v>0</v>
      </c>
      <c r="BA156" s="9"/>
      <c r="BB156" s="9">
        <v>0</v>
      </c>
      <c r="BC156" s="9"/>
      <c r="BD156" s="9">
        <v>0</v>
      </c>
      <c r="BE156" s="9"/>
      <c r="BF156" s="9">
        <v>0</v>
      </c>
      <c r="BG156" s="9"/>
      <c r="BH156" s="9">
        <v>0</v>
      </c>
      <c r="BI156" s="9"/>
      <c r="BJ156" s="9">
        <v>0</v>
      </c>
      <c r="BK156" s="9"/>
      <c r="BL156" s="9">
        <f>SUM(T156:BK156)</f>
        <v>387391.81000000006</v>
      </c>
      <c r="BM156" s="9"/>
      <c r="BN156" s="9">
        <v>0</v>
      </c>
      <c r="BO156" s="9"/>
      <c r="BP156" s="6">
        <f>IF(+R156-BL156+BN156&gt;0,R156-BL156+BN156,0)</f>
        <v>0</v>
      </c>
      <c r="BQ156" s="9"/>
      <c r="BR156" s="9">
        <f>+BL156+BP156</f>
        <v>387391.81000000006</v>
      </c>
      <c r="BS156" s="9"/>
      <c r="BT156" s="9">
        <f>+R156-BR156</f>
        <v>-387391.81000000006</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202</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202</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207</v>
      </c>
      <c r="E163" s="4"/>
      <c r="G163" s="4"/>
      <c r="I163" s="4"/>
      <c r="J163" s="5" t="s">
        <v>0</v>
      </c>
      <c r="L163" s="134" t="s">
        <v>202</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208</v>
      </c>
      <c r="E164" s="4"/>
      <c r="G164" s="4"/>
      <c r="I164" s="4"/>
      <c r="J164" s="5" t="s">
        <v>0</v>
      </c>
      <c r="L164" s="134" t="s">
        <v>202</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209</v>
      </c>
      <c r="E165" s="4"/>
      <c r="G165" s="4"/>
      <c r="I165" s="4"/>
      <c r="J165" s="5" t="s">
        <v>0</v>
      </c>
      <c r="L165" s="134" t="s">
        <v>202</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f>3400-16567.86</f>
        <v>-13167.86</v>
      </c>
      <c r="AX165" s="6">
        <v>0</v>
      </c>
      <c r="AZ165" s="6">
        <v>0</v>
      </c>
      <c r="BB165" s="6">
        <v>0</v>
      </c>
      <c r="BD165" s="6">
        <v>0</v>
      </c>
      <c r="BF165" s="6">
        <v>0</v>
      </c>
      <c r="BH165" s="6">
        <v>0</v>
      </c>
      <c r="BJ165" s="6">
        <v>0</v>
      </c>
      <c r="BK165" s="6"/>
      <c r="BL165" s="6">
        <f>SUM(T165:BK165)</f>
        <v>2444150.2800000003</v>
      </c>
      <c r="BM165" s="6"/>
      <c r="BN165" s="6">
        <v>25818</v>
      </c>
      <c r="BO165" s="6"/>
      <c r="BP165" s="6">
        <f>IF(+R165-BL165+BN165&gt;0,R165-BL165+BN165,0)</f>
        <v>0</v>
      </c>
      <c r="BR165" s="6">
        <f>+BL165+BP165</f>
        <v>2444150.2800000003</v>
      </c>
      <c r="BT165" s="6">
        <f>+R165-BR165</f>
        <v>-192650.28000000026</v>
      </c>
      <c r="BU165" s="6"/>
    </row>
    <row r="166" spans="1:73">
      <c r="A166" s="61"/>
      <c r="B166" s="11" t="s">
        <v>210</v>
      </c>
      <c r="E166" s="4"/>
      <c r="G166" s="4"/>
      <c r="I166" s="4"/>
      <c r="J166" s="5" t="s">
        <v>0</v>
      </c>
      <c r="L166" s="134" t="s">
        <v>202</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182</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-13167.86</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2472650.2800000003</v>
      </c>
      <c r="BM167" s="9"/>
      <c r="BN167" s="102">
        <f>SUM(BN163:BN166)</f>
        <v>25818</v>
      </c>
      <c r="BO167" s="9"/>
      <c r="BP167" s="102">
        <f>SUM(BP163:BP166)</f>
        <v>0</v>
      </c>
      <c r="BQ167" s="9"/>
      <c r="BR167" s="102">
        <f>SUM(BR163:BR166)</f>
        <v>2472650.2800000003</v>
      </c>
      <c r="BS167" s="9"/>
      <c r="BT167" s="102">
        <f>SUM(BT163:BT166)</f>
        <v>-192650.28000000026</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260</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261</v>
      </c>
      <c r="C171"/>
      <c r="D171"/>
      <c r="E171"/>
      <c r="F171"/>
      <c r="G171"/>
      <c r="H171"/>
      <c r="I171"/>
      <c r="J171" s="49"/>
      <c r="K171"/>
      <c r="L171" s="134" t="s">
        <v>203</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262</v>
      </c>
      <c r="C172"/>
      <c r="D172"/>
      <c r="E172"/>
      <c r="F172"/>
      <c r="G172"/>
      <c r="H172"/>
      <c r="I172"/>
      <c r="J172" s="49"/>
      <c r="K172"/>
      <c r="L172" s="134" t="s">
        <v>203</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2588.4499999999998</v>
      </c>
      <c r="AX172" s="6">
        <v>0</v>
      </c>
      <c r="AZ172" s="6">
        <v>0</v>
      </c>
      <c r="BB172" s="6">
        <v>0</v>
      </c>
      <c r="BD172" s="6">
        <v>0</v>
      </c>
      <c r="BF172" s="6">
        <v>0</v>
      </c>
      <c r="BH172" s="6">
        <v>0</v>
      </c>
      <c r="BJ172" s="6">
        <v>0</v>
      </c>
      <c r="BK172" s="6"/>
      <c r="BL172" s="22">
        <f>SUM(T172:BK172)</f>
        <v>277791.5</v>
      </c>
      <c r="BM172" s="6"/>
      <c r="BN172" s="6">
        <v>0</v>
      </c>
      <c r="BO172" s="6"/>
      <c r="BP172" s="6">
        <f>IF(+R172-BL172+BN172&gt;0,R172-BL172+BN172,0)</f>
        <v>122208.5</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183</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2588.4499999999998</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277791.5</v>
      </c>
      <c r="BM174" s="9"/>
      <c r="BN174" s="102">
        <f>SUM(BN170:BN173)</f>
        <v>0</v>
      </c>
      <c r="BO174" s="9"/>
      <c r="BP174" s="102">
        <f>SUM(BP170:BP173)</f>
        <v>122208.5</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563</v>
      </c>
      <c r="B176" s="31"/>
      <c r="J176" s="8" t="s">
        <v>0</v>
      </c>
      <c r="L176" s="134" t="s">
        <v>202</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445269.08</v>
      </c>
      <c r="AW176" s="9"/>
      <c r="AX176" s="9">
        <v>0</v>
      </c>
      <c r="AY176" s="9"/>
      <c r="AZ176" s="9">
        <v>0</v>
      </c>
      <c r="BA176" s="9"/>
      <c r="BB176" s="9">
        <v>0</v>
      </c>
      <c r="BC176" s="9"/>
      <c r="BD176" s="9">
        <v>0</v>
      </c>
      <c r="BE176" s="9"/>
      <c r="BF176" s="9">
        <v>0</v>
      </c>
      <c r="BG176" s="9"/>
      <c r="BH176" s="9">
        <v>0</v>
      </c>
      <c r="BI176" s="9"/>
      <c r="BJ176" s="9">
        <v>0</v>
      </c>
      <c r="BK176" s="9"/>
      <c r="BL176" s="9">
        <f>SUM(T176:BK176)</f>
        <v>779662.44</v>
      </c>
      <c r="BM176" s="9"/>
      <c r="BN176" s="9">
        <v>200000</v>
      </c>
      <c r="BO176" s="9"/>
      <c r="BP176" s="6">
        <f>IF(+R176-BL176+BN176&gt;0,R176-BL176+BN176,0)</f>
        <v>420337.56000000006</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202</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178</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179</v>
      </c>
      <c r="C181"/>
      <c r="D181"/>
      <c r="E181"/>
      <c r="F181"/>
      <c r="G181"/>
      <c r="H181"/>
      <c r="I181"/>
      <c r="J181" s="49"/>
      <c r="K181"/>
      <c r="L181" s="134" t="s">
        <v>202</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180</v>
      </c>
      <c r="C182"/>
      <c r="D182"/>
      <c r="E182"/>
      <c r="F182"/>
      <c r="G182"/>
      <c r="H182"/>
      <c r="I182"/>
      <c r="J182" s="49"/>
      <c r="K182"/>
      <c r="L182" s="134" t="s">
        <v>202</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121</v>
      </c>
      <c r="C183"/>
      <c r="D183"/>
      <c r="E183"/>
      <c r="F183"/>
      <c r="G183"/>
      <c r="H183"/>
      <c r="I183"/>
      <c r="J183" s="49"/>
      <c r="K183"/>
      <c r="L183" s="134" t="s">
        <v>202</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181</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202</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202</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L190" s="22"/>
      <c r="BM190" s="6"/>
      <c r="BN190" s="6"/>
      <c r="BO190" s="6"/>
      <c r="BU190" s="6"/>
    </row>
    <row r="191" spans="1:73" s="11" customFormat="1">
      <c r="A191" s="17"/>
      <c r="B191" s="11" t="s">
        <v>184</v>
      </c>
      <c r="J191" s="160"/>
      <c r="L191" s="146" t="s">
        <v>203</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19123.98</v>
      </c>
      <c r="AW191" s="12"/>
      <c r="AX191" s="12">
        <v>0</v>
      </c>
      <c r="AY191" s="12"/>
      <c r="AZ191" s="12">
        <v>0</v>
      </c>
      <c r="BA191" s="12"/>
      <c r="BB191" s="12">
        <v>0</v>
      </c>
      <c r="BC191" s="12"/>
      <c r="BD191" s="12">
        <v>0</v>
      </c>
      <c r="BE191" s="12"/>
      <c r="BF191" s="12">
        <v>0</v>
      </c>
      <c r="BG191" s="12"/>
      <c r="BH191" s="12">
        <v>0</v>
      </c>
      <c r="BI191" s="12"/>
      <c r="BJ191" s="12">
        <v>0</v>
      </c>
      <c r="BK191" s="12"/>
      <c r="BL191" s="80">
        <f t="shared" ref="BL191:BL196" si="30">SUM(T191:BK191)</f>
        <v>56268.39</v>
      </c>
      <c r="BM191" s="12"/>
      <c r="BN191" s="12">
        <v>2144</v>
      </c>
      <c r="BO191" s="12"/>
      <c r="BP191" s="6">
        <f t="shared" ref="BP191:BP196" si="31">IF(+R191-BL191+BN191&gt;0,R191-BL191+BN191,0)</f>
        <v>0</v>
      </c>
      <c r="BQ191" s="12"/>
      <c r="BR191" s="6">
        <f t="shared" ref="BR191:BR196" si="32">+BL191+BP191</f>
        <v>56268.39</v>
      </c>
      <c r="BS191" s="12"/>
      <c r="BT191" s="6">
        <f t="shared" ref="BT191:BT196" si="33">+R191-BR191</f>
        <v>-21268.39</v>
      </c>
      <c r="BU191" s="12"/>
    </row>
    <row r="192" spans="1:73" s="11" customFormat="1">
      <c r="A192" s="17"/>
      <c r="B192" s="11" t="s">
        <v>34</v>
      </c>
      <c r="J192" s="160"/>
      <c r="L192" s="146" t="s">
        <v>203</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3164.35</v>
      </c>
      <c r="AW192" s="12"/>
      <c r="AX192" s="12">
        <v>3884.55</v>
      </c>
      <c r="AY192" s="12"/>
      <c r="AZ192" s="12">
        <v>0</v>
      </c>
      <c r="BA192" s="12"/>
      <c r="BB192" s="12">
        <v>0</v>
      </c>
      <c r="BC192" s="12"/>
      <c r="BD192" s="12">
        <v>0</v>
      </c>
      <c r="BE192" s="12"/>
      <c r="BF192" s="12">
        <v>0</v>
      </c>
      <c r="BG192" s="12"/>
      <c r="BH192" s="12">
        <v>0</v>
      </c>
      <c r="BI192" s="12"/>
      <c r="BJ192" s="12">
        <v>0</v>
      </c>
      <c r="BK192" s="12"/>
      <c r="BL192" s="80">
        <f t="shared" si="30"/>
        <v>75776.430000000008</v>
      </c>
      <c r="BM192" s="12"/>
      <c r="BN192" s="12">
        <v>6683</v>
      </c>
      <c r="BO192" s="12"/>
      <c r="BP192" s="6">
        <f t="shared" si="31"/>
        <v>0</v>
      </c>
      <c r="BQ192" s="12"/>
      <c r="BR192" s="6">
        <f t="shared" si="32"/>
        <v>75776.430000000008</v>
      </c>
      <c r="BS192" s="12"/>
      <c r="BT192" s="6">
        <f t="shared" si="33"/>
        <v>-30776.430000000008</v>
      </c>
      <c r="BU192" s="12"/>
    </row>
    <row r="193" spans="1:122" s="11" customFormat="1">
      <c r="A193" s="17"/>
      <c r="B193" s="11" t="s">
        <v>372</v>
      </c>
      <c r="J193" s="160"/>
      <c r="L193" s="146" t="s">
        <v>203</v>
      </c>
      <c r="M193" s="12"/>
      <c r="N193" s="12">
        <v>0</v>
      </c>
      <c r="O193" s="12"/>
      <c r="P193" s="12">
        <v>24235</v>
      </c>
      <c r="Q193" s="12"/>
      <c r="R193" s="6">
        <v>0</v>
      </c>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38258.9</v>
      </c>
      <c r="AW193" s="12"/>
      <c r="AX193" s="12">
        <v>64824.959999999999</v>
      </c>
      <c r="AY193" s="12"/>
      <c r="AZ193" s="12">
        <v>0</v>
      </c>
      <c r="BA193" s="12"/>
      <c r="BB193" s="12">
        <v>0</v>
      </c>
      <c r="BC193" s="12"/>
      <c r="BD193" s="12">
        <v>0</v>
      </c>
      <c r="BE193" s="12"/>
      <c r="BF193" s="12">
        <v>0</v>
      </c>
      <c r="BG193" s="12"/>
      <c r="BH193" s="12">
        <v>0</v>
      </c>
      <c r="BI193" s="12"/>
      <c r="BJ193" s="12">
        <v>0</v>
      </c>
      <c r="BK193" s="12"/>
      <c r="BL193" s="80">
        <f t="shared" si="30"/>
        <v>254439.61</v>
      </c>
      <c r="BM193" s="12"/>
      <c r="BN193" s="12">
        <v>79955</v>
      </c>
      <c r="BO193" s="12"/>
      <c r="BP193" s="6">
        <f t="shared" si="31"/>
        <v>0</v>
      </c>
      <c r="BQ193" s="12"/>
      <c r="BR193" s="6">
        <f t="shared" si="32"/>
        <v>254439.61</v>
      </c>
      <c r="BS193" s="12"/>
      <c r="BT193" s="6">
        <f t="shared" si="33"/>
        <v>-254439.61</v>
      </c>
      <c r="BU193" s="12"/>
    </row>
    <row r="194" spans="1:122" s="11" customFormat="1">
      <c r="A194" s="17"/>
      <c r="B194" s="11" t="s">
        <v>121</v>
      </c>
      <c r="J194" s="160"/>
      <c r="L194" s="146" t="s">
        <v>203</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822.91</v>
      </c>
      <c r="AW194" s="12"/>
      <c r="AX194" s="12">
        <f>1450+1015+420+300+562.5+209+1085.4</f>
        <v>5041.8999999999996</v>
      </c>
      <c r="AY194" s="12"/>
      <c r="AZ194" s="12">
        <v>0</v>
      </c>
      <c r="BA194" s="12"/>
      <c r="BB194" s="12">
        <v>0</v>
      </c>
      <c r="BC194" s="12"/>
      <c r="BD194" s="12">
        <v>0</v>
      </c>
      <c r="BE194" s="12"/>
      <c r="BF194" s="12">
        <v>0</v>
      </c>
      <c r="BG194" s="12"/>
      <c r="BH194" s="12">
        <v>0</v>
      </c>
      <c r="BI194" s="12"/>
      <c r="BJ194" s="12">
        <v>0</v>
      </c>
      <c r="BK194" s="12"/>
      <c r="BL194" s="80">
        <f t="shared" si="30"/>
        <v>221731.28999999998</v>
      </c>
      <c r="BM194" s="12"/>
      <c r="BN194" s="12">
        <v>106842</v>
      </c>
      <c r="BO194" s="12"/>
      <c r="BP194" s="6">
        <f t="shared" si="31"/>
        <v>19703.710000000021</v>
      </c>
      <c r="BQ194" s="12"/>
      <c r="BR194" s="6">
        <f t="shared" si="32"/>
        <v>241435</v>
      </c>
      <c r="BS194" s="12"/>
      <c r="BT194" s="6">
        <f t="shared" si="33"/>
        <v>-106842</v>
      </c>
      <c r="BU194" s="12"/>
    </row>
    <row r="195" spans="1:122" s="11" customFormat="1">
      <c r="A195" s="17"/>
      <c r="B195" s="11" t="s">
        <v>490</v>
      </c>
      <c r="J195" s="160"/>
      <c r="L195" s="146"/>
      <c r="M195" s="12"/>
      <c r="N195" s="12"/>
      <c r="O195" s="12"/>
      <c r="P195" s="12"/>
      <c r="Q195" s="12"/>
      <c r="R195" s="6">
        <v>0</v>
      </c>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80">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283</v>
      </c>
      <c r="J196" s="160"/>
      <c r="L196" s="146"/>
      <c r="M196" s="12"/>
      <c r="N196" s="12"/>
      <c r="O196" s="12"/>
      <c r="P196" s="12"/>
      <c r="Q196" s="12"/>
      <c r="R196" s="6">
        <v>0</v>
      </c>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80">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40</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61370.14</v>
      </c>
      <c r="AW197" s="102">
        <f t="shared" si="35"/>
        <v>0</v>
      </c>
      <c r="AX197" s="102">
        <f t="shared" si="35"/>
        <v>73751.409999999989</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1006287.63</v>
      </c>
      <c r="BM197" s="102">
        <f t="shared" ref="BM197:BT197" si="36">SUM(BM191:BM196)</f>
        <v>0</v>
      </c>
      <c r="BN197" s="102">
        <f t="shared" si="36"/>
        <v>402684</v>
      </c>
      <c r="BO197" s="102">
        <f t="shared" si="36"/>
        <v>0</v>
      </c>
      <c r="BP197" s="102">
        <f t="shared" si="36"/>
        <v>19704.690000000002</v>
      </c>
      <c r="BQ197" s="102">
        <f t="shared" si="36"/>
        <v>0</v>
      </c>
      <c r="BR197" s="102">
        <f t="shared" si="36"/>
        <v>1025992.32</v>
      </c>
      <c r="BS197" s="102">
        <f t="shared" si="36"/>
        <v>0</v>
      </c>
      <c r="BT197" s="102">
        <f t="shared" si="36"/>
        <v>-811399.32000000007</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203</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499</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v>49463.67</v>
      </c>
      <c r="AU201" s="12"/>
      <c r="AV201" s="12"/>
      <c r="AW201" s="12"/>
      <c r="AX201" s="12"/>
      <c r="AY201" s="12"/>
      <c r="AZ201" s="12"/>
      <c r="BA201" s="12"/>
      <c r="BB201" s="12"/>
      <c r="BC201" s="12"/>
      <c r="BD201" s="12"/>
      <c r="BE201" s="12"/>
      <c r="BF201" s="12"/>
      <c r="BG201" s="12"/>
      <c r="BH201" s="12"/>
      <c r="BI201" s="12"/>
      <c r="BJ201" s="12"/>
      <c r="BK201" s="12"/>
      <c r="BL201" s="12">
        <f>SUM(T201:BK201)</f>
        <v>301672.13</v>
      </c>
      <c r="BM201" s="12"/>
      <c r="BN201" s="12">
        <v>0</v>
      </c>
      <c r="BO201" s="12"/>
      <c r="BP201" s="6">
        <f>IF(+R201-BL201+BN201&gt;0,R201-BL201+BN201,0)</f>
        <v>0</v>
      </c>
      <c r="BQ201" s="12"/>
      <c r="BR201" s="6">
        <f>+BL201+BP201</f>
        <v>301672.13</v>
      </c>
      <c r="BS201" s="12"/>
      <c r="BT201" s="6">
        <f>+R201-BR201</f>
        <v>-301672.13</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121</v>
      </c>
      <c r="J202" s="160"/>
      <c r="L202" s="146" t="s">
        <v>203</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41</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49463.67</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344979.07</v>
      </c>
      <c r="BM204" s="9"/>
      <c r="BN204" s="102">
        <f>SUM(BN200:BN203)</f>
        <v>0</v>
      </c>
      <c r="BO204" s="9"/>
      <c r="BP204" s="102">
        <f>SUM(BP200:BP203)</f>
        <v>213444.06</v>
      </c>
      <c r="BQ204" s="9"/>
      <c r="BR204" s="102">
        <f>SUM(BR200:BR203)</f>
        <v>558423.13</v>
      </c>
      <c r="BS204" s="9"/>
      <c r="BT204" s="102">
        <f>SUM(BT200:BT203)</f>
        <v>-301672.13</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249</v>
      </c>
      <c r="J206" s="159"/>
      <c r="L206" s="145" t="s">
        <v>202</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f>[1]Wilton!$P$40</f>
        <v>891069.81590450753</v>
      </c>
      <c r="AU206" s="10"/>
      <c r="AV206" s="10">
        <f>[1]Wilton!$Q$40</f>
        <v>1048965.8687712126</v>
      </c>
      <c r="AW206" s="10"/>
      <c r="AX206" s="10">
        <v>0</v>
      </c>
      <c r="AY206" s="10"/>
      <c r="AZ206" s="10">
        <v>0</v>
      </c>
      <c r="BA206" s="10"/>
      <c r="BB206" s="10">
        <v>0</v>
      </c>
      <c r="BC206" s="10"/>
      <c r="BD206" s="10">
        <v>0</v>
      </c>
      <c r="BE206" s="10"/>
      <c r="BF206" s="10">
        <v>0</v>
      </c>
      <c r="BG206" s="10"/>
      <c r="BH206" s="10">
        <v>0</v>
      </c>
      <c r="BI206" s="10"/>
      <c r="BJ206" s="10">
        <v>0</v>
      </c>
      <c r="BK206" s="10"/>
      <c r="BL206" s="10">
        <f>SUM(T206:BK206)</f>
        <v>7223533.1999205276</v>
      </c>
      <c r="BM206" s="10"/>
      <c r="BN206" s="10">
        <v>0</v>
      </c>
      <c r="BO206" s="10"/>
      <c r="BP206" s="6">
        <f>IF(+R206-BL206+BN206&gt;0,R206-BL206+BN206,0)-R206+[1]Wilton!$Y$40</f>
        <v>5044964.6144048218</v>
      </c>
      <c r="BQ206" s="10"/>
      <c r="BR206" s="9">
        <f>+BL206+BP206</f>
        <v>12268497.814325349</v>
      </c>
      <c r="BS206" s="10"/>
      <c r="BT206" s="9">
        <f>+R206-BR206</f>
        <v>539626.18567465059</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248</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1294710.1259045072</v>
      </c>
      <c r="AU208" s="120">
        <f t="shared" si="37"/>
        <v>0</v>
      </c>
      <c r="AV208" s="120">
        <f t="shared" si="37"/>
        <v>1582025.6787712125</v>
      </c>
      <c r="AW208" s="120">
        <f t="shared" si="37"/>
        <v>0</v>
      </c>
      <c r="AX208" s="120">
        <f t="shared" si="37"/>
        <v>384239.41</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12994390.539920527</v>
      </c>
      <c r="BM208" s="120">
        <f t="shared" si="37"/>
        <v>0</v>
      </c>
      <c r="BN208" s="120">
        <f t="shared" si="37"/>
        <v>3628502</v>
      </c>
      <c r="BO208" s="120">
        <f t="shared" si="37"/>
        <v>0</v>
      </c>
      <c r="BP208" s="120">
        <f t="shared" si="37"/>
        <v>16447480.314404823</v>
      </c>
      <c r="BQ208" s="120">
        <f t="shared" si="37"/>
        <v>0</v>
      </c>
      <c r="BR208" s="120">
        <f t="shared" si="37"/>
        <v>29441870.854325347</v>
      </c>
      <c r="BS208" s="120">
        <f t="shared" si="37"/>
        <v>0</v>
      </c>
      <c r="BT208" s="120">
        <f>BT206+BT197+BT188+BT186+BT184+BT178+BT174+BT167+BT160+BT158+BT156+BT154+BT152+BT204+BT176</f>
        <v>-4469735.8543253504</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190</v>
      </c>
      <c r="B210" s="31"/>
      <c r="J210" s="8"/>
      <c r="L210" s="143" t="s">
        <v>202</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253</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2943898.2559045074</v>
      </c>
      <c r="AU213" s="168">
        <f t="shared" si="39"/>
        <v>0</v>
      </c>
      <c r="AV213" s="168">
        <f t="shared" si="39"/>
        <v>29327061.258771211</v>
      </c>
      <c r="AW213" s="168">
        <f t="shared" si="39"/>
        <v>0</v>
      </c>
      <c r="AX213" s="168">
        <f t="shared" si="39"/>
        <v>3641123.3600000003</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198790128.85325387</v>
      </c>
      <c r="BM213" s="168">
        <f t="shared" si="39"/>
        <v>2030320</v>
      </c>
      <c r="BN213" s="168">
        <f t="shared" si="39"/>
        <v>9056102</v>
      </c>
      <c r="BO213" s="168">
        <f t="shared" si="39"/>
        <v>2030320</v>
      </c>
      <c r="BP213" s="168">
        <f t="shared" si="39"/>
        <v>56299981.00107149</v>
      </c>
      <c r="BQ213" s="168">
        <f t="shared" si="39"/>
        <v>2030320</v>
      </c>
      <c r="BR213" s="168">
        <f t="shared" si="39"/>
        <v>255090109.85432535</v>
      </c>
      <c r="BS213" s="168">
        <f t="shared" si="39"/>
        <v>2030320</v>
      </c>
      <c r="BT213" s="168">
        <f t="shared" si="39"/>
        <v>-12347884.10432535</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251</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419556.10173408774</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219</v>
      </c>
      <c r="B216" s="31"/>
      <c r="J216" s="8"/>
      <c r="L216" s="143" t="s">
        <v>202</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369</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269</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252</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2943898.2559045074</v>
      </c>
      <c r="AU222" s="10">
        <f t="shared" si="40"/>
        <v>0</v>
      </c>
      <c r="AV222" s="10">
        <f t="shared" si="40"/>
        <v>29327061.258771211</v>
      </c>
      <c r="AW222" s="10">
        <f t="shared" si="40"/>
        <v>0</v>
      </c>
      <c r="AX222" s="10">
        <f t="shared" si="40"/>
        <v>3641123.3600000003</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198635499.36325386</v>
      </c>
      <c r="BM222" s="10">
        <f>BM213+BM216+BM218</f>
        <v>2030320</v>
      </c>
      <c r="BN222" s="10">
        <f>BN213+BN216+BN218</f>
        <v>9056102</v>
      </c>
      <c r="BO222" s="10">
        <f>BO213+BO216+BO218</f>
        <v>2030320</v>
      </c>
      <c r="BP222" s="6">
        <f>IF(+R222-BL222+BN222&gt;0,R222-BL222+BN222,0)</f>
        <v>53100251.386746138</v>
      </c>
      <c r="BQ222" s="10">
        <f>BQ213+BQ216+BQ218</f>
        <v>2030320</v>
      </c>
      <c r="BR222" s="10">
        <f>BR213+BR216+BR218+BR220</f>
        <v>254935480.36432534</v>
      </c>
      <c r="BS222" s="10">
        <f>BS213+BS216+BS218</f>
        <v>2030320</v>
      </c>
      <c r="BT222" s="10">
        <f>BT213+BT216+BT218</f>
        <v>-12347884.10432535</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75">
      <c r="A225" s="131" t="s">
        <v>196</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203</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203</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198</v>
      </c>
      <c r="C229"/>
      <c r="D229"/>
      <c r="E229"/>
      <c r="F229"/>
      <c r="G229"/>
      <c r="H229"/>
      <c r="I229"/>
      <c r="J229" s="49"/>
      <c r="K229"/>
      <c r="L229" s="134" t="s">
        <v>203</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5" thickBot="1">
      <c r="A231" s="128" t="s">
        <v>197</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5"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588</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2943898.2559045074</v>
      </c>
      <c r="AU236" s="121">
        <f t="shared" si="44"/>
        <v>0</v>
      </c>
      <c r="AV236" s="121">
        <f t="shared" si="44"/>
        <v>29327061.258771211</v>
      </c>
      <c r="AW236" s="121">
        <f t="shared" si="44"/>
        <v>0</v>
      </c>
      <c r="AX236" s="121">
        <f t="shared" si="44"/>
        <v>3641123.3600000003</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198935023.63325387</v>
      </c>
      <c r="BM236" s="121">
        <f t="shared" si="44"/>
        <v>2030320</v>
      </c>
      <c r="BN236" s="121">
        <f t="shared" si="44"/>
        <v>9056102</v>
      </c>
      <c r="BO236" s="121">
        <f t="shared" si="44"/>
        <v>2030320</v>
      </c>
      <c r="BP236" s="121">
        <f t="shared" si="44"/>
        <v>53100251.386746138</v>
      </c>
      <c r="BQ236" s="121">
        <f t="shared" si="44"/>
        <v>2030320</v>
      </c>
      <c r="BR236" s="121">
        <f t="shared" si="44"/>
        <v>255235004.63432536</v>
      </c>
      <c r="BS236" s="121">
        <f t="shared" si="44"/>
        <v>2030320</v>
      </c>
      <c r="BT236" s="121">
        <f t="shared" si="44"/>
        <v>-12347884.10432535</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tabSelected="1" zoomScale="85" zoomScaleNormal="75" workbookViewId="0">
      <pane xSplit="19" ySplit="8" topLeftCell="AO9" activePane="bottomRight" state="frozen"/>
      <selection activeCell="A4" sqref="A4"/>
      <selection pane="topRight" activeCell="A4" sqref="A4"/>
      <selection pane="bottomLeft" activeCell="A4" sqref="A4"/>
      <selection pane="bottomRight" activeCell="A4" sqref="A4"/>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- 032900.xls]Gleason</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36613.377524768519</v>
      </c>
      <c r="BT3" s="23"/>
      <c r="BV3" s="78" t="str">
        <f>Summary!A5</f>
        <v>Revision # 51</v>
      </c>
    </row>
    <row r="4" spans="1:76" s="18" customFormat="1" ht="15.75">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3/24/00</v>
      </c>
      <c r="U7" s="96"/>
      <c r="V7" s="82" t="str">
        <f>+Summary!$O$4</f>
        <v xml:space="preserve"> As of 3/24/00</v>
      </c>
      <c r="W7" s="69"/>
      <c r="X7" s="82" t="str">
        <f>+Summary!$O$4</f>
        <v xml:space="preserve"> As of 3/24/00</v>
      </c>
      <c r="Y7" s="69"/>
      <c r="Z7" s="82" t="str">
        <f>+Summary!$O$4</f>
        <v xml:space="preserve"> As of 3/24/00</v>
      </c>
      <c r="AA7" s="69"/>
      <c r="AB7" s="82" t="str">
        <f>+Summary!$O$4</f>
        <v xml:space="preserve"> As of 3/24/00</v>
      </c>
      <c r="AC7" s="69"/>
      <c r="AD7" s="82" t="str">
        <f>+Summary!$O$4</f>
        <v xml:space="preserve"> As of 3/24/00</v>
      </c>
      <c r="AE7" s="69"/>
      <c r="AF7" s="82" t="str">
        <f>+Summary!$O$4</f>
        <v xml:space="preserve"> As of 3/24/00</v>
      </c>
      <c r="AG7" s="69"/>
      <c r="AH7" s="82" t="str">
        <f>+Summary!$O$4</f>
        <v xml:space="preserve"> As of 3/24/00</v>
      </c>
      <c r="AI7" s="69"/>
      <c r="AJ7" s="82" t="str">
        <f>+Summary!$O$4</f>
        <v xml:space="preserve"> As of 3/24/00</v>
      </c>
      <c r="AK7" s="69"/>
      <c r="AL7" s="82" t="str">
        <f>+Summary!$O$4</f>
        <v xml:space="preserve"> As of 3/24/00</v>
      </c>
      <c r="AM7" s="69"/>
      <c r="AN7" s="82" t="str">
        <f>+Summary!$O$4</f>
        <v xml:space="preserve"> As of 3/24/00</v>
      </c>
      <c r="AO7" s="69"/>
      <c r="AP7" s="82" t="str">
        <f>+Summary!$O$4</f>
        <v xml:space="preserve"> As of 3/24/00</v>
      </c>
      <c r="AQ7" s="69"/>
      <c r="AR7" s="82" t="str">
        <f>+Summary!$O$4</f>
        <v xml:space="preserve"> As of 3/24/00</v>
      </c>
      <c r="AS7" s="69"/>
      <c r="AT7" s="82" t="str">
        <f>+Summary!$O$4</f>
        <v xml:space="preserve"> As of 3/24/00</v>
      </c>
      <c r="AU7" s="69"/>
      <c r="AV7" s="82" t="str">
        <f>+Summary!$O$4</f>
        <v xml:space="preserve"> As of 3/24/00</v>
      </c>
      <c r="AW7" s="82"/>
      <c r="AX7" s="82" t="str">
        <f>+Summary!$O$4</f>
        <v xml:space="preserve"> As of 3/24/00</v>
      </c>
      <c r="AY7" s="82"/>
      <c r="AZ7" s="82" t="str">
        <f>+Summary!$O$4</f>
        <v xml:space="preserve"> As of 3/24/00</v>
      </c>
      <c r="BA7" s="82"/>
      <c r="BB7" s="82" t="str">
        <f>+Summary!$O$4</f>
        <v xml:space="preserve"> As of 3/24/00</v>
      </c>
      <c r="BC7" s="82"/>
      <c r="BD7" s="82" t="str">
        <f>+Summary!$O$4</f>
        <v xml:space="preserve"> As of 3/24/00</v>
      </c>
      <c r="BE7" s="82"/>
      <c r="BF7" s="82" t="str">
        <f>+Summary!$O$4</f>
        <v xml:space="preserve"> As of 3/24/00</v>
      </c>
      <c r="BG7" s="82"/>
      <c r="BH7" s="82" t="str">
        <f>+Summary!$O$4</f>
        <v xml:space="preserve"> As of 3/24/00</v>
      </c>
      <c r="BI7" s="82"/>
      <c r="BJ7" s="82" t="str">
        <f>+Summary!$O$4</f>
        <v xml:space="preserve"> As of 3/24/00</v>
      </c>
      <c r="BK7" s="82"/>
      <c r="BL7" s="82" t="str">
        <f>+Summary!$O$4</f>
        <v xml:space="preserve"> As of 3/24/00</v>
      </c>
      <c r="BN7" s="71" t="str">
        <f>+Summary!$O$4</f>
        <v xml:space="preserve"> As of 3/24/00</v>
      </c>
      <c r="BP7" s="64" t="str">
        <f>+Summary!$O$4</f>
        <v xml:space="preserve"> As of 3/24/00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497</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582</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583</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489</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326"/>
  <sheetViews>
    <sheetView tabSelected="1" zoomScale="80" zoomScaleNormal="66" workbookViewId="0">
      <pane xSplit="19" ySplit="8" topLeftCell="BN9" activePane="bottomRight" state="frozen"/>
      <selection activeCell="A4" sqref="A4"/>
      <selection pane="topRight" activeCell="A4" sqref="A4"/>
      <selection pane="bottomLeft" activeCell="A4" sqref="A4"/>
      <selection pane="bottomRight" activeCell="A4" sqref="A4"/>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0.8554687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0.7109375" style="6" hidden="1" customWidth="1"/>
    <col min="36" max="36" width="18.2851562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498</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- 032900.xls]Gleason</v>
      </c>
    </row>
    <row r="3" spans="1:76" s="18" customFormat="1" ht="15.75">
      <c r="A3" s="99" t="s">
        <v>295</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36613.377524768519</v>
      </c>
      <c r="BT3" s="23"/>
      <c r="BV3" s="78" t="str">
        <f>Summary!A5</f>
        <v>Revision # 51</v>
      </c>
    </row>
    <row r="4" spans="1:76" s="18" customFormat="1" ht="15.75">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293</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str">
        <f>Summary!E9</f>
        <v>as of 7/22/99</v>
      </c>
      <c r="O7" s="129"/>
      <c r="P7" s="69"/>
      <c r="R7" s="82" t="str">
        <f>+Summary!E9</f>
        <v>as of 7/22/99</v>
      </c>
      <c r="T7" s="82" t="str">
        <f>+Summary!$O$4</f>
        <v xml:space="preserve"> As of 3/24/00</v>
      </c>
      <c r="U7" s="96"/>
      <c r="V7" s="82" t="str">
        <f>+Summary!$O$4</f>
        <v xml:space="preserve"> As of 3/24/00</v>
      </c>
      <c r="W7" s="69"/>
      <c r="X7" s="82" t="str">
        <f>+Summary!$O$4</f>
        <v xml:space="preserve"> As of 3/24/00</v>
      </c>
      <c r="Y7" s="69"/>
      <c r="Z7" s="82" t="str">
        <f>+Summary!$O$4</f>
        <v xml:space="preserve"> As of 3/24/00</v>
      </c>
      <c r="AA7" s="69"/>
      <c r="AB7" s="82" t="str">
        <f>+Summary!$O$4</f>
        <v xml:space="preserve"> As of 3/24/00</v>
      </c>
      <c r="AC7" s="69"/>
      <c r="AD7" s="82" t="str">
        <f>+Summary!$O$4</f>
        <v xml:space="preserve"> As of 3/24/00</v>
      </c>
      <c r="AE7" s="69"/>
      <c r="AF7" s="82" t="str">
        <f>+Summary!$O$4</f>
        <v xml:space="preserve"> As of 3/24/00</v>
      </c>
      <c r="AG7" s="69"/>
      <c r="AH7" s="82" t="str">
        <f>+Summary!$O$4</f>
        <v xml:space="preserve"> As of 3/24/00</v>
      </c>
      <c r="AI7" s="69"/>
      <c r="AJ7" s="82" t="str">
        <f>+Summary!$O$4</f>
        <v xml:space="preserve"> As of 3/24/00</v>
      </c>
      <c r="AK7" s="69"/>
      <c r="AL7" s="82" t="str">
        <f>+Summary!$O$4</f>
        <v xml:space="preserve"> As of 3/24/00</v>
      </c>
      <c r="AM7" s="69"/>
      <c r="AN7" s="82" t="str">
        <f>+Summary!$O$4</f>
        <v xml:space="preserve"> As of 3/24/00</v>
      </c>
      <c r="AO7" s="69"/>
      <c r="AP7" s="82" t="str">
        <f>+Summary!$O$4</f>
        <v xml:space="preserve"> As of 3/24/00</v>
      </c>
      <c r="AQ7" s="69"/>
      <c r="AR7" s="82" t="str">
        <f>+Summary!$O$4</f>
        <v xml:space="preserve"> As of 3/24/00</v>
      </c>
      <c r="AS7" s="69"/>
      <c r="AT7" s="82" t="str">
        <f>+Summary!$O$4</f>
        <v xml:space="preserve"> As of 3/24/00</v>
      </c>
      <c r="AU7" s="69"/>
      <c r="AV7" s="82" t="str">
        <f>+Summary!$O$4</f>
        <v xml:space="preserve"> As of 3/24/00</v>
      </c>
      <c r="AW7" s="82"/>
      <c r="AX7" s="82" t="str">
        <f>+Summary!$O$4</f>
        <v xml:space="preserve"> As of 3/24/00</v>
      </c>
      <c r="AY7" s="82"/>
      <c r="AZ7" s="82" t="str">
        <f>+Summary!$O$4</f>
        <v xml:space="preserve"> As of 3/24/00</v>
      </c>
      <c r="BA7" s="82"/>
      <c r="BB7" s="82" t="str">
        <f>+Summary!$O$4</f>
        <v xml:space="preserve"> As of 3/24/00</v>
      </c>
      <c r="BC7" s="82"/>
      <c r="BD7" s="82" t="str">
        <f>+Summary!$O$4</f>
        <v xml:space="preserve"> As of 3/24/00</v>
      </c>
      <c r="BE7" s="82"/>
      <c r="BF7" s="82" t="str">
        <f>+Summary!$O$4</f>
        <v xml:space="preserve"> As of 3/24/00</v>
      </c>
      <c r="BG7" s="82"/>
      <c r="BH7" s="82" t="str">
        <f>+Summary!$O$4</f>
        <v xml:space="preserve"> As of 3/24/00</v>
      </c>
      <c r="BI7" s="82"/>
      <c r="BJ7" s="82" t="str">
        <f>+Summary!$O$4</f>
        <v xml:space="preserve"> As of 3/24/00</v>
      </c>
      <c r="BK7" s="82"/>
      <c r="BL7" s="82" t="str">
        <f>+Summary!$O$4</f>
        <v xml:space="preserve"> As of 3/24/00</v>
      </c>
      <c r="BN7" s="71" t="str">
        <f>+Summary!$O$4</f>
        <v xml:space="preserve"> As of 3/24/00</v>
      </c>
      <c r="BP7" s="64" t="str">
        <f>+Summary!$O$4</f>
        <v xml:space="preserve"> As of 3/24/00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0</v>
      </c>
      <c r="BF9" s="6">
        <v>0</v>
      </c>
      <c r="BH9" s="6">
        <v>0</v>
      </c>
      <c r="BJ9" s="6">
        <v>0</v>
      </c>
      <c r="BL9" s="6">
        <v>0</v>
      </c>
      <c r="BM9" s="6"/>
      <c r="BN9" s="6">
        <f t="shared" ref="BN9:BN14" si="0">SUM(T9:BM9)</f>
        <v>59016420</v>
      </c>
      <c r="BO9" s="6"/>
      <c r="BP9" s="6">
        <f>436901+900+90800-52600-105480+59734</f>
        <v>430255</v>
      </c>
      <c r="BQ9" s="6"/>
      <c r="BR9" s="6">
        <f t="shared" ref="BR9:BR15" si="1">IF(+R9-BN9+BP9&gt;0,R9-BN9+BP9,0)</f>
        <v>3558835</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88749369</v>
      </c>
      <c r="BO16" s="6"/>
      <c r="BP16" s="101">
        <f>SUM(BP9:BP15)</f>
        <v>1981044</v>
      </c>
      <c r="BQ16" s="6"/>
      <c r="BR16" s="101">
        <f>SUM(BR9:BR15)</f>
        <v>6811675</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1240525</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93655317.599999994</v>
      </c>
      <c r="BO37" s="115"/>
      <c r="BP37" s="115">
        <f>+BP35+BP16</f>
        <v>1981044</v>
      </c>
      <c r="BQ37" s="115"/>
      <c r="BR37" s="115">
        <f>+BR35+BR16</f>
        <v>7930337.4000000004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310</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298</v>
      </c>
      <c r="C43"/>
      <c r="D43"/>
      <c r="E43"/>
      <c r="F43"/>
      <c r="G43"/>
      <c r="H43"/>
      <c r="I43"/>
      <c r="J43" s="49" t="s">
        <v>229</v>
      </c>
      <c r="K43"/>
      <c r="L43" s="134" t="s">
        <v>202</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299</v>
      </c>
      <c r="C44"/>
      <c r="D44"/>
      <c r="E44"/>
      <c r="F44"/>
      <c r="G44"/>
      <c r="H44"/>
      <c r="I44"/>
      <c r="J44" s="49" t="s">
        <v>229</v>
      </c>
      <c r="K44"/>
      <c r="L44" s="134" t="s">
        <v>202</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300</v>
      </c>
      <c r="C45"/>
      <c r="D45"/>
      <c r="E45"/>
      <c r="F45"/>
      <c r="G45"/>
      <c r="H45"/>
      <c r="I45"/>
      <c r="J45" s="49" t="s">
        <v>229</v>
      </c>
      <c r="K45"/>
      <c r="L45" s="134" t="s">
        <v>202</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301</v>
      </c>
      <c r="C46"/>
      <c r="D46"/>
      <c r="E46"/>
      <c r="F46"/>
      <c r="G46"/>
      <c r="H46"/>
      <c r="I46"/>
      <c r="J46" s="49" t="s">
        <v>229</v>
      </c>
      <c r="K46"/>
      <c r="L46" s="134" t="s">
        <v>202</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302</v>
      </c>
      <c r="C47"/>
      <c r="D47"/>
      <c r="E47"/>
      <c r="F47"/>
      <c r="G47"/>
      <c r="H47"/>
      <c r="I47"/>
      <c r="J47" s="49" t="s">
        <v>229</v>
      </c>
      <c r="K47"/>
      <c r="L47" s="134" t="s">
        <v>202</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303</v>
      </c>
      <c r="C48"/>
      <c r="D48"/>
      <c r="E48"/>
      <c r="F48"/>
      <c r="G48"/>
      <c r="H48"/>
      <c r="I48"/>
      <c r="J48" s="49" t="s">
        <v>229</v>
      </c>
      <c r="K48"/>
      <c r="L48" s="134" t="s">
        <v>202</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304</v>
      </c>
      <c r="C49"/>
      <c r="D49"/>
      <c r="E49"/>
      <c r="F49"/>
      <c r="G49"/>
      <c r="H49"/>
      <c r="I49"/>
      <c r="J49" s="49" t="s">
        <v>229</v>
      </c>
      <c r="K49"/>
      <c r="L49" s="134" t="s">
        <v>202</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305</v>
      </c>
      <c r="C50"/>
      <c r="D50"/>
      <c r="E50"/>
      <c r="F50"/>
      <c r="G50"/>
      <c r="H50"/>
      <c r="I50"/>
      <c r="J50" s="49" t="s">
        <v>229</v>
      </c>
      <c r="K50"/>
      <c r="L50" s="134" t="s">
        <v>202</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306</v>
      </c>
      <c r="C51"/>
      <c r="D51"/>
      <c r="E51"/>
      <c r="F51"/>
      <c r="G51"/>
      <c r="H51"/>
      <c r="I51"/>
      <c r="J51" s="49" t="s">
        <v>229</v>
      </c>
      <c r="K51"/>
      <c r="L51" s="134" t="s">
        <v>202</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307</v>
      </c>
      <c r="C52"/>
      <c r="D52"/>
      <c r="E52"/>
      <c r="F52"/>
      <c r="G52"/>
      <c r="H52"/>
      <c r="I52"/>
      <c r="J52" s="49" t="s">
        <v>229</v>
      </c>
      <c r="K52"/>
      <c r="L52" s="134" t="s">
        <v>202</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536</v>
      </c>
      <c r="C53"/>
      <c r="D53"/>
      <c r="E53"/>
      <c r="F53"/>
      <c r="G53"/>
      <c r="H53"/>
      <c r="I53"/>
      <c r="J53" s="49" t="s">
        <v>229</v>
      </c>
      <c r="K53"/>
      <c r="L53" s="134" t="s">
        <v>202</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308</v>
      </c>
      <c r="C54"/>
      <c r="D54"/>
      <c r="E54"/>
      <c r="F54"/>
      <c r="G54"/>
      <c r="H54"/>
      <c r="I54"/>
      <c r="J54" s="49" t="s">
        <v>229</v>
      </c>
      <c r="K54"/>
      <c r="L54" s="134" t="s">
        <v>202</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190</v>
      </c>
      <c r="C55"/>
      <c r="D55"/>
      <c r="E55"/>
      <c r="F55"/>
      <c r="G55"/>
      <c r="H55"/>
      <c r="I55"/>
      <c r="J55" s="49" t="s">
        <v>229</v>
      </c>
      <c r="K55"/>
      <c r="L55" s="134" t="s">
        <v>202</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309</v>
      </c>
      <c r="C56"/>
      <c r="D56"/>
      <c r="E56"/>
      <c r="F56"/>
      <c r="G56"/>
      <c r="H56"/>
      <c r="I56"/>
      <c r="J56" s="49"/>
      <c r="K56"/>
      <c r="L56" s="134" t="s">
        <v>202</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537</v>
      </c>
      <c r="C57"/>
      <c r="D57"/>
      <c r="E57"/>
      <c r="F57"/>
      <c r="G57"/>
      <c r="H57"/>
      <c r="I57"/>
      <c r="J57" s="49"/>
      <c r="K57"/>
      <c r="L57" s="134" t="s">
        <v>202</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539</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560</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202</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330</v>
      </c>
      <c r="J61" s="8"/>
      <c r="L61" s="143" t="s">
        <v>202</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331</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311</v>
      </c>
      <c r="C64"/>
      <c r="D64"/>
      <c r="E64"/>
      <c r="F64"/>
      <c r="G64"/>
      <c r="H64"/>
      <c r="I64"/>
      <c r="J64" s="49" t="s">
        <v>229</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312</v>
      </c>
      <c r="C65"/>
      <c r="D65"/>
      <c r="E65"/>
      <c r="F65"/>
      <c r="G65"/>
      <c r="H65"/>
      <c r="I65"/>
      <c r="J65" s="49" t="s">
        <v>229</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313</v>
      </c>
      <c r="C66"/>
      <c r="D66"/>
      <c r="E66"/>
      <c r="F66"/>
      <c r="G66"/>
      <c r="H66"/>
      <c r="I66"/>
      <c r="J66" s="49" t="s">
        <v>229</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314</v>
      </c>
      <c r="C67"/>
      <c r="D67"/>
      <c r="E67"/>
      <c r="F67"/>
      <c r="G67"/>
      <c r="H67"/>
      <c r="I67"/>
      <c r="J67" s="49" t="s">
        <v>229</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315</v>
      </c>
      <c r="C68"/>
      <c r="D68"/>
      <c r="E68"/>
      <c r="F68"/>
      <c r="G68"/>
      <c r="H68"/>
      <c r="I68"/>
      <c r="J68" s="49" t="s">
        <v>229</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316</v>
      </c>
      <c r="C69"/>
      <c r="D69"/>
      <c r="E69"/>
      <c r="F69"/>
      <c r="G69"/>
      <c r="H69"/>
      <c r="I69"/>
      <c r="J69" s="49" t="s">
        <v>229</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317</v>
      </c>
      <c r="C70"/>
      <c r="D70"/>
      <c r="E70"/>
      <c r="F70"/>
      <c r="G70"/>
      <c r="H70"/>
      <c r="I70"/>
      <c r="J70" s="49" t="s">
        <v>229</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318</v>
      </c>
      <c r="C71"/>
      <c r="D71"/>
      <c r="E71"/>
      <c r="F71"/>
      <c r="G71"/>
      <c r="H71"/>
      <c r="I71"/>
      <c r="J71" s="49" t="s">
        <v>229</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319</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320</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321</v>
      </c>
      <c r="C74"/>
      <c r="D74"/>
      <c r="E74"/>
      <c r="F74"/>
      <c r="G74"/>
      <c r="H74"/>
      <c r="I74"/>
      <c r="J74" s="49" t="s">
        <v>229</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322</v>
      </c>
      <c r="C75"/>
      <c r="D75"/>
      <c r="E75"/>
      <c r="F75"/>
      <c r="G75"/>
      <c r="H75"/>
      <c r="I75"/>
      <c r="J75" s="49" t="s">
        <v>229</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149</v>
      </c>
      <c r="C76"/>
      <c r="D76"/>
      <c r="E76"/>
      <c r="F76"/>
      <c r="G76"/>
      <c r="H76"/>
      <c r="I76"/>
      <c r="J76" s="49" t="s">
        <v>229</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55</v>
      </c>
      <c r="C77"/>
      <c r="D77"/>
      <c r="E77"/>
      <c r="F77"/>
      <c r="G77"/>
      <c r="H77"/>
      <c r="I77"/>
      <c r="J77" s="49" t="s">
        <v>229</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323</v>
      </c>
      <c r="C78"/>
      <c r="D78"/>
      <c r="E78"/>
      <c r="F78"/>
      <c r="G78"/>
      <c r="H78"/>
      <c r="I78"/>
      <c r="J78" s="49" t="s">
        <v>229</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324</v>
      </c>
      <c r="C79"/>
      <c r="D79"/>
      <c r="E79"/>
      <c r="F79"/>
      <c r="G79"/>
      <c r="H79"/>
      <c r="I79"/>
      <c r="J79" s="49" t="s">
        <v>229</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52</v>
      </c>
      <c r="C80"/>
      <c r="D80"/>
      <c r="E80"/>
      <c r="F80"/>
      <c r="G80"/>
      <c r="H80"/>
      <c r="I80"/>
      <c r="J80" s="49" t="s">
        <v>229</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366</v>
      </c>
      <c r="C81"/>
      <c r="D81"/>
      <c r="E81"/>
      <c r="F81"/>
      <c r="G81"/>
      <c r="H81"/>
      <c r="I81"/>
      <c r="J81" s="49" t="s">
        <v>229</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174</v>
      </c>
      <c r="C82"/>
      <c r="D82"/>
      <c r="E82"/>
      <c r="F82"/>
      <c r="G82"/>
      <c r="H82"/>
      <c r="I82"/>
      <c r="J82" s="49" t="s">
        <v>229</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325</v>
      </c>
      <c r="C83"/>
      <c r="D83"/>
      <c r="E83"/>
      <c r="F83"/>
      <c r="G83"/>
      <c r="H83"/>
      <c r="I83"/>
      <c r="J83" s="49" t="s">
        <v>229</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326</v>
      </c>
      <c r="C84"/>
      <c r="D84"/>
      <c r="E84"/>
      <c r="F84"/>
      <c r="G84"/>
      <c r="H84"/>
      <c r="I84"/>
      <c r="J84" s="49" t="s">
        <v>229</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367</v>
      </c>
      <c r="C85"/>
      <c r="D85"/>
      <c r="E85"/>
      <c r="F85"/>
      <c r="G85"/>
      <c r="H85"/>
      <c r="I85"/>
      <c r="J85" s="49" t="s">
        <v>229</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327</v>
      </c>
      <c r="C86"/>
      <c r="D86"/>
      <c r="E86"/>
      <c r="F86"/>
      <c r="G86"/>
      <c r="H86"/>
      <c r="I86"/>
      <c r="J86" s="49" t="s">
        <v>229</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368</v>
      </c>
      <c r="C87"/>
      <c r="D87"/>
      <c r="E87"/>
      <c r="F87"/>
      <c r="G87"/>
      <c r="H87"/>
      <c r="I87"/>
      <c r="J87" s="49" t="s">
        <v>229</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329</v>
      </c>
      <c r="C88"/>
      <c r="D88"/>
      <c r="E88"/>
      <c r="F88"/>
      <c r="G88"/>
      <c r="H88"/>
      <c r="I88"/>
      <c r="J88" s="49" t="s">
        <v>229</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332</v>
      </c>
      <c r="J89" s="8"/>
      <c r="L89" s="143" t="s">
        <v>202</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360</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333</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334</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335</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336</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337</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338</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339</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340</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341</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371</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342</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343</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344</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345</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346</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347</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348</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349</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350</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351</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352</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365</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353</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354</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355</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356</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357</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358</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361</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363</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67</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362</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541</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364</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v>6512226</v>
      </c>
      <c r="AY131" s="9"/>
      <c r="AZ131" s="9"/>
      <c r="BA131" s="9"/>
      <c r="BB131" s="9"/>
      <c r="BC131" s="9"/>
      <c r="BD131" s="9"/>
      <c r="BE131" s="9"/>
      <c r="BF131" s="9"/>
      <c r="BG131" s="9"/>
      <c r="BH131" s="9"/>
      <c r="BI131" s="9"/>
      <c r="BJ131" s="9"/>
      <c r="BK131" s="9"/>
      <c r="BL131" s="9"/>
      <c r="BM131" s="9"/>
      <c r="BN131" s="6">
        <f>SUM(T131:BM131)</f>
        <v>11807431.559999999</v>
      </c>
      <c r="BO131" s="9"/>
      <c r="BP131" s="9"/>
      <c r="BQ131" s="9"/>
      <c r="BR131" s="9">
        <v>-11807432</v>
      </c>
      <c r="BS131" s="9"/>
      <c r="BT131" s="6">
        <f>+BN131+BR131</f>
        <v>-0.44000000134110451</v>
      </c>
      <c r="BU131" s="9"/>
      <c r="BV131" s="6">
        <f>+R131-BT131</f>
        <v>0.44000000134110451</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243</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6512226</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17861463.559999999</v>
      </c>
      <c r="BO133" s="246">
        <f t="shared" si="29"/>
        <v>0</v>
      </c>
      <c r="BP133" s="246">
        <f t="shared" si="29"/>
        <v>6561239</v>
      </c>
      <c r="BQ133" s="246">
        <f t="shared" si="29"/>
        <v>0</v>
      </c>
      <c r="BR133" s="246">
        <f t="shared" si="29"/>
        <v>28874170</v>
      </c>
      <c r="BS133" s="246">
        <f t="shared" si="29"/>
        <v>0</v>
      </c>
      <c r="BT133" s="246">
        <f t="shared" si="29"/>
        <v>45601413.560000002</v>
      </c>
      <c r="BU133" s="246">
        <f t="shared" si="29"/>
        <v>0</v>
      </c>
      <c r="BV133" s="246">
        <f t="shared" si="29"/>
        <v>-3860013.5599999987</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227</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228</v>
      </c>
      <c r="C136"/>
      <c r="D136"/>
      <c r="E136"/>
      <c r="F136"/>
      <c r="G136"/>
      <c r="H136"/>
      <c r="I136"/>
      <c r="J136" s="49" t="s">
        <v>236</v>
      </c>
      <c r="K136"/>
      <c r="L136" s="134" t="s">
        <v>202</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77483.34</v>
      </c>
      <c r="AZ136" s="6">
        <v>77483.33</v>
      </c>
      <c r="BB136" s="6">
        <v>0</v>
      </c>
      <c r="BD136" s="6">
        <v>0</v>
      </c>
      <c r="BF136" s="6">
        <v>0</v>
      </c>
      <c r="BH136" s="6">
        <v>0</v>
      </c>
      <c r="BJ136" s="6">
        <v>0</v>
      </c>
      <c r="BL136" s="6">
        <v>0</v>
      </c>
      <c r="BM136" s="6"/>
      <c r="BN136" s="6">
        <f t="shared" ref="BN136:BN141" si="30">SUM(T136:BM136)</f>
        <v>697350.00999999989</v>
      </c>
      <c r="BO136" s="6"/>
      <c r="BP136" s="6">
        <v>0</v>
      </c>
      <c r="BQ136" s="6"/>
      <c r="BR136" s="6">
        <f t="shared" ref="BR136:BR142" si="31">IF(+R136-BN136+BP136&gt;0,R136-BN136+BP136,0)</f>
        <v>232449.99000000011</v>
      </c>
      <c r="BT136" s="6">
        <f t="shared" ref="BT136:BT141" si="32">+BN136+BR136</f>
        <v>929800</v>
      </c>
      <c r="BV136" s="6">
        <f t="shared" ref="BV136:BV141" si="33">+R136-BT136</f>
        <v>0</v>
      </c>
      <c r="BW136" s="6"/>
    </row>
    <row r="137" spans="1:75">
      <c r="A137" s="61"/>
      <c r="B137" s="17" t="s">
        <v>230</v>
      </c>
      <c r="C137"/>
      <c r="D137"/>
      <c r="E137"/>
      <c r="F137"/>
      <c r="G137"/>
      <c r="H137"/>
      <c r="I137"/>
      <c r="J137" s="49" t="s">
        <v>230</v>
      </c>
      <c r="K137"/>
      <c r="L137" s="134" t="s">
        <v>202</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236722</v>
      </c>
      <c r="AZ137" s="6">
        <v>236722</v>
      </c>
      <c r="BB137" s="6">
        <v>0</v>
      </c>
      <c r="BD137" s="6">
        <v>0</v>
      </c>
      <c r="BF137" s="6">
        <v>0</v>
      </c>
      <c r="BH137" s="6">
        <v>0</v>
      </c>
      <c r="BJ137" s="6">
        <v>0</v>
      </c>
      <c r="BL137" s="6">
        <v>0</v>
      </c>
      <c r="BM137" s="6"/>
      <c r="BN137" s="6">
        <f t="shared" si="30"/>
        <v>2130504.66</v>
      </c>
      <c r="BO137" s="6"/>
      <c r="BP137" s="6">
        <v>0</v>
      </c>
      <c r="BQ137" s="6"/>
      <c r="BR137" s="6">
        <f t="shared" si="31"/>
        <v>710195.33999999985</v>
      </c>
      <c r="BT137" s="6">
        <f t="shared" si="32"/>
        <v>2840700</v>
      </c>
      <c r="BV137" s="6">
        <f t="shared" si="33"/>
        <v>0</v>
      </c>
      <c r="BW137" s="6"/>
    </row>
    <row r="138" spans="1:75">
      <c r="A138" s="61"/>
      <c r="B138" s="17" t="s">
        <v>231</v>
      </c>
      <c r="C138"/>
      <c r="D138"/>
      <c r="E138"/>
      <c r="F138"/>
      <c r="G138"/>
      <c r="H138"/>
      <c r="I138"/>
      <c r="J138" s="49" t="s">
        <v>236</v>
      </c>
      <c r="K138"/>
      <c r="L138" s="134" t="s">
        <v>202</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232</v>
      </c>
      <c r="C139"/>
      <c r="D139"/>
      <c r="E139"/>
      <c r="F139"/>
      <c r="G139"/>
      <c r="H139"/>
      <c r="I139"/>
      <c r="J139" s="49" t="s">
        <v>236</v>
      </c>
      <c r="K139"/>
      <c r="L139" s="134" t="s">
        <v>202</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233</v>
      </c>
      <c r="C140" s="30"/>
      <c r="D140" s="30"/>
      <c r="E140" s="30"/>
      <c r="F140" s="30"/>
      <c r="G140" s="30"/>
      <c r="H140" s="30"/>
      <c r="I140" s="30"/>
      <c r="J140" s="156" t="s">
        <v>236</v>
      </c>
      <c r="K140" s="30"/>
      <c r="L140" s="134" t="s">
        <v>202</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497</v>
      </c>
      <c r="C141"/>
      <c r="D141"/>
      <c r="E141"/>
      <c r="F141"/>
      <c r="G141"/>
      <c r="H141"/>
      <c r="I141"/>
      <c r="J141" s="49"/>
      <c r="K141"/>
      <c r="L141" s="134" t="s">
        <v>202</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244</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314205.33999999997</v>
      </c>
      <c r="AY143" s="117"/>
      <c r="AZ143" s="116">
        <f>SUM(AZ136:AZ142)</f>
        <v>314205.33</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2577854.67</v>
      </c>
      <c r="BO143" s="115"/>
      <c r="BP143" s="116">
        <f>SUM(BP136:BP142)</f>
        <v>0</v>
      </c>
      <c r="BQ143" s="115"/>
      <c r="BR143" s="116">
        <f>SUM(BR136:BR142)</f>
        <v>4009345.33</v>
      </c>
      <c r="BS143" s="115"/>
      <c r="BT143" s="116">
        <f>SUM(BT136:BT142)</f>
        <v>6587200</v>
      </c>
      <c r="BU143" s="115"/>
      <c r="BV143" s="116">
        <f>SUM(BV136:BV142)</f>
        <v>250000</v>
      </c>
      <c r="BW143" s="117"/>
    </row>
    <row r="144" spans="1:75" customFormat="1"/>
    <row r="145" spans="1:75" s="15" customFormat="1">
      <c r="A145" s="62" t="s">
        <v>242</v>
      </c>
      <c r="B145" s="17"/>
      <c r="C145"/>
      <c r="D145"/>
      <c r="E145"/>
      <c r="F145"/>
      <c r="G145"/>
      <c r="H145"/>
      <c r="I145"/>
      <c r="J145" s="49"/>
      <c r="K145"/>
      <c r="L145" s="134" t="s">
        <v>202</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121</v>
      </c>
      <c r="C146"/>
      <c r="D146"/>
      <c r="E146"/>
      <c r="F146"/>
      <c r="G146"/>
      <c r="H146"/>
      <c r="I146"/>
      <c r="J146" s="49" t="s">
        <v>0</v>
      </c>
      <c r="K146"/>
      <c r="L146" s="134" t="s">
        <v>202</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245</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246</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163</v>
      </c>
      <c r="C152"/>
      <c r="D152"/>
      <c r="E152"/>
      <c r="F152"/>
      <c r="G152"/>
      <c r="H152"/>
      <c r="I152"/>
      <c r="J152" s="49"/>
      <c r="K152"/>
      <c r="L152" s="134" t="s">
        <v>202</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164</v>
      </c>
      <c r="C153"/>
      <c r="D153"/>
      <c r="E153"/>
      <c r="F153"/>
      <c r="G153"/>
      <c r="H153"/>
      <c r="I153"/>
      <c r="J153" s="49"/>
      <c r="K153"/>
      <c r="L153" s="134" t="s">
        <v>202</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165</v>
      </c>
      <c r="C154"/>
      <c r="D154"/>
      <c r="E154"/>
      <c r="F154"/>
      <c r="G154"/>
      <c r="H154"/>
      <c r="I154"/>
      <c r="J154" s="49"/>
      <c r="K154"/>
      <c r="L154" s="134" t="s">
        <v>202</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166</v>
      </c>
      <c r="C155"/>
      <c r="D155"/>
      <c r="E155"/>
      <c r="F155"/>
      <c r="G155"/>
      <c r="H155"/>
      <c r="I155"/>
      <c r="J155" s="49"/>
      <c r="K155"/>
      <c r="L155" s="134" t="s">
        <v>202</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68</v>
      </c>
      <c r="C156"/>
      <c r="D156"/>
      <c r="E156"/>
      <c r="F156"/>
      <c r="G156"/>
      <c r="H156"/>
      <c r="I156"/>
      <c r="J156" s="49"/>
      <c r="K156"/>
      <c r="L156" s="134" t="s">
        <v>202</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69</v>
      </c>
      <c r="C157"/>
      <c r="D157"/>
      <c r="E157"/>
      <c r="F157"/>
      <c r="G157"/>
      <c r="H157"/>
      <c r="I157"/>
      <c r="J157" s="49"/>
      <c r="K157"/>
      <c r="L157" s="134" t="s">
        <v>202</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167</v>
      </c>
      <c r="C158"/>
      <c r="D158"/>
      <c r="E158"/>
      <c r="F158"/>
      <c r="G158"/>
      <c r="H158"/>
      <c r="I158"/>
      <c r="J158" s="49"/>
      <c r="K158"/>
      <c r="L158" s="134" t="s">
        <v>202</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168</v>
      </c>
      <c r="C159"/>
      <c r="D159"/>
      <c r="E159"/>
      <c r="F159"/>
      <c r="G159"/>
      <c r="H159"/>
      <c r="I159"/>
      <c r="J159" s="49"/>
      <c r="K159"/>
      <c r="L159" s="134" t="s">
        <v>202</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202</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121</v>
      </c>
      <c r="C161" s="30"/>
      <c r="D161" s="30"/>
      <c r="E161" s="30"/>
      <c r="F161" s="30"/>
      <c r="G161" s="30"/>
      <c r="H161" s="30"/>
      <c r="I161" s="30"/>
      <c r="J161" s="156"/>
      <c r="K161" s="30"/>
      <c r="L161" s="134" t="s">
        <v>202</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582</v>
      </c>
      <c r="E167" s="4"/>
      <c r="G167" s="4"/>
      <c r="I167" s="4"/>
      <c r="J167" s="5" t="s">
        <v>0</v>
      </c>
      <c r="L167" s="134" t="s">
        <v>202</v>
      </c>
      <c r="M167" s="22"/>
      <c r="N167" s="6">
        <v>0</v>
      </c>
      <c r="O167" s="22"/>
      <c r="P167" s="6">
        <v>0</v>
      </c>
      <c r="Q167" s="22"/>
      <c r="R167" s="6">
        <v>185000</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37000</v>
      </c>
      <c r="AZ167" s="6">
        <v>37000</v>
      </c>
      <c r="BB167" s="6">
        <v>0</v>
      </c>
      <c r="BD167" s="6">
        <v>0</v>
      </c>
      <c r="BF167" s="6">
        <v>0</v>
      </c>
      <c r="BH167" s="6">
        <v>0</v>
      </c>
      <c r="BJ167" s="6">
        <v>0</v>
      </c>
      <c r="BL167" s="6">
        <v>0</v>
      </c>
      <c r="BM167" s="6"/>
      <c r="BN167" s="6">
        <f>SUM(T167:BM167)</f>
        <v>74000</v>
      </c>
      <c r="BO167" s="6"/>
      <c r="BP167" s="6">
        <v>0</v>
      </c>
      <c r="BQ167" s="6"/>
      <c r="BR167" s="6">
        <f>IF(+R167-BN167+BP167&gt;0,R167-BN167+BP167,0)</f>
        <v>111000</v>
      </c>
      <c r="BS167" s="22"/>
      <c r="BT167" s="6">
        <f>+BN167+BR167</f>
        <v>185000</v>
      </c>
      <c r="BU167" s="22"/>
      <c r="BV167" s="6">
        <f>+R167-BT167</f>
        <v>0</v>
      </c>
      <c r="BW167" s="6"/>
    </row>
    <row r="168" spans="1:75">
      <c r="A168" s="61"/>
      <c r="B168" s="17" t="s">
        <v>584</v>
      </c>
      <c r="E168" s="4"/>
      <c r="G168" s="4"/>
      <c r="I168" s="4"/>
      <c r="L168" s="134" t="s">
        <v>202</v>
      </c>
      <c r="M168" s="22"/>
      <c r="N168" s="6">
        <v>0</v>
      </c>
      <c r="O168" s="22"/>
      <c r="P168" s="6">
        <v>0</v>
      </c>
      <c r="Q168" s="22"/>
      <c r="R168" s="6">
        <v>723786</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f>55868.55+55613</f>
        <v>111481.55</v>
      </c>
      <c r="BB168" s="6">
        <v>0</v>
      </c>
      <c r="BD168" s="6">
        <v>0</v>
      </c>
      <c r="BF168" s="6">
        <v>0</v>
      </c>
      <c r="BH168" s="6">
        <v>0</v>
      </c>
      <c r="BJ168" s="6">
        <v>0</v>
      </c>
      <c r="BL168" s="6">
        <v>0</v>
      </c>
      <c r="BM168" s="6"/>
      <c r="BN168" s="6">
        <f>SUM(T168:BM168)</f>
        <v>111481.55</v>
      </c>
      <c r="BO168" s="6"/>
      <c r="BP168" s="6">
        <v>0</v>
      </c>
      <c r="BQ168" s="6"/>
      <c r="BR168" s="6">
        <f>+R168-BN168+BP168</f>
        <v>612304.44999999995</v>
      </c>
      <c r="BS168" s="22"/>
      <c r="BT168" s="6">
        <f>+BN168+BR168</f>
        <v>723786</v>
      </c>
      <c r="BU168" s="22"/>
      <c r="BV168" s="6">
        <f>+R168-BT168</f>
        <v>0</v>
      </c>
      <c r="BW168" s="6"/>
    </row>
    <row r="169" spans="1:75" hidden="1">
      <c r="A169" s="61"/>
      <c r="B169" s="17" t="s">
        <v>121</v>
      </c>
      <c r="E169" s="4"/>
      <c r="G169" s="4"/>
      <c r="I169" s="4"/>
      <c r="L169" s="134" t="s">
        <v>202</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247</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37000</v>
      </c>
      <c r="AY170" s="10"/>
      <c r="AZ170" s="102">
        <f>SUM(AZ167:AZ169)</f>
        <v>148481.54999999999</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185481.55</v>
      </c>
      <c r="BO170" s="9"/>
      <c r="BP170" s="102">
        <f>SUM(BP167:BP169)</f>
        <v>0</v>
      </c>
      <c r="BQ170" s="9"/>
      <c r="BR170" s="102">
        <f>SUM(BR167:BR169)</f>
        <v>723304.45</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120</v>
      </c>
      <c r="B172" s="58"/>
      <c r="J172" s="8" t="s">
        <v>0</v>
      </c>
      <c r="L172" s="143"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216</v>
      </c>
      <c r="B174" s="31"/>
      <c r="J174" s="8" t="s">
        <v>0</v>
      </c>
      <c r="L174" s="134" t="s">
        <v>202</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297</v>
      </c>
      <c r="J176" s="159" t="s">
        <v>0</v>
      </c>
      <c r="L176" s="145" t="s">
        <v>202</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202</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207</v>
      </c>
      <c r="E181" s="4"/>
      <c r="G181" s="4"/>
      <c r="I181" s="4"/>
      <c r="J181" s="5" t="s">
        <v>0</v>
      </c>
      <c r="L181" s="134" t="s">
        <v>202</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V181" s="6">
        <v>0</v>
      </c>
      <c r="AX181" s="6">
        <v>25010</v>
      </c>
      <c r="AZ181" s="6">
        <v>0</v>
      </c>
      <c r="BB181" s="6">
        <v>0</v>
      </c>
      <c r="BD181" s="6">
        <v>0</v>
      </c>
      <c r="BF181" s="6">
        <v>0</v>
      </c>
      <c r="BH181" s="6">
        <v>0</v>
      </c>
      <c r="BJ181" s="6">
        <v>0</v>
      </c>
      <c r="BL181" s="6">
        <v>0</v>
      </c>
      <c r="BM181" s="6"/>
      <c r="BN181" s="6">
        <f>SUM(T181:BM181)</f>
        <v>25010</v>
      </c>
      <c r="BO181" s="6"/>
      <c r="BP181" s="6">
        <v>0</v>
      </c>
      <c r="BQ181" s="6"/>
      <c r="BR181" s="6">
        <f>IF(+R181-BN181+BP181&gt;0,R181-BN181+BP181,0)</f>
        <v>0</v>
      </c>
      <c r="BT181" s="6">
        <f>+BN181+BR181</f>
        <v>25010</v>
      </c>
      <c r="BV181" s="6">
        <f>+R181-BT181</f>
        <v>-25010</v>
      </c>
      <c r="BW181" s="6"/>
    </row>
    <row r="182" spans="1:75">
      <c r="A182" s="61"/>
      <c r="B182" s="11" t="s">
        <v>208</v>
      </c>
      <c r="E182" s="4"/>
      <c r="G182" s="4"/>
      <c r="I182" s="4"/>
      <c r="J182" s="5" t="s">
        <v>0</v>
      </c>
      <c r="L182" s="134" t="s">
        <v>202</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209</v>
      </c>
      <c r="E183" s="4"/>
      <c r="G183" s="4"/>
      <c r="I183" s="4"/>
      <c r="J183" s="5" t="s">
        <v>0</v>
      </c>
      <c r="L183" s="134" t="s">
        <v>202</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210</v>
      </c>
      <c r="E184" s="4"/>
      <c r="G184" s="4"/>
      <c r="I184" s="4"/>
      <c r="J184" s="5" t="s">
        <v>0</v>
      </c>
      <c r="L184" s="134" t="s">
        <v>202</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182</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25010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408551</v>
      </c>
      <c r="BO185" s="9"/>
      <c r="BP185" s="102">
        <f>SUM(BP181:BP184)</f>
        <v>0</v>
      </c>
      <c r="BQ185" s="9"/>
      <c r="BR185" s="102">
        <f>SUM(BR181:BR184)</f>
        <v>0</v>
      </c>
      <c r="BS185" s="9"/>
      <c r="BT185" s="102">
        <f>SUM(BT181:BT184)</f>
        <v>408551</v>
      </c>
      <c r="BU185" s="9"/>
      <c r="BV185" s="102">
        <f>SUM(BV181:BV184)</f>
        <v>-39510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211</v>
      </c>
      <c r="C188"/>
      <c r="D188"/>
      <c r="E188"/>
      <c r="F188"/>
      <c r="G188"/>
      <c r="H188"/>
      <c r="I188"/>
      <c r="J188" s="49"/>
      <c r="K188"/>
      <c r="L188" s="134" t="s">
        <v>203</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212</v>
      </c>
      <c r="C189"/>
      <c r="D189"/>
      <c r="E189"/>
      <c r="F189"/>
      <c r="G189"/>
      <c r="H189"/>
      <c r="I189"/>
      <c r="J189" s="49"/>
      <c r="K189"/>
      <c r="L189" s="134" t="s">
        <v>203</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213</v>
      </c>
      <c r="C190"/>
      <c r="D190"/>
      <c r="E190"/>
      <c r="F190"/>
      <c r="G190"/>
      <c r="H190"/>
      <c r="I190"/>
      <c r="J190" s="49"/>
      <c r="K190"/>
      <c r="L190" s="134" t="s">
        <v>203</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214</v>
      </c>
      <c r="C191"/>
      <c r="D191"/>
      <c r="E191"/>
      <c r="F191"/>
      <c r="G191"/>
      <c r="H191"/>
      <c r="I191"/>
      <c r="J191" s="49"/>
      <c r="K191"/>
      <c r="L191" s="134" t="s">
        <v>203</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215</v>
      </c>
      <c r="C192"/>
      <c r="D192"/>
      <c r="E192"/>
      <c r="F192"/>
      <c r="G192"/>
      <c r="H192"/>
      <c r="I192"/>
      <c r="J192" s="49"/>
      <c r="K192"/>
      <c r="L192" s="134" t="s">
        <v>203</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121</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AX193" s="6">
        <v>20091.86</v>
      </c>
      <c r="AZ193" s="6">
        <v>15594.76</v>
      </c>
      <c r="BL193" s="6"/>
      <c r="BM193" s="6"/>
      <c r="BN193" s="6">
        <f t="shared" si="39"/>
        <v>529306.0199999999</v>
      </c>
      <c r="BO193" s="6"/>
      <c r="BP193" s="229">
        <v>0</v>
      </c>
      <c r="BQ193" s="6"/>
      <c r="BR193" s="6">
        <f t="shared" si="40"/>
        <v>0</v>
      </c>
      <c r="BT193" s="6">
        <f t="shared" si="41"/>
        <v>529306.0199999999</v>
      </c>
      <c r="BV193" s="6">
        <f>+R193-BT193</f>
        <v>-58725.019999999902</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183</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20091.86</v>
      </c>
      <c r="AY195" s="10"/>
      <c r="AZ195" s="102">
        <f>SUM(AZ188:AZ194)</f>
        <v>15594.76</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598725.0199999999</v>
      </c>
      <c r="BO195" s="9"/>
      <c r="BP195" s="102">
        <f>SUM(BP188:BP194)</f>
        <v>0</v>
      </c>
      <c r="BQ195" s="9"/>
      <c r="BR195" s="102">
        <f>SUM(BR188:BR194)</f>
        <v>0</v>
      </c>
      <c r="BS195" s="9"/>
      <c r="BT195" s="102">
        <f>SUM(BT188:BT194)</f>
        <v>598725.0199999999</v>
      </c>
      <c r="BU195" s="9"/>
      <c r="BV195" s="102">
        <f>SUM(BV188:BV194)</f>
        <v>-58725.019999999902</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289</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274</v>
      </c>
      <c r="C198"/>
      <c r="D198"/>
      <c r="E198"/>
      <c r="F198"/>
      <c r="G198"/>
      <c r="H198"/>
      <c r="I198"/>
      <c r="J198"/>
      <c r="K198" s="134" t="s">
        <v>202</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275</v>
      </c>
      <c r="C199"/>
      <c r="D199"/>
      <c r="E199"/>
      <c r="F199"/>
      <c r="G199"/>
      <c r="H199"/>
      <c r="I199"/>
      <c r="J199"/>
      <c r="K199" s="134" t="s">
        <v>202</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10602.45</v>
      </c>
      <c r="BB199" s="6">
        <v>0</v>
      </c>
      <c r="BD199" s="6">
        <v>0</v>
      </c>
      <c r="BF199" s="6">
        <v>0</v>
      </c>
      <c r="BH199" s="6">
        <v>0</v>
      </c>
      <c r="BJ199" s="6">
        <v>0</v>
      </c>
      <c r="BL199" s="6">
        <v>0</v>
      </c>
      <c r="BM199" s="6"/>
      <c r="BN199" s="6">
        <f>SUM(T199:BM199)</f>
        <v>21120.32</v>
      </c>
      <c r="BO199" s="6"/>
      <c r="BP199" s="6">
        <v>0</v>
      </c>
      <c r="BQ199" s="6"/>
      <c r="BR199" s="6">
        <f>IF(+R199-BN199+BP199&gt;0,R199-BN199+BP199,0)</f>
        <v>13879.68</v>
      </c>
      <c r="BT199" s="6">
        <f>+BN199+BR199</f>
        <v>35000</v>
      </c>
      <c r="BV199" s="6">
        <f t="shared" ref="BV199:BV217" si="42">+R199-BT199</f>
        <v>0</v>
      </c>
    </row>
    <row r="200" spans="1:75">
      <c r="A200" s="56"/>
      <c r="B200" s="11" t="s">
        <v>515</v>
      </c>
      <c r="C200"/>
      <c r="D200"/>
      <c r="E200"/>
      <c r="F200"/>
      <c r="G200"/>
      <c r="H200"/>
      <c r="I200"/>
      <c r="J200"/>
      <c r="K200" s="134" t="s">
        <v>202</v>
      </c>
      <c r="L200" s="426">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516</v>
      </c>
      <c r="C201"/>
      <c r="D201"/>
      <c r="E201"/>
      <c r="F201"/>
      <c r="G201"/>
      <c r="H201"/>
      <c r="I201"/>
      <c r="J201"/>
      <c r="K201" s="134"/>
      <c r="L201" s="426">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517</v>
      </c>
      <c r="C202"/>
      <c r="D202"/>
      <c r="E202"/>
      <c r="F202"/>
      <c r="G202"/>
      <c r="H202"/>
      <c r="I202"/>
      <c r="J202"/>
      <c r="K202" s="134"/>
      <c r="L202" s="426">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518</v>
      </c>
      <c r="C203"/>
      <c r="D203"/>
      <c r="E203"/>
      <c r="F203"/>
      <c r="G203"/>
      <c r="H203"/>
      <c r="I203"/>
      <c r="J203"/>
      <c r="K203" s="134"/>
      <c r="L203" s="426">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519</v>
      </c>
      <c r="C204"/>
      <c r="D204"/>
      <c r="E204"/>
      <c r="F204"/>
      <c r="G204"/>
      <c r="H204"/>
      <c r="I204"/>
      <c r="J204"/>
      <c r="K204" s="134"/>
      <c r="L204" s="426">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520</v>
      </c>
      <c r="C205"/>
      <c r="D205"/>
      <c r="E205"/>
      <c r="F205"/>
      <c r="G205"/>
      <c r="H205"/>
      <c r="I205"/>
      <c r="J205"/>
      <c r="K205" s="134"/>
      <c r="L205" s="426">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521</v>
      </c>
      <c r="C206"/>
      <c r="D206"/>
      <c r="E206"/>
      <c r="F206"/>
      <c r="G206"/>
      <c r="H206"/>
      <c r="I206"/>
      <c r="J206"/>
      <c r="K206" s="134"/>
      <c r="L206" s="426">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522</v>
      </c>
      <c r="C207"/>
      <c r="D207"/>
      <c r="E207"/>
      <c r="F207"/>
      <c r="G207"/>
      <c r="H207"/>
      <c r="I207"/>
      <c r="J207"/>
      <c r="K207" s="134"/>
      <c r="L207" s="426">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523</v>
      </c>
      <c r="C208"/>
      <c r="D208"/>
      <c r="E208"/>
      <c r="F208"/>
      <c r="G208"/>
      <c r="H208"/>
      <c r="I208"/>
      <c r="J208"/>
      <c r="K208" s="134"/>
      <c r="L208" s="426">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524</v>
      </c>
      <c r="C209"/>
      <c r="D209"/>
      <c r="E209"/>
      <c r="F209"/>
      <c r="G209"/>
      <c r="H209"/>
      <c r="I209"/>
      <c r="J209"/>
      <c r="K209" s="134"/>
      <c r="L209" s="426">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525</v>
      </c>
      <c r="C210"/>
      <c r="D210"/>
      <c r="E210"/>
      <c r="F210"/>
      <c r="G210"/>
      <c r="H210"/>
      <c r="I210"/>
      <c r="J210"/>
      <c r="K210" s="134"/>
      <c r="L210" s="426">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526</v>
      </c>
      <c r="C211"/>
      <c r="D211"/>
      <c r="E211"/>
      <c r="F211"/>
      <c r="G211"/>
      <c r="H211"/>
      <c r="I211"/>
      <c r="J211"/>
      <c r="K211" s="134"/>
      <c r="L211" s="426">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527</v>
      </c>
      <c r="C212"/>
      <c r="D212"/>
      <c r="E212"/>
      <c r="F212"/>
      <c r="G212"/>
      <c r="H212"/>
      <c r="I212"/>
      <c r="J212"/>
      <c r="K212" s="134"/>
      <c r="L212" s="426">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528</v>
      </c>
      <c r="C213"/>
      <c r="D213"/>
      <c r="E213"/>
      <c r="F213"/>
      <c r="G213"/>
      <c r="H213"/>
      <c r="I213"/>
      <c r="J213"/>
      <c r="K213" s="134"/>
      <c r="L213" s="426">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529</v>
      </c>
      <c r="C214"/>
      <c r="D214"/>
      <c r="E214"/>
      <c r="F214"/>
      <c r="G214"/>
      <c r="H214"/>
      <c r="I214"/>
      <c r="J214"/>
      <c r="K214" s="134"/>
      <c r="L214" s="426">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530</v>
      </c>
      <c r="C215"/>
      <c r="D215"/>
      <c r="E215"/>
      <c r="F215"/>
      <c r="G215"/>
      <c r="H215"/>
      <c r="I215"/>
      <c r="J215"/>
      <c r="K215" s="134"/>
      <c r="L215" s="426">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531</v>
      </c>
      <c r="C216"/>
      <c r="D216"/>
      <c r="E216"/>
      <c r="F216"/>
      <c r="G216"/>
      <c r="H216"/>
      <c r="I216"/>
      <c r="J216"/>
      <c r="K216" s="134"/>
      <c r="L216" s="426">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532</v>
      </c>
      <c r="C217"/>
      <c r="D217"/>
      <c r="E217"/>
      <c r="F217"/>
      <c r="G217"/>
      <c r="H217"/>
      <c r="I217"/>
      <c r="J217"/>
      <c r="K217" s="134"/>
      <c r="L217" s="426"/>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277</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10602.45</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56606.57</v>
      </c>
      <c r="BO218" s="102">
        <f t="shared" si="45"/>
        <v>0</v>
      </c>
      <c r="BP218" s="102">
        <f t="shared" si="45"/>
        <v>1690117</v>
      </c>
      <c r="BQ218" s="102">
        <f t="shared" si="45"/>
        <v>0</v>
      </c>
      <c r="BR218" s="102">
        <f t="shared" si="45"/>
        <v>3833510.4299999997</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202</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290</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179</v>
      </c>
      <c r="C223"/>
      <c r="D223"/>
      <c r="E223"/>
      <c r="F223"/>
      <c r="G223"/>
      <c r="H223"/>
      <c r="I223"/>
      <c r="J223" s="49"/>
      <c r="K223"/>
      <c r="L223" s="134" t="s">
        <v>202</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291</v>
      </c>
      <c r="C224"/>
      <c r="D224"/>
      <c r="E224"/>
      <c r="F224"/>
      <c r="G224"/>
      <c r="H224"/>
      <c r="I224"/>
      <c r="J224" s="49"/>
      <c r="K224"/>
      <c r="L224" s="134" t="s">
        <v>202</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121</v>
      </c>
      <c r="C225"/>
      <c r="D225"/>
      <c r="E225"/>
      <c r="F225"/>
      <c r="G225"/>
      <c r="H225"/>
      <c r="I225"/>
      <c r="J225" s="49"/>
      <c r="K225"/>
      <c r="L225" s="134" t="s">
        <v>202</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181</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202</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202</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28687.68</v>
      </c>
      <c r="AY230" s="10"/>
      <c r="AZ230" s="10">
        <v>0</v>
      </c>
      <c r="BA230" s="10"/>
      <c r="BB230" s="10">
        <v>0</v>
      </c>
      <c r="BC230" s="10"/>
      <c r="BD230" s="10">
        <v>0</v>
      </c>
      <c r="BE230" s="10"/>
      <c r="BF230" s="10">
        <v>0</v>
      </c>
      <c r="BG230" s="10"/>
      <c r="BH230" s="10">
        <v>0</v>
      </c>
      <c r="BI230" s="10"/>
      <c r="BJ230" s="10">
        <v>0</v>
      </c>
      <c r="BK230" s="10"/>
      <c r="BL230" s="10">
        <v>0</v>
      </c>
      <c r="BM230" s="10"/>
      <c r="BN230" s="10">
        <f>SUM(T230:BM230)</f>
        <v>85464.48000000001</v>
      </c>
      <c r="BO230" s="10"/>
      <c r="BP230" s="10">
        <v>0</v>
      </c>
      <c r="BQ230" s="10"/>
      <c r="BR230" s="6">
        <f>IF(+R230-BN230+BP230&gt;0,R230-BN230+BP230,0)</f>
        <v>114535.51999999999</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184</v>
      </c>
      <c r="J233" s="160"/>
      <c r="L233" s="146" t="s">
        <v>203</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203</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f>
        <v>1851.11</v>
      </c>
      <c r="AW234" s="12"/>
      <c r="AX234" s="12">
        <v>628.05999999999995</v>
      </c>
      <c r="AY234" s="12"/>
      <c r="AZ234" s="12">
        <v>0</v>
      </c>
      <c r="BA234" s="12"/>
      <c r="BB234" s="12">
        <v>0</v>
      </c>
      <c r="BC234" s="12"/>
      <c r="BD234" s="12">
        <v>0</v>
      </c>
      <c r="BE234" s="12"/>
      <c r="BF234" s="12">
        <v>0</v>
      </c>
      <c r="BG234" s="12"/>
      <c r="BH234" s="12">
        <v>0</v>
      </c>
      <c r="BI234" s="12"/>
      <c r="BJ234" s="12">
        <v>0</v>
      </c>
      <c r="BK234" s="12"/>
      <c r="BL234" s="12">
        <v>0</v>
      </c>
      <c r="BM234" s="12"/>
      <c r="BN234" s="12">
        <f t="shared" si="46"/>
        <v>100904.54</v>
      </c>
      <c r="BO234" s="12"/>
      <c r="BP234" s="12">
        <v>0</v>
      </c>
      <c r="BQ234" s="12"/>
      <c r="BR234" s="6">
        <f t="shared" si="47"/>
        <v>49095.460000000006</v>
      </c>
      <c r="BS234" s="12"/>
      <c r="BT234" s="6">
        <f t="shared" si="48"/>
        <v>150000</v>
      </c>
      <c r="BU234" s="12"/>
      <c r="BV234" s="6">
        <f t="shared" si="49"/>
        <v>0</v>
      </c>
      <c r="BW234" s="12"/>
    </row>
    <row r="235" spans="1:124" s="11" customFormat="1">
      <c r="A235" s="17"/>
      <c r="B235" s="11" t="s">
        <v>217</v>
      </c>
      <c r="J235" s="160"/>
      <c r="L235" s="146" t="s">
        <v>203</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121</v>
      </c>
      <c r="J236" s="160"/>
      <c r="L236" s="146" t="s">
        <v>203</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28832.7+49463.67+9600</f>
        <v>87896.37</v>
      </c>
      <c r="AW236" s="12"/>
      <c r="AX236" s="12">
        <v>28768.799999999999</v>
      </c>
      <c r="AY236" s="12"/>
      <c r="AZ236" s="12">
        <v>44082.48</v>
      </c>
      <c r="BA236" s="12"/>
      <c r="BB236" s="12">
        <v>0</v>
      </c>
      <c r="BC236" s="12"/>
      <c r="BD236" s="12">
        <v>0</v>
      </c>
      <c r="BE236" s="12"/>
      <c r="BF236" s="12">
        <v>0</v>
      </c>
      <c r="BG236" s="12"/>
      <c r="BH236" s="12">
        <v>0</v>
      </c>
      <c r="BI236" s="12"/>
      <c r="BJ236" s="12">
        <v>0</v>
      </c>
      <c r="BK236" s="12"/>
      <c r="BL236" s="12">
        <v>0</v>
      </c>
      <c r="BM236" s="12"/>
      <c r="BN236" s="12">
        <f t="shared" si="46"/>
        <v>234485.87</v>
      </c>
      <c r="BO236" s="12"/>
      <c r="BP236" s="12">
        <v>0</v>
      </c>
      <c r="BQ236" s="12"/>
      <c r="BR236" s="6">
        <f t="shared" si="47"/>
        <v>0</v>
      </c>
      <c r="BS236" s="12"/>
      <c r="BT236" s="6">
        <f t="shared" si="48"/>
        <v>234485.87</v>
      </c>
      <c r="BU236" s="12"/>
      <c r="BV236" s="6">
        <f t="shared" si="49"/>
        <v>-108720.87</v>
      </c>
      <c r="BW236" s="12"/>
    </row>
    <row r="237" spans="1:124" s="11" customFormat="1">
      <c r="A237" s="17"/>
      <c r="B237" s="11" t="s">
        <v>492</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282</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40</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89747.48</v>
      </c>
      <c r="AW239" s="102">
        <f t="shared" si="50"/>
        <v>0</v>
      </c>
      <c r="AX239" s="102">
        <f t="shared" ref="AX239:BW239" si="51">SUM(AX233:AX238)</f>
        <v>29396.86</v>
      </c>
      <c r="AY239" s="102">
        <f t="shared" si="51"/>
        <v>0</v>
      </c>
      <c r="AZ239" s="102">
        <f t="shared" si="51"/>
        <v>44082.48</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588829.93000000005</v>
      </c>
      <c r="BO239" s="102">
        <f t="shared" si="51"/>
        <v>0</v>
      </c>
      <c r="BP239" s="102">
        <f t="shared" si="51"/>
        <v>0</v>
      </c>
      <c r="BQ239" s="102">
        <f t="shared" si="51"/>
        <v>0</v>
      </c>
      <c r="BR239" s="102">
        <f t="shared" si="51"/>
        <v>143107.12000000002</v>
      </c>
      <c r="BS239" s="102">
        <f t="shared" si="51"/>
        <v>0</v>
      </c>
      <c r="BT239" s="102">
        <f t="shared" si="51"/>
        <v>731937.05</v>
      </c>
      <c r="BU239" s="102">
        <f t="shared" si="51"/>
        <v>0</v>
      </c>
      <c r="BV239" s="102">
        <f t="shared" si="51"/>
        <v>-331937.05000000005</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296</v>
      </c>
      <c r="J242" s="160"/>
      <c r="L242" s="146" t="s">
        <v>203</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501</v>
      </c>
      <c r="J243" s="160"/>
      <c r="L243" s="146" t="s">
        <v>203</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41</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249</v>
      </c>
      <c r="J247" s="159"/>
      <c r="L247" s="145" t="s">
        <v>202</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f>[1]Gleason!$Q$40</f>
        <v>616751.79694111284</v>
      </c>
      <c r="AW247" s="10"/>
      <c r="AX247" s="10">
        <f>[1]Gleason!$R$40</f>
        <v>657673.00806343276</v>
      </c>
      <c r="AY247" s="10"/>
      <c r="AZ247" s="10">
        <v>0</v>
      </c>
      <c r="BA247" s="10"/>
      <c r="BB247" s="10">
        <v>0</v>
      </c>
      <c r="BC247" s="10"/>
      <c r="BD247" s="10">
        <v>0</v>
      </c>
      <c r="BE247" s="10"/>
      <c r="BF247" s="10">
        <v>0</v>
      </c>
      <c r="BG247" s="10"/>
      <c r="BH247" s="10">
        <v>0</v>
      </c>
      <c r="BI247" s="10"/>
      <c r="BJ247" s="10">
        <v>0</v>
      </c>
      <c r="BK247" s="10"/>
      <c r="BL247" s="10">
        <v>0</v>
      </c>
      <c r="BM247" s="10"/>
      <c r="BN247" s="10">
        <f>SUM(T247:BM247)</f>
        <v>7762753.026184367</v>
      </c>
      <c r="BO247" s="10"/>
      <c r="BP247" s="10">
        <v>0</v>
      </c>
      <c r="BQ247" s="10"/>
      <c r="BR247" s="6">
        <f>IF(+R247-BN247+BP247&gt;0,R247-BN247+BP247,0)-R247+[1]Gleason!$Z$40</f>
        <v>3273917.982823154</v>
      </c>
      <c r="BS247" s="10"/>
      <c r="BT247" s="9">
        <f>+BN247+BR247</f>
        <v>11036671.009007521</v>
      </c>
      <c r="BU247" s="10"/>
      <c r="BV247" s="9">
        <f>+R247-BT247</f>
        <v>303372.99099247903</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248</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760946.3569411129</v>
      </c>
      <c r="AW249" s="120">
        <f t="shared" si="52"/>
        <v>0</v>
      </c>
      <c r="AX249" s="120">
        <f t="shared" si="52"/>
        <v>797859.40806343278</v>
      </c>
      <c r="AY249" s="120">
        <f t="shared" si="52"/>
        <v>0</v>
      </c>
      <c r="AZ249" s="120">
        <f t="shared" si="52"/>
        <v>208158.78999999998</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10163636.266184367</v>
      </c>
      <c r="BO249" s="120">
        <f t="shared" si="52"/>
        <v>0</v>
      </c>
      <c r="BP249" s="120">
        <f t="shared" si="52"/>
        <v>0</v>
      </c>
      <c r="BQ249" s="120">
        <f t="shared" si="52"/>
        <v>0</v>
      </c>
      <c r="BR249" s="120">
        <f t="shared" si="52"/>
        <v>8196184.5228231549</v>
      </c>
      <c r="BS249" s="120">
        <f t="shared" si="52"/>
        <v>0</v>
      </c>
      <c r="BT249" s="120">
        <f>BT247+BT239+BT230+BT228+BT226+BT220+BT195+BT185+BT178+BT176+BT174+BT172+BT170+BT245</f>
        <v>18359820.789007522</v>
      </c>
      <c r="BU249" s="120">
        <f>BU247+BU239+BU230+BU228+BU226+BU220+BU195+BU185+BU178+BU176+BU174+BU172+BU170+BU245</f>
        <v>0</v>
      </c>
      <c r="BV249" s="120">
        <f>BV247+BV239+BV230+BV228+BV226+BV220+BV195+BV185+BV178+BV176+BV174+BV172+BV170+BV245+BV218</f>
        <v>-2070059.789007521</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190</v>
      </c>
      <c r="B251" s="31"/>
      <c r="J251" s="8"/>
      <c r="L251" s="143" t="s">
        <v>202</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292</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253</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8287387.2469411138</v>
      </c>
      <c r="AW255" s="168">
        <f t="shared" si="54"/>
        <v>0</v>
      </c>
      <c r="AX255" s="168">
        <f t="shared" si="54"/>
        <v>7624290.748063433</v>
      </c>
      <c r="AY255" s="168">
        <f t="shared" si="54"/>
        <v>0</v>
      </c>
      <c r="AZ255" s="168">
        <f t="shared" si="54"/>
        <v>1773491.57</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124308801.66618437</v>
      </c>
      <c r="BO255" s="168">
        <f t="shared" si="54"/>
        <v>0</v>
      </c>
      <c r="BP255" s="168">
        <f t="shared" si="54"/>
        <v>4808902</v>
      </c>
      <c r="BQ255" s="168">
        <f t="shared" si="54"/>
        <v>2030320</v>
      </c>
      <c r="BR255" s="168">
        <f>BR37+BR143+BR133+BR218+BR148+BR249+BR251+BR253</f>
        <v>52843547.682823159</v>
      </c>
      <c r="BS255" s="168">
        <f t="shared" si="54"/>
        <v>2030320</v>
      </c>
      <c r="BT255" s="168">
        <f t="shared" si="54"/>
        <v>176018129.34900752</v>
      </c>
      <c r="BU255" s="168">
        <f t="shared" si="54"/>
        <v>2030320</v>
      </c>
      <c r="BV255" s="168">
        <f>R255-BT255</f>
        <v>-2376419.3490075171</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251</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269</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5" thickBot="1">
      <c r="A261" s="84" t="s">
        <v>288</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8287387.2469411138</v>
      </c>
      <c r="AW261" s="121">
        <f t="shared" si="55"/>
        <v>0</v>
      </c>
      <c r="AX261" s="121">
        <f t="shared" si="55"/>
        <v>7624290.748063433</v>
      </c>
      <c r="AY261" s="121">
        <f t="shared" si="55"/>
        <v>0</v>
      </c>
      <c r="AZ261" s="121">
        <f t="shared" si="55"/>
        <v>1773491.57</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124306666.66618437</v>
      </c>
      <c r="BO261" s="121">
        <f t="shared" si="55"/>
        <v>0</v>
      </c>
      <c r="BP261" s="121">
        <f t="shared" si="55"/>
        <v>4808902</v>
      </c>
      <c r="BQ261" s="121">
        <f t="shared" si="55"/>
        <v>2030320</v>
      </c>
      <c r="BR261" s="121">
        <f t="shared" si="55"/>
        <v>52843547.682823159</v>
      </c>
      <c r="BS261" s="121">
        <f t="shared" si="55"/>
        <v>2030320</v>
      </c>
      <c r="BT261" s="121">
        <f t="shared" si="55"/>
        <v>176015994.34900752</v>
      </c>
      <c r="BU261" s="121">
        <f t="shared" si="55"/>
        <v>2030320</v>
      </c>
      <c r="BV261" s="121">
        <f>BV255+BV258</f>
        <v>-2374284.3490075171</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5"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1"/>
    </row>
    <row r="265" spans="1:124" customFormat="1">
      <c r="BN265" s="371"/>
    </row>
    <row r="266" spans="1:124" customFormat="1">
      <c r="BN266" s="371"/>
    </row>
    <row r="267" spans="1:124" customFormat="1">
      <c r="BN267" s="371"/>
    </row>
    <row r="268" spans="1:124" customFormat="1">
      <c r="BN268" s="371"/>
    </row>
    <row r="269" spans="1:124" customFormat="1">
      <c r="BN269" s="371"/>
    </row>
    <row r="270" spans="1:124" customFormat="1">
      <c r="BN270" s="371"/>
    </row>
    <row r="271" spans="1:124" customFormat="1">
      <c r="BN271" s="371"/>
    </row>
    <row r="272" spans="1:124" customFormat="1">
      <c r="BN272" s="371"/>
    </row>
    <row r="273" spans="46:66" customFormat="1">
      <c r="BN273" s="371"/>
    </row>
    <row r="274" spans="46:66" customFormat="1">
      <c r="BN274" s="371"/>
    </row>
    <row r="275" spans="46:66" customFormat="1">
      <c r="BN275" s="371"/>
    </row>
    <row r="276" spans="46:66" customFormat="1">
      <c r="BN276" s="371"/>
    </row>
    <row r="277" spans="46:66" customFormat="1">
      <c r="AT277" s="370"/>
      <c r="BN277" s="371"/>
    </row>
    <row r="278" spans="46:66" customFormat="1">
      <c r="AT278" s="370"/>
      <c r="BN278" s="371"/>
    </row>
    <row r="279" spans="46:66" customFormat="1">
      <c r="AT279" s="370"/>
      <c r="BN279" s="372"/>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39"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tabSelected="1" zoomScale="80" zoomScaleNormal="66" workbookViewId="0">
      <pane xSplit="19" ySplit="7" topLeftCell="AY8" activePane="bottomRight" state="frozen"/>
      <selection activeCell="A4" sqref="A4"/>
      <selection pane="topRight" activeCell="A4" sqref="A4"/>
      <selection pane="bottomLeft" activeCell="A4" sqref="A4"/>
      <selection pane="bottomRight" activeCell="A4" sqref="A4"/>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710937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0.140625" style="6" hidden="1" customWidth="1"/>
    <col min="35" max="35" width="1" style="6" hidden="1" customWidth="1"/>
    <col min="36" max="36" width="17.85546875" style="6" hidden="1" customWidth="1"/>
    <col min="37" max="37" width="0.85546875" style="6" hidden="1" customWidth="1"/>
    <col min="38" max="38" width="16.710937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- 032900.xls]Gleason</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36613.377524768519</v>
      </c>
      <c r="BR3" s="23"/>
      <c r="BT3" s="78" t="str">
        <f>Summary!A5</f>
        <v>Revision # 51</v>
      </c>
    </row>
    <row r="4" spans="1:74" s="18" customFormat="1" ht="15.75">
      <c r="A4" s="94"/>
      <c r="B4" s="19">
        <f>Summary!C15</f>
        <v>470</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3/24/00</v>
      </c>
      <c r="U7" s="96"/>
      <c r="V7" s="82" t="str">
        <f>+Summary!$O$4</f>
        <v xml:space="preserve"> As of 3/24/00</v>
      </c>
      <c r="W7" s="69"/>
      <c r="X7" s="82" t="str">
        <f>+Summary!$O$4</f>
        <v xml:space="preserve"> As of 3/24/00</v>
      </c>
      <c r="Y7" s="69"/>
      <c r="Z7" s="82" t="str">
        <f>+Summary!$O$4</f>
        <v xml:space="preserve"> As of 3/24/00</v>
      </c>
      <c r="AA7" s="69"/>
      <c r="AB7" s="82" t="str">
        <f>+Summary!$O$4</f>
        <v xml:space="preserve"> As of 3/24/00</v>
      </c>
      <c r="AC7" s="69"/>
      <c r="AD7" s="82" t="str">
        <f>+Summary!$O$4</f>
        <v xml:space="preserve"> As of 3/24/00</v>
      </c>
      <c r="AE7" s="69"/>
      <c r="AF7" s="82" t="str">
        <f>+Summary!$O$4</f>
        <v xml:space="preserve"> As of 3/24/00</v>
      </c>
      <c r="AG7" s="69"/>
      <c r="AH7" s="82" t="str">
        <f>+Summary!$O$4</f>
        <v xml:space="preserve"> As of 3/24/00</v>
      </c>
      <c r="AI7" s="69"/>
      <c r="AJ7" s="82" t="str">
        <f>+Summary!$O$4</f>
        <v xml:space="preserve"> As of 3/24/00</v>
      </c>
      <c r="AK7" s="69"/>
      <c r="AL7" s="82" t="str">
        <f>+Summary!$O$4</f>
        <v xml:space="preserve"> As of 3/24/00</v>
      </c>
      <c r="AM7" s="69"/>
      <c r="AN7" s="82" t="str">
        <f>+Summary!$O$4</f>
        <v xml:space="preserve"> As of 3/24/00</v>
      </c>
      <c r="AO7" s="69"/>
      <c r="AP7" s="82" t="str">
        <f>+Summary!$O$4</f>
        <v xml:space="preserve"> As of 3/24/00</v>
      </c>
      <c r="AQ7" s="69"/>
      <c r="AR7" s="82" t="str">
        <f>+Summary!$O$4</f>
        <v xml:space="preserve"> As of 3/24/00</v>
      </c>
      <c r="AS7" s="69"/>
      <c r="AT7" s="82" t="str">
        <f>+Summary!$O$4</f>
        <v xml:space="preserve"> As of 3/24/00</v>
      </c>
      <c r="AU7" s="82"/>
      <c r="AV7" s="82" t="str">
        <f>+Summary!$O$4</f>
        <v xml:space="preserve"> As of 3/24/00</v>
      </c>
      <c r="AW7" s="82"/>
      <c r="AX7" s="82" t="str">
        <f>+Summary!$O$4</f>
        <v xml:space="preserve"> As of 3/24/00</v>
      </c>
      <c r="AY7" s="82"/>
      <c r="AZ7" s="82" t="str">
        <f>+Summary!$O$4</f>
        <v xml:space="preserve"> As of 3/24/00</v>
      </c>
      <c r="BA7" s="82"/>
      <c r="BB7" s="82" t="str">
        <f>+Summary!$O$4</f>
        <v xml:space="preserve"> As of 3/24/00</v>
      </c>
      <c r="BC7" s="82"/>
      <c r="BD7" s="82" t="str">
        <f>+Summary!$O$4</f>
        <v xml:space="preserve"> As of 3/24/00</v>
      </c>
      <c r="BE7" s="82"/>
      <c r="BF7" s="82" t="str">
        <f>+Summary!$O$4</f>
        <v xml:space="preserve"> As of 3/24/00</v>
      </c>
      <c r="BG7" s="82"/>
      <c r="BH7" s="82" t="str">
        <f>+Summary!$O$4</f>
        <v xml:space="preserve"> As of 3/24/00</v>
      </c>
      <c r="BI7" s="82"/>
      <c r="BJ7" s="82" t="str">
        <f>+Summary!$O$4</f>
        <v xml:space="preserve"> As of 3/24/00</v>
      </c>
      <c r="BL7" s="71" t="str">
        <f>+Summary!$O$4</f>
        <v xml:space="preserve"> As of 3/24/00</v>
      </c>
      <c r="BN7" s="64" t="str">
        <f>+Summary!$O$4</f>
        <v xml:space="preserve"> As of 3/24/00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85590716.140000015</v>
      </c>
      <c r="BM34" s="115"/>
      <c r="BN34" s="115">
        <f>+BN32+BN12</f>
        <v>376281</v>
      </c>
      <c r="BO34" s="115"/>
      <c r="BP34" s="115">
        <f>+BP32+BP12</f>
        <v>5069118.8599999873</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310</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298</v>
      </c>
      <c r="C40"/>
      <c r="D40"/>
      <c r="E40"/>
      <c r="F40"/>
      <c r="G40"/>
      <c r="H40"/>
      <c r="I40"/>
      <c r="J40" s="49" t="s">
        <v>229</v>
      </c>
      <c r="K40"/>
      <c r="L40" s="134" t="s">
        <v>202</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299</v>
      </c>
      <c r="C41"/>
      <c r="D41"/>
      <c r="E41"/>
      <c r="F41"/>
      <c r="G41"/>
      <c r="H41"/>
      <c r="I41"/>
      <c r="J41" s="49" t="s">
        <v>229</v>
      </c>
      <c r="K41"/>
      <c r="L41" s="134" t="s">
        <v>202</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300</v>
      </c>
      <c r="C42"/>
      <c r="D42"/>
      <c r="E42"/>
      <c r="F42"/>
      <c r="G42"/>
      <c r="H42"/>
      <c r="I42"/>
      <c r="J42" s="49" t="s">
        <v>229</v>
      </c>
      <c r="K42"/>
      <c r="L42" s="134" t="s">
        <v>202</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301</v>
      </c>
      <c r="C43"/>
      <c r="D43"/>
      <c r="E43"/>
      <c r="F43"/>
      <c r="G43"/>
      <c r="H43"/>
      <c r="I43"/>
      <c r="J43" s="49" t="s">
        <v>229</v>
      </c>
      <c r="K43"/>
      <c r="L43" s="134" t="s">
        <v>202</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302</v>
      </c>
      <c r="C44"/>
      <c r="D44"/>
      <c r="E44"/>
      <c r="F44"/>
      <c r="G44"/>
      <c r="H44"/>
      <c r="I44"/>
      <c r="J44" s="49" t="s">
        <v>229</v>
      </c>
      <c r="K44"/>
      <c r="L44" s="134" t="s">
        <v>202</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303</v>
      </c>
      <c r="C45"/>
      <c r="D45"/>
      <c r="E45"/>
      <c r="F45"/>
      <c r="G45"/>
      <c r="H45"/>
      <c r="I45"/>
      <c r="J45" s="49" t="s">
        <v>229</v>
      </c>
      <c r="K45"/>
      <c r="L45" s="134" t="s">
        <v>202</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304</v>
      </c>
      <c r="C46"/>
      <c r="D46"/>
      <c r="E46"/>
      <c r="F46"/>
      <c r="G46"/>
      <c r="H46"/>
      <c r="I46"/>
      <c r="J46" s="49" t="s">
        <v>229</v>
      </c>
      <c r="K46"/>
      <c r="L46" s="134" t="s">
        <v>202</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305</v>
      </c>
      <c r="C47"/>
      <c r="D47"/>
      <c r="E47"/>
      <c r="F47"/>
      <c r="G47"/>
      <c r="H47"/>
      <c r="I47"/>
      <c r="J47" s="49" t="s">
        <v>229</v>
      </c>
      <c r="K47"/>
      <c r="L47" s="134" t="s">
        <v>202</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306</v>
      </c>
      <c r="C48"/>
      <c r="D48"/>
      <c r="E48"/>
      <c r="F48"/>
      <c r="G48"/>
      <c r="H48"/>
      <c r="I48"/>
      <c r="J48" s="49" t="s">
        <v>229</v>
      </c>
      <c r="K48"/>
      <c r="L48" s="134" t="s">
        <v>202</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307</v>
      </c>
      <c r="C49"/>
      <c r="D49"/>
      <c r="E49"/>
      <c r="F49"/>
      <c r="G49"/>
      <c r="H49"/>
      <c r="I49"/>
      <c r="J49" s="49" t="s">
        <v>229</v>
      </c>
      <c r="K49"/>
      <c r="L49" s="134" t="s">
        <v>202</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536</v>
      </c>
      <c r="C50"/>
      <c r="D50"/>
      <c r="E50"/>
      <c r="F50"/>
      <c r="G50"/>
      <c r="H50"/>
      <c r="I50"/>
      <c r="J50" s="49" t="s">
        <v>229</v>
      </c>
      <c r="K50"/>
      <c r="L50" s="134" t="s">
        <v>202</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308</v>
      </c>
      <c r="C51"/>
      <c r="D51"/>
      <c r="E51"/>
      <c r="F51"/>
      <c r="G51"/>
      <c r="H51"/>
      <c r="I51"/>
      <c r="J51" s="49" t="s">
        <v>229</v>
      </c>
      <c r="K51"/>
      <c r="L51" s="134" t="s">
        <v>202</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190</v>
      </c>
      <c r="C52"/>
      <c r="D52"/>
      <c r="E52"/>
      <c r="F52"/>
      <c r="G52"/>
      <c r="H52"/>
      <c r="I52"/>
      <c r="J52" s="49" t="s">
        <v>229</v>
      </c>
      <c r="K52"/>
      <c r="L52" s="134" t="s">
        <v>202</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309</v>
      </c>
      <c r="C53"/>
      <c r="D53"/>
      <c r="E53"/>
      <c r="F53"/>
      <c r="G53"/>
      <c r="H53"/>
      <c r="I53"/>
      <c r="J53" s="49"/>
      <c r="K53"/>
      <c r="L53" s="134" t="s">
        <v>202</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537</v>
      </c>
      <c r="C54"/>
      <c r="D54"/>
      <c r="E54"/>
      <c r="F54"/>
      <c r="G54"/>
      <c r="H54"/>
      <c r="I54"/>
      <c r="J54" s="49"/>
      <c r="K54"/>
      <c r="L54" s="134" t="s">
        <v>202</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202</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330</v>
      </c>
      <c r="J56" s="8"/>
      <c r="L56" s="143" t="s">
        <v>202</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331</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311</v>
      </c>
      <c r="C59"/>
      <c r="D59"/>
      <c r="E59"/>
      <c r="F59"/>
      <c r="G59"/>
      <c r="H59"/>
      <c r="I59"/>
      <c r="J59" s="49" t="s">
        <v>229</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312</v>
      </c>
      <c r="C60"/>
      <c r="D60"/>
      <c r="E60"/>
      <c r="F60"/>
      <c r="G60"/>
      <c r="H60"/>
      <c r="I60"/>
      <c r="J60" s="49" t="s">
        <v>229</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313</v>
      </c>
      <c r="C61"/>
      <c r="D61"/>
      <c r="E61"/>
      <c r="F61"/>
      <c r="G61"/>
      <c r="H61"/>
      <c r="I61"/>
      <c r="J61" s="49" t="s">
        <v>229</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314</v>
      </c>
      <c r="C62"/>
      <c r="D62"/>
      <c r="E62"/>
      <c r="F62"/>
      <c r="G62"/>
      <c r="H62"/>
      <c r="I62"/>
      <c r="J62" s="49" t="s">
        <v>229</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315</v>
      </c>
      <c r="C63"/>
      <c r="D63"/>
      <c r="E63"/>
      <c r="F63"/>
      <c r="G63"/>
      <c r="H63"/>
      <c r="I63"/>
      <c r="J63" s="49" t="s">
        <v>229</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316</v>
      </c>
      <c r="C64"/>
      <c r="D64"/>
      <c r="E64"/>
      <c r="F64"/>
      <c r="G64"/>
      <c r="H64"/>
      <c r="I64"/>
      <c r="J64" s="49" t="s">
        <v>229</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317</v>
      </c>
      <c r="C65"/>
      <c r="D65"/>
      <c r="E65"/>
      <c r="F65"/>
      <c r="G65"/>
      <c r="H65"/>
      <c r="I65"/>
      <c r="J65" s="49" t="s">
        <v>229</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318</v>
      </c>
      <c r="C66"/>
      <c r="D66"/>
      <c r="E66"/>
      <c r="F66"/>
      <c r="G66"/>
      <c r="H66"/>
      <c r="I66"/>
      <c r="J66" s="49" t="s">
        <v>229</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319</v>
      </c>
      <c r="C67"/>
      <c r="D67"/>
      <c r="E67"/>
      <c r="F67"/>
      <c r="G67"/>
      <c r="H67"/>
      <c r="I67"/>
      <c r="J67" s="49" t="s">
        <v>229</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320</v>
      </c>
      <c r="C68"/>
      <c r="D68"/>
      <c r="E68"/>
      <c r="F68"/>
      <c r="G68"/>
      <c r="H68"/>
      <c r="I68"/>
      <c r="J68" s="49" t="s">
        <v>229</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321</v>
      </c>
      <c r="C69"/>
      <c r="D69"/>
      <c r="E69"/>
      <c r="F69"/>
      <c r="G69"/>
      <c r="H69"/>
      <c r="I69"/>
      <c r="J69" s="49" t="s">
        <v>229</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322</v>
      </c>
      <c r="C70"/>
      <c r="D70"/>
      <c r="E70"/>
      <c r="F70"/>
      <c r="G70"/>
      <c r="H70"/>
      <c r="I70"/>
      <c r="J70" s="49" t="s">
        <v>229</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149</v>
      </c>
      <c r="C71"/>
      <c r="D71"/>
      <c r="E71"/>
      <c r="F71"/>
      <c r="G71"/>
      <c r="H71"/>
      <c r="I71"/>
      <c r="J71" s="49" t="s">
        <v>229</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55</v>
      </c>
      <c r="C72"/>
      <c r="D72"/>
      <c r="E72"/>
      <c r="F72"/>
      <c r="G72"/>
      <c r="H72"/>
      <c r="I72"/>
      <c r="J72" s="49" t="s">
        <v>229</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323</v>
      </c>
      <c r="C73"/>
      <c r="D73"/>
      <c r="E73"/>
      <c r="F73"/>
      <c r="G73"/>
      <c r="H73"/>
      <c r="I73"/>
      <c r="J73" s="49" t="s">
        <v>229</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324</v>
      </c>
      <c r="C74"/>
      <c r="D74"/>
      <c r="E74"/>
      <c r="F74"/>
      <c r="G74"/>
      <c r="H74"/>
      <c r="I74"/>
      <c r="J74" s="49" t="s">
        <v>229</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52</v>
      </c>
      <c r="C75"/>
      <c r="D75"/>
      <c r="E75"/>
      <c r="F75"/>
      <c r="G75"/>
      <c r="H75"/>
      <c r="I75"/>
      <c r="J75" s="49" t="s">
        <v>229</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174</v>
      </c>
      <c r="C76"/>
      <c r="D76"/>
      <c r="E76"/>
      <c r="F76"/>
      <c r="G76"/>
      <c r="H76"/>
      <c r="I76"/>
      <c r="J76" s="49" t="s">
        <v>229</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325</v>
      </c>
      <c r="C77"/>
      <c r="D77"/>
      <c r="E77"/>
      <c r="F77"/>
      <c r="G77"/>
      <c r="H77"/>
      <c r="I77"/>
      <c r="J77" s="49" t="s">
        <v>229</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326</v>
      </c>
      <c r="C78"/>
      <c r="D78"/>
      <c r="E78"/>
      <c r="F78"/>
      <c r="G78"/>
      <c r="H78"/>
      <c r="I78"/>
      <c r="J78" s="49" t="s">
        <v>229</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327</v>
      </c>
      <c r="C79"/>
      <c r="D79"/>
      <c r="E79"/>
      <c r="F79"/>
      <c r="G79"/>
      <c r="H79"/>
      <c r="I79"/>
      <c r="J79" s="49" t="s">
        <v>229</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328</v>
      </c>
      <c r="C80"/>
      <c r="D80"/>
      <c r="E80"/>
      <c r="F80"/>
      <c r="G80"/>
      <c r="H80"/>
      <c r="I80"/>
      <c r="J80" s="49" t="s">
        <v>229</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329</v>
      </c>
      <c r="C81"/>
      <c r="D81"/>
      <c r="E81"/>
      <c r="F81"/>
      <c r="G81"/>
      <c r="H81"/>
      <c r="I81"/>
      <c r="J81" s="49" t="s">
        <v>229</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332</v>
      </c>
      <c r="J82" s="8"/>
      <c r="L82" s="143" t="s">
        <v>202</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360</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333</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538</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334</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335</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336</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337</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338</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339</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340</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341</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371</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342</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343</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344</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345</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346</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347</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348</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349</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350</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351</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352</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365</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353</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354</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355</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356</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357</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358</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539</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361</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363</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67</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362</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541</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364</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v>5993551</v>
      </c>
      <c r="AW125" s="9"/>
      <c r="AX125" s="9"/>
      <c r="AY125" s="9"/>
      <c r="AZ125" s="9"/>
      <c r="BA125" s="9"/>
      <c r="BB125" s="9"/>
      <c r="BC125" s="9"/>
      <c r="BD125" s="9"/>
      <c r="BE125" s="9"/>
      <c r="BF125" s="9"/>
      <c r="BG125" s="9"/>
      <c r="BH125" s="9"/>
      <c r="BI125" s="9"/>
      <c r="BJ125" s="9"/>
      <c r="BK125" s="9"/>
      <c r="BL125" s="6">
        <f>SUM(T125:BK125)</f>
        <v>10828678.120000001</v>
      </c>
      <c r="BM125" s="9"/>
      <c r="BN125" s="9">
        <v>0</v>
      </c>
      <c r="BO125" s="9"/>
      <c r="BP125" s="9">
        <f>-BL125</f>
        <v>-10828678.120000001</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243</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5993551</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15686370.120000001</v>
      </c>
      <c r="BM127" s="246">
        <f t="shared" si="23"/>
        <v>559092</v>
      </c>
      <c r="BN127" s="246">
        <f t="shared" si="23"/>
        <v>6614363</v>
      </c>
      <c r="BO127" s="246">
        <f t="shared" si="23"/>
        <v>1415319</v>
      </c>
      <c r="BP127" s="246">
        <f t="shared" si="23"/>
        <v>24015049.879999999</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227</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228</v>
      </c>
      <c r="C131"/>
      <c r="D131"/>
      <c r="E131"/>
      <c r="F131"/>
      <c r="G131"/>
      <c r="H131"/>
      <c r="I131"/>
      <c r="J131" s="49" t="s">
        <v>236</v>
      </c>
      <c r="K131"/>
      <c r="L131" s="134" t="s">
        <v>202</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77483.33</v>
      </c>
      <c r="AX131" s="6">
        <v>77483.34</v>
      </c>
      <c r="AZ131" s="6">
        <v>0</v>
      </c>
      <c r="BB131" s="6">
        <v>0</v>
      </c>
      <c r="BD131" s="6">
        <v>0</v>
      </c>
      <c r="BF131" s="6">
        <v>0</v>
      </c>
      <c r="BH131" s="6">
        <v>0</v>
      </c>
      <c r="BJ131" s="6">
        <v>0</v>
      </c>
      <c r="BK131" s="6"/>
      <c r="BL131" s="6">
        <f t="shared" ref="BL131:BL136" si="24">SUM(T131:BK131)</f>
        <v>697349.99333333329</v>
      </c>
      <c r="BM131" s="6"/>
      <c r="BN131" s="6">
        <v>0</v>
      </c>
      <c r="BO131" s="6"/>
      <c r="BP131" s="6">
        <f t="shared" ref="BP131:BP137" si="25">IF(+R131-BL131+BN131&gt;0,R131-BL131+BN131,0)</f>
        <v>232450.00666666671</v>
      </c>
      <c r="BR131" s="6">
        <f t="shared" ref="BR131:BR136" si="26">+BL131+BP131</f>
        <v>929800</v>
      </c>
      <c r="BT131" s="6">
        <f t="shared" ref="BT131:BT137" si="27">+R131-BR131</f>
        <v>0</v>
      </c>
      <c r="BU131" s="6"/>
    </row>
    <row r="132" spans="1:73">
      <c r="A132" s="61"/>
      <c r="B132" s="17" t="s">
        <v>230</v>
      </c>
      <c r="C132"/>
      <c r="D132"/>
      <c r="E132"/>
      <c r="F132"/>
      <c r="G132"/>
      <c r="H132"/>
      <c r="I132"/>
      <c r="J132" s="49" t="s">
        <v>230</v>
      </c>
      <c r="K132"/>
      <c r="L132" s="134" t="s">
        <v>202</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198889</v>
      </c>
      <c r="AX132" s="6">
        <v>198889</v>
      </c>
      <c r="AZ132" s="6">
        <v>0</v>
      </c>
      <c r="BB132" s="6">
        <v>0</v>
      </c>
      <c r="BD132" s="6">
        <v>0</v>
      </c>
      <c r="BF132" s="6">
        <v>0</v>
      </c>
      <c r="BH132" s="6">
        <v>0</v>
      </c>
      <c r="BJ132" s="6">
        <v>0</v>
      </c>
      <c r="BK132" s="6"/>
      <c r="BL132" s="6">
        <f t="shared" si="24"/>
        <v>1790015.3466666667</v>
      </c>
      <c r="BM132" s="6"/>
      <c r="BN132" s="6">
        <v>0</v>
      </c>
      <c r="BO132" s="6"/>
      <c r="BP132" s="6">
        <f t="shared" si="25"/>
        <v>596684.65333333332</v>
      </c>
      <c r="BR132" s="6">
        <f t="shared" si="26"/>
        <v>2386700</v>
      </c>
      <c r="BT132" s="6">
        <f t="shared" si="27"/>
        <v>0</v>
      </c>
      <c r="BU132" s="6"/>
    </row>
    <row r="133" spans="1:73">
      <c r="A133" s="61"/>
      <c r="B133" s="17" t="s">
        <v>231</v>
      </c>
      <c r="C133"/>
      <c r="D133"/>
      <c r="E133"/>
      <c r="F133"/>
      <c r="G133"/>
      <c r="H133"/>
      <c r="I133"/>
      <c r="J133" s="49" t="s">
        <v>236</v>
      </c>
      <c r="K133"/>
      <c r="L133" s="134" t="s">
        <v>202</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232</v>
      </c>
      <c r="C134"/>
      <c r="D134"/>
      <c r="E134"/>
      <c r="F134"/>
      <c r="G134"/>
      <c r="H134"/>
      <c r="I134"/>
      <c r="J134" s="49" t="s">
        <v>236</v>
      </c>
      <c r="K134"/>
      <c r="L134" s="134" t="s">
        <v>202</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233</v>
      </c>
      <c r="C135" s="30"/>
      <c r="D135" s="30"/>
      <c r="E135" s="30"/>
      <c r="F135" s="30"/>
      <c r="G135" s="30"/>
      <c r="H135" s="30"/>
      <c r="I135" s="30"/>
      <c r="J135" s="156" t="s">
        <v>236</v>
      </c>
      <c r="K135" s="30"/>
      <c r="L135" s="134" t="s">
        <v>202</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121</v>
      </c>
      <c r="C136"/>
      <c r="D136"/>
      <c r="E136"/>
      <c r="F136"/>
      <c r="G136"/>
      <c r="H136"/>
      <c r="I136"/>
      <c r="J136" s="49"/>
      <c r="K136"/>
      <c r="L136" s="134" t="s">
        <v>202</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244</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276372.33</v>
      </c>
      <c r="AW138" s="117"/>
      <c r="AX138" s="116">
        <f>SUM(AX131:AX137)</f>
        <v>276372.33999999997</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2487365.34</v>
      </c>
      <c r="BM138" s="115"/>
      <c r="BN138" s="116">
        <f>SUM(BN131:BN137)</f>
        <v>0</v>
      </c>
      <c r="BO138" s="115"/>
      <c r="BP138" s="116">
        <f>SUM(BP131:BP137)</f>
        <v>3895834.66</v>
      </c>
      <c r="BQ138" s="115"/>
      <c r="BR138" s="116">
        <f>SUM(BR131:BR137)</f>
        <v>6383200</v>
      </c>
      <c r="BS138" s="115"/>
      <c r="BT138" s="116">
        <f>SUM(BT131:BT137)</f>
        <v>0</v>
      </c>
      <c r="BU138" s="117"/>
    </row>
    <row r="139" spans="1:73" customFormat="1"/>
    <row r="140" spans="1:73" s="15" customFormat="1">
      <c r="A140" s="62" t="s">
        <v>242</v>
      </c>
      <c r="B140" s="17"/>
      <c r="C140"/>
      <c r="D140"/>
      <c r="E140"/>
      <c r="F140"/>
      <c r="G140"/>
      <c r="H140"/>
      <c r="I140"/>
      <c r="J140" s="49"/>
      <c r="K140"/>
      <c r="L140" s="134" t="s">
        <v>202</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121</v>
      </c>
      <c r="C141"/>
      <c r="D141"/>
      <c r="E141"/>
      <c r="F141"/>
      <c r="G141"/>
      <c r="H141"/>
      <c r="I141"/>
      <c r="J141" s="49" t="s">
        <v>0</v>
      </c>
      <c r="K141"/>
      <c r="L141" s="134" t="s">
        <v>202</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245</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582</v>
      </c>
      <c r="E148" s="4"/>
      <c r="G148" s="4"/>
      <c r="I148" s="4"/>
      <c r="J148" s="5" t="s">
        <v>0</v>
      </c>
      <c r="L148" s="134" t="s">
        <v>202</v>
      </c>
      <c r="M148" s="22"/>
      <c r="N148" s="6">
        <v>0</v>
      </c>
      <c r="O148" s="22"/>
      <c r="P148" s="6">
        <v>0</v>
      </c>
      <c r="Q148" s="22"/>
      <c r="R148" s="6">
        <v>185000</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37000</v>
      </c>
      <c r="AX148" s="6">
        <v>37000</v>
      </c>
      <c r="AZ148" s="6">
        <v>0</v>
      </c>
      <c r="BB148" s="6">
        <v>0</v>
      </c>
      <c r="BD148" s="6">
        <v>0</v>
      </c>
      <c r="BF148" s="6">
        <v>0</v>
      </c>
      <c r="BH148" s="6">
        <v>0</v>
      </c>
      <c r="BJ148" s="6">
        <v>0</v>
      </c>
      <c r="BK148" s="6"/>
      <c r="BL148" s="6">
        <f>SUM(T148:BK148)</f>
        <v>74000</v>
      </c>
      <c r="BM148" s="6"/>
      <c r="BN148" s="6">
        <v>0</v>
      </c>
      <c r="BO148" s="6"/>
      <c r="BP148" s="6">
        <f>IF(+R148-BL148+BN148&gt;0,R148-BL148+BN148,0)</f>
        <v>111000</v>
      </c>
      <c r="BQ148" s="22"/>
      <c r="BR148" s="6">
        <f>+BL148+BP148</f>
        <v>185000</v>
      </c>
      <c r="BS148" s="22"/>
      <c r="BT148" s="6">
        <f>+R148-BR148</f>
        <v>0</v>
      </c>
      <c r="BU148" s="6"/>
    </row>
    <row r="149" spans="1:73">
      <c r="A149" s="61"/>
      <c r="B149" s="17" t="s">
        <v>585</v>
      </c>
      <c r="E149" s="4"/>
      <c r="G149" s="4"/>
      <c r="I149" s="4"/>
      <c r="L149" s="134" t="s">
        <v>202</v>
      </c>
      <c r="M149" s="22"/>
      <c r="N149" s="6">
        <v>0</v>
      </c>
      <c r="O149" s="22"/>
      <c r="P149" s="6">
        <v>0</v>
      </c>
      <c r="Q149" s="22"/>
      <c r="R149" s="6">
        <v>723786</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f>62387.82+110932</f>
        <v>173319.82</v>
      </c>
      <c r="AZ149" s="6">
        <v>0</v>
      </c>
      <c r="BB149" s="6">
        <v>0</v>
      </c>
      <c r="BD149" s="6">
        <v>0</v>
      </c>
      <c r="BF149" s="6">
        <v>0</v>
      </c>
      <c r="BH149" s="6">
        <v>0</v>
      </c>
      <c r="BJ149" s="6">
        <v>0</v>
      </c>
      <c r="BK149" s="6"/>
      <c r="BL149" s="6">
        <f>SUM(T149:BK149)</f>
        <v>173319.82</v>
      </c>
      <c r="BM149" s="6"/>
      <c r="BN149" s="6">
        <v>0</v>
      </c>
      <c r="BO149" s="6"/>
      <c r="BP149" s="6">
        <f>+R149-BL149+BN149</f>
        <v>550466.17999999993</v>
      </c>
      <c r="BQ149" s="22"/>
      <c r="BR149" s="6">
        <f>+BL149+BP149</f>
        <v>723786</v>
      </c>
      <c r="BS149" s="22"/>
      <c r="BT149" s="6">
        <f>+R149-BR149</f>
        <v>0</v>
      </c>
      <c r="BU149" s="6"/>
    </row>
    <row r="150" spans="1:73" hidden="1">
      <c r="A150" s="61"/>
      <c r="B150" s="17" t="s">
        <v>121</v>
      </c>
      <c r="E150" s="4"/>
      <c r="G150" s="4"/>
      <c r="I150" s="4"/>
      <c r="L150" s="134" t="s">
        <v>202</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247</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37000</v>
      </c>
      <c r="AW151" s="10"/>
      <c r="AX151" s="102">
        <f>SUM(AX148:AX150)</f>
        <v>210319.82</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247319.82</v>
      </c>
      <c r="BM151" s="9"/>
      <c r="BN151" s="102">
        <f>SUM(BN148:BN150)</f>
        <v>0</v>
      </c>
      <c r="BO151" s="9"/>
      <c r="BP151" s="102">
        <f>SUM(BP148:BP150)</f>
        <v>661466.17999999993</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120</v>
      </c>
      <c r="B153" s="58"/>
      <c r="J153" s="8" t="s">
        <v>0</v>
      </c>
      <c r="L153" s="143" t="s">
        <v>202</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216</v>
      </c>
      <c r="B155" s="31"/>
      <c r="J155" s="8" t="s">
        <v>0</v>
      </c>
      <c r="L155" s="134" t="s">
        <v>202</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750</v>
      </c>
      <c r="AW155" s="9"/>
      <c r="AX155" s="9">
        <v>44229</v>
      </c>
      <c r="AY155" s="9"/>
      <c r="AZ155" s="9">
        <v>0</v>
      </c>
      <c r="BA155" s="9"/>
      <c r="BB155" s="9">
        <v>0</v>
      </c>
      <c r="BC155" s="9"/>
      <c r="BD155" s="9">
        <v>0</v>
      </c>
      <c r="BE155" s="9"/>
      <c r="BF155" s="9">
        <v>0</v>
      </c>
      <c r="BG155" s="9"/>
      <c r="BH155" s="9">
        <v>0</v>
      </c>
      <c r="BI155" s="9"/>
      <c r="BJ155" s="9">
        <v>0</v>
      </c>
      <c r="BK155" s="9"/>
      <c r="BL155" s="9">
        <f>SUM(T155:BK155)</f>
        <v>99110</v>
      </c>
      <c r="BM155" s="9"/>
      <c r="BN155" s="9">
        <v>0</v>
      </c>
      <c r="BO155" s="9"/>
      <c r="BP155" s="6">
        <f>IF(+R155-BL155+BN155&gt;0,R155-BL155+BN155,0)</f>
        <v>1400890</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202</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202</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207</v>
      </c>
      <c r="E162" s="4"/>
      <c r="G162" s="4"/>
      <c r="I162" s="4"/>
      <c r="J162" s="5" t="s">
        <v>0</v>
      </c>
      <c r="L162" s="134" t="s">
        <v>202</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15000</v>
      </c>
      <c r="AX162" s="6">
        <v>3220.61</v>
      </c>
      <c r="AZ162" s="6">
        <v>0</v>
      </c>
      <c r="BB162" s="6">
        <v>0</v>
      </c>
      <c r="BD162" s="6">
        <v>0</v>
      </c>
      <c r="BF162" s="6">
        <v>0</v>
      </c>
      <c r="BH162" s="6">
        <v>0</v>
      </c>
      <c r="BJ162" s="6">
        <v>0</v>
      </c>
      <c r="BK162" s="6"/>
      <c r="BL162" s="6">
        <f>SUM(T162:BK162)</f>
        <v>62220.61</v>
      </c>
      <c r="BM162" s="6"/>
      <c r="BN162" s="6">
        <v>1000</v>
      </c>
      <c r="BO162" s="6"/>
      <c r="BP162" s="6">
        <f>IF(+R162-BL162+BN162&gt;0,R162-BL162+BN162,0)</f>
        <v>0</v>
      </c>
      <c r="BR162" s="6">
        <f>+BL162+BP162</f>
        <v>62220.61</v>
      </c>
      <c r="BT162" s="6">
        <f>+R162-BR162</f>
        <v>-19720.61</v>
      </c>
      <c r="BU162" s="6"/>
    </row>
    <row r="163" spans="1:73">
      <c r="A163" s="61"/>
      <c r="B163" s="11" t="s">
        <v>208</v>
      </c>
      <c r="E163" s="4"/>
      <c r="G163" s="4"/>
      <c r="I163" s="4"/>
      <c r="J163" s="5" t="s">
        <v>0</v>
      </c>
      <c r="L163" s="134" t="s">
        <v>202</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209</v>
      </c>
      <c r="E164" s="4"/>
      <c r="G164" s="4"/>
      <c r="I164" s="4"/>
      <c r="J164" s="5" t="s">
        <v>0</v>
      </c>
      <c r="L164" s="134" t="s">
        <v>202</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f>498821.1+2500</f>
        <v>501321.1</v>
      </c>
      <c r="AX164" s="6">
        <v>-25183</v>
      </c>
      <c r="AZ164" s="6">
        <v>0</v>
      </c>
      <c r="BB164" s="6">
        <v>0</v>
      </c>
      <c r="BD164" s="6">
        <v>0</v>
      </c>
      <c r="BF164" s="6">
        <v>0</v>
      </c>
      <c r="BH164" s="6">
        <v>0</v>
      </c>
      <c r="BJ164" s="6">
        <v>0</v>
      </c>
      <c r="BK164" s="6"/>
      <c r="BL164" s="6">
        <f>SUM(T164:BK164)</f>
        <v>1808406.96</v>
      </c>
      <c r="BM164" s="6"/>
      <c r="BN164" s="6">
        <v>341944</v>
      </c>
      <c r="BO164" s="6"/>
      <c r="BP164" s="6">
        <f>IF(+R164-BL164+BN164&gt;0,R164-BL164+BN164,0)</f>
        <v>0</v>
      </c>
      <c r="BR164" s="6">
        <f>+BL164+BP164</f>
        <v>1808406.96</v>
      </c>
      <c r="BT164" s="6">
        <f>+R164-BR164</f>
        <v>-1080906.96</v>
      </c>
      <c r="BU164" s="6"/>
    </row>
    <row r="165" spans="1:73">
      <c r="A165" s="61"/>
      <c r="B165" s="11" t="s">
        <v>210</v>
      </c>
      <c r="E165" s="4"/>
      <c r="G165" s="4"/>
      <c r="I165" s="4"/>
      <c r="J165" s="5" t="s">
        <v>0</v>
      </c>
      <c r="L165" s="134" t="s">
        <v>202</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182</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516321.1</v>
      </c>
      <c r="AW166" s="10"/>
      <c r="AX166" s="102">
        <f>SUM(AX162:AX165)</f>
        <v>-21962.39</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1870627.57</v>
      </c>
      <c r="BM166" s="9"/>
      <c r="BN166" s="102">
        <f>SUM(BN162:BN165)</f>
        <v>342944</v>
      </c>
      <c r="BO166" s="9"/>
      <c r="BP166" s="102">
        <f>SUM(BP162:BP165)</f>
        <v>0</v>
      </c>
      <c r="BQ166" s="9"/>
      <c r="BR166" s="102">
        <f>SUM(BR162:BR165)</f>
        <v>1870627.57</v>
      </c>
      <c r="BS166" s="9"/>
      <c r="BT166" s="102">
        <f>SUM(BT162:BT165)</f>
        <v>-1100627.57</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260</v>
      </c>
      <c r="C169"/>
      <c r="D169"/>
      <c r="E169"/>
      <c r="F169"/>
      <c r="G169"/>
      <c r="H169"/>
      <c r="I169"/>
      <c r="J169" s="49"/>
      <c r="K169"/>
      <c r="L169" s="134" t="s">
        <v>203</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261</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262</v>
      </c>
      <c r="C171"/>
      <c r="D171"/>
      <c r="E171"/>
      <c r="F171"/>
      <c r="G171"/>
      <c r="H171"/>
      <c r="I171"/>
      <c r="J171" s="49"/>
      <c r="K171"/>
      <c r="L171" s="134" t="s">
        <v>203</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31364.26</v>
      </c>
      <c r="AX171" s="6">
        <v>9815.23</v>
      </c>
      <c r="AZ171" s="6">
        <v>0</v>
      </c>
      <c r="BB171" s="6">
        <v>0</v>
      </c>
      <c r="BD171" s="6">
        <v>0</v>
      </c>
      <c r="BF171" s="6">
        <v>0</v>
      </c>
      <c r="BH171" s="6">
        <v>0</v>
      </c>
      <c r="BJ171" s="6">
        <v>0</v>
      </c>
      <c r="BK171" s="6"/>
      <c r="BL171" s="6">
        <f>SUM(T171:BK171)</f>
        <v>429565.44999999995</v>
      </c>
      <c r="BM171" s="6"/>
      <c r="BN171" s="6">
        <v>0</v>
      </c>
      <c r="BO171" s="6"/>
      <c r="BP171" s="6">
        <f>IF(+R171-BL171+BN171&gt;0,R171-BL171+BN171,0)</f>
        <v>20434.550000000047</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183</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31364.26</v>
      </c>
      <c r="AW173" s="10"/>
      <c r="AX173" s="102">
        <f>SUM(AX169:AX172)</f>
        <v>9815.23</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429565.44999999995</v>
      </c>
      <c r="BM173" s="9"/>
      <c r="BN173" s="102">
        <f>SUM(BN169:BN172)</f>
        <v>0</v>
      </c>
      <c r="BO173" s="9"/>
      <c r="BP173" s="102">
        <f>SUM(BP169:BP172)</f>
        <v>20434.550000000047</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278</v>
      </c>
      <c r="B175" s="31"/>
      <c r="J175" s="8" t="s">
        <v>0</v>
      </c>
      <c r="L175" s="134" t="s">
        <v>202</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202</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385500</v>
      </c>
      <c r="AY177" s="9"/>
      <c r="AZ177" s="9">
        <v>0</v>
      </c>
      <c r="BA177" s="9"/>
      <c r="BB177" s="9">
        <v>0</v>
      </c>
      <c r="BC177" s="9"/>
      <c r="BD177" s="9">
        <v>0</v>
      </c>
      <c r="BE177" s="9"/>
      <c r="BF177" s="9">
        <v>0</v>
      </c>
      <c r="BG177" s="9"/>
      <c r="BH177" s="9">
        <v>0</v>
      </c>
      <c r="BI177" s="9"/>
      <c r="BJ177" s="9">
        <v>0</v>
      </c>
      <c r="BK177" s="9"/>
      <c r="BL177" s="9">
        <f>SUM(T177:BK177)</f>
        <v>1331500</v>
      </c>
      <c r="BM177" s="9"/>
      <c r="BN177" s="9">
        <v>0</v>
      </c>
      <c r="BO177" s="9"/>
      <c r="BP177" s="6">
        <f>IF(+R177-BL177+BN177&gt;0,R177-BL177+BN177,0)</f>
        <v>168500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178</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179</v>
      </c>
      <c r="C180"/>
      <c r="D180"/>
      <c r="E180"/>
      <c r="F180"/>
      <c r="G180"/>
      <c r="H180"/>
      <c r="I180"/>
      <c r="J180" s="49"/>
      <c r="K180"/>
      <c r="L180" s="134" t="s">
        <v>202</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180</v>
      </c>
      <c r="C181"/>
      <c r="D181"/>
      <c r="E181"/>
      <c r="F181"/>
      <c r="G181"/>
      <c r="H181"/>
      <c r="I181"/>
      <c r="J181" s="49"/>
      <c r="K181"/>
      <c r="L181" s="134" t="s">
        <v>202</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121</v>
      </c>
      <c r="C182"/>
      <c r="D182"/>
      <c r="E182"/>
      <c r="F182"/>
      <c r="G182"/>
      <c r="H182"/>
      <c r="I182"/>
      <c r="J182" s="49"/>
      <c r="K182"/>
      <c r="L182" s="134" t="s">
        <v>202</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181</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202</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202</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24646.400000000001</v>
      </c>
      <c r="AW187" s="10"/>
      <c r="AX187" s="10">
        <v>0</v>
      </c>
      <c r="AY187" s="10"/>
      <c r="AZ187" s="10">
        <v>0</v>
      </c>
      <c r="BA187" s="10"/>
      <c r="BB187" s="10">
        <v>0</v>
      </c>
      <c r="BC187" s="10"/>
      <c r="BD187" s="10">
        <v>0</v>
      </c>
      <c r="BE187" s="10"/>
      <c r="BF187" s="10">
        <v>0</v>
      </c>
      <c r="BG187" s="10"/>
      <c r="BH187" s="10">
        <v>0</v>
      </c>
      <c r="BI187" s="10"/>
      <c r="BJ187" s="10">
        <v>0</v>
      </c>
      <c r="BK187" s="10"/>
      <c r="BL187" s="10">
        <f>SUM(T187:BK187)</f>
        <v>104221.5</v>
      </c>
      <c r="BM187" s="10"/>
      <c r="BN187" s="10">
        <v>0</v>
      </c>
      <c r="BO187" s="10"/>
      <c r="BP187" s="6">
        <f>IF(+R187-BL187+BN187&gt;0,R187-BL187+BN187,0)</f>
        <v>95778.5</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184</v>
      </c>
      <c r="J190" s="160"/>
      <c r="L190" s="146" t="s">
        <v>203</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203</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1927.44</v>
      </c>
      <c r="AW191" s="12"/>
      <c r="AX191" s="12">
        <v>5311.06</v>
      </c>
      <c r="AY191" s="12"/>
      <c r="AZ191" s="12">
        <v>0</v>
      </c>
      <c r="BA191" s="12"/>
      <c r="BB191" s="12">
        <v>0</v>
      </c>
      <c r="BC191" s="12"/>
      <c r="BD191" s="12">
        <v>0</v>
      </c>
      <c r="BE191" s="12"/>
      <c r="BF191" s="12">
        <v>0</v>
      </c>
      <c r="BG191" s="12"/>
      <c r="BH191" s="12">
        <v>0</v>
      </c>
      <c r="BI191" s="12"/>
      <c r="BJ191" s="12">
        <v>0</v>
      </c>
      <c r="BK191" s="12"/>
      <c r="BL191" s="12">
        <f t="shared" si="28"/>
        <v>76106.75</v>
      </c>
      <c r="BM191" s="12"/>
      <c r="BN191" s="12">
        <v>0</v>
      </c>
      <c r="BO191" s="12"/>
      <c r="BP191" s="6">
        <f t="shared" si="29"/>
        <v>73893.25</v>
      </c>
      <c r="BQ191" s="12"/>
      <c r="BR191" s="6">
        <f t="shared" si="30"/>
        <v>150000</v>
      </c>
      <c r="BS191" s="12"/>
      <c r="BT191" s="6">
        <f t="shared" si="31"/>
        <v>0</v>
      </c>
      <c r="BU191" s="12"/>
    </row>
    <row r="192" spans="1:73" s="11" customFormat="1">
      <c r="A192" s="17"/>
      <c r="B192" s="11" t="s">
        <v>217</v>
      </c>
      <c r="J192" s="160"/>
      <c r="L192" s="146" t="s">
        <v>203</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121</v>
      </c>
      <c r="J193" s="160"/>
      <c r="L193" s="146" t="s">
        <v>203</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29874.240000000002</v>
      </c>
      <c r="AW193" s="12"/>
      <c r="AX193" s="12">
        <v>46924.57</v>
      </c>
      <c r="AY193" s="12"/>
      <c r="AZ193" s="12">
        <v>0</v>
      </c>
      <c r="BA193" s="12"/>
      <c r="BB193" s="12">
        <v>0</v>
      </c>
      <c r="BC193" s="12"/>
      <c r="BD193" s="12">
        <v>0</v>
      </c>
      <c r="BE193" s="12"/>
      <c r="BF193" s="12">
        <v>0</v>
      </c>
      <c r="BG193" s="12"/>
      <c r="BH193" s="12">
        <v>0</v>
      </c>
      <c r="BI193" s="12"/>
      <c r="BJ193" s="12">
        <v>0</v>
      </c>
      <c r="BK193" s="12"/>
      <c r="BL193" s="12">
        <f t="shared" si="28"/>
        <v>225918.59999999998</v>
      </c>
      <c r="BM193" s="12"/>
      <c r="BN193" s="12">
        <v>0</v>
      </c>
      <c r="BO193" s="12"/>
      <c r="BP193" s="6">
        <f t="shared" si="29"/>
        <v>0</v>
      </c>
      <c r="BQ193" s="12"/>
      <c r="BR193" s="6">
        <f t="shared" si="30"/>
        <v>225918.59999999998</v>
      </c>
      <c r="BS193" s="12"/>
      <c r="BT193" s="6">
        <f t="shared" si="31"/>
        <v>-5918.5999999999767</v>
      </c>
      <c r="BU193" s="12"/>
    </row>
    <row r="194" spans="1:122" s="11" customFormat="1">
      <c r="A194" s="17"/>
      <c r="B194" s="11" t="s">
        <v>492</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282</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v>9122.91</v>
      </c>
      <c r="AW195" s="12"/>
      <c r="AX195" s="12"/>
      <c r="AY195" s="12"/>
      <c r="AZ195" s="12"/>
      <c r="BA195" s="12"/>
      <c r="BB195" s="12"/>
      <c r="BC195" s="12"/>
      <c r="BD195" s="12"/>
      <c r="BE195" s="12"/>
      <c r="BF195" s="12"/>
      <c r="BG195" s="12"/>
      <c r="BH195" s="12"/>
      <c r="BI195" s="12"/>
      <c r="BJ195" s="12"/>
      <c r="BK195" s="12"/>
      <c r="BL195" s="12">
        <f t="shared" si="28"/>
        <v>168356.08</v>
      </c>
      <c r="BM195" s="12"/>
      <c r="BN195" s="12">
        <v>159233</v>
      </c>
      <c r="BO195" s="12"/>
      <c r="BP195" s="6">
        <f t="shared" si="29"/>
        <v>0</v>
      </c>
      <c r="BQ195" s="12"/>
      <c r="BR195" s="6">
        <f t="shared" si="30"/>
        <v>168356.08</v>
      </c>
      <c r="BS195" s="12"/>
      <c r="BT195" s="6">
        <f t="shared" si="31"/>
        <v>-168356.08</v>
      </c>
      <c r="BU195" s="12"/>
    </row>
    <row r="196" spans="1:122" s="21" customFormat="1">
      <c r="A196" s="56"/>
      <c r="B196" s="31" t="s">
        <v>40</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40924.589999999997</v>
      </c>
      <c r="AW196" s="102">
        <f t="shared" si="32"/>
        <v>0</v>
      </c>
      <c r="AX196" s="102">
        <f t="shared" si="32"/>
        <v>52235.63</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679919.41999999993</v>
      </c>
      <c r="BM196" s="102">
        <f t="shared" si="32"/>
        <v>0</v>
      </c>
      <c r="BN196" s="102">
        <f t="shared" si="32"/>
        <v>159233</v>
      </c>
      <c r="BO196" s="102">
        <f t="shared" si="32"/>
        <v>0</v>
      </c>
      <c r="BP196" s="102">
        <f t="shared" si="32"/>
        <v>89396.07</v>
      </c>
      <c r="BQ196" s="102">
        <f t="shared" si="32"/>
        <v>0</v>
      </c>
      <c r="BR196" s="102">
        <f t="shared" si="32"/>
        <v>769315.48999999987</v>
      </c>
      <c r="BS196" s="102">
        <f t="shared" si="32"/>
        <v>0</v>
      </c>
      <c r="BT196" s="102">
        <f t="shared" si="32"/>
        <v>-369315.49</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203</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501</v>
      </c>
      <c r="J200" s="160"/>
      <c r="L200" s="146"/>
      <c r="M200" s="12"/>
      <c r="N200" s="12"/>
      <c r="O200" s="12"/>
      <c r="P200" s="12"/>
      <c r="Q200" s="12"/>
      <c r="R200" s="6">
        <v>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v>49463.67</v>
      </c>
      <c r="AU200" s="12"/>
      <c r="AV200" s="12"/>
      <c r="AW200" s="12"/>
      <c r="AX200" s="12"/>
      <c r="AY200" s="12"/>
      <c r="AZ200" s="12"/>
      <c r="BA200" s="12"/>
      <c r="BB200" s="12"/>
      <c r="BC200" s="12"/>
      <c r="BD200" s="12"/>
      <c r="BE200" s="12"/>
      <c r="BF200" s="12"/>
      <c r="BG200" s="12"/>
      <c r="BH200" s="12"/>
      <c r="BI200" s="12"/>
      <c r="BJ200" s="12"/>
      <c r="BK200" s="12"/>
      <c r="BL200" s="12">
        <f>SUM(T200:BK200)</f>
        <v>301672.13</v>
      </c>
      <c r="BM200" s="12"/>
      <c r="BN200" s="12">
        <v>0</v>
      </c>
      <c r="BO200" s="12"/>
      <c r="BP200" s="6">
        <f>IF(+R200-BL200+BN200&gt;0,R200-BL200+BN200,0)</f>
        <v>0</v>
      </c>
      <c r="BQ200" s="12"/>
      <c r="BR200" s="6">
        <f>+BL200+BP200</f>
        <v>301672.13</v>
      </c>
      <c r="BS200" s="12"/>
      <c r="BT200" s="6">
        <f>+R200-BR200</f>
        <v>-301672.13</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121</v>
      </c>
      <c r="J201" s="160"/>
      <c r="L201" s="146" t="s">
        <v>203</v>
      </c>
      <c r="M201" s="12"/>
      <c r="N201" s="12">
        <v>500000</v>
      </c>
      <c r="O201" s="12"/>
      <c r="P201" s="12">
        <v>-300000</v>
      </c>
      <c r="Q201" s="12"/>
      <c r="R201" s="6">
        <v>400000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13664.6</v>
      </c>
      <c r="AW201" s="12"/>
      <c r="AX201" s="12">
        <v>7710.95</v>
      </c>
      <c r="AY201" s="12"/>
      <c r="AZ201" s="12">
        <v>0</v>
      </c>
      <c r="BA201" s="12"/>
      <c r="BB201" s="12">
        <v>0</v>
      </c>
      <c r="BC201" s="12"/>
      <c r="BD201" s="12">
        <v>0</v>
      </c>
      <c r="BE201" s="12"/>
      <c r="BF201" s="12">
        <v>0</v>
      </c>
      <c r="BG201" s="12"/>
      <c r="BH201" s="12">
        <v>0</v>
      </c>
      <c r="BI201" s="12"/>
      <c r="BJ201" s="12">
        <v>0</v>
      </c>
      <c r="BK201" s="12"/>
      <c r="BL201" s="12">
        <f>SUM(T201:BK201)</f>
        <v>170677.19000000003</v>
      </c>
      <c r="BM201" s="12"/>
      <c r="BN201" s="12">
        <v>0</v>
      </c>
      <c r="BO201" s="12"/>
      <c r="BP201" s="6">
        <f>IF(+R201-BL201+BN201&gt;0,R201-BL201+BN201,0)</f>
        <v>229322.80999999997</v>
      </c>
      <c r="BQ201" s="12"/>
      <c r="BR201" s="6">
        <f>+BL201+BP201</f>
        <v>400000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41</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54824.009999999995</v>
      </c>
      <c r="AU203" s="10"/>
      <c r="AV203" s="102">
        <f>SUM(AV199:AV202)</f>
        <v>13664.6</v>
      </c>
      <c r="AW203" s="10"/>
      <c r="AX203" s="102">
        <f>SUM(AX199:AX202)</f>
        <v>7710.95</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472349.32000000007</v>
      </c>
      <c r="BM203" s="9"/>
      <c r="BN203" s="102">
        <f>SUM(BN199:BN202)</f>
        <v>0</v>
      </c>
      <c r="BO203" s="9"/>
      <c r="BP203" s="102">
        <f>SUM(BP199:BP202)</f>
        <v>229322.80999999997</v>
      </c>
      <c r="BQ203" s="9"/>
      <c r="BR203" s="102">
        <f>SUM(BR199:BR202)</f>
        <v>701672.13</v>
      </c>
      <c r="BS203" s="9"/>
      <c r="BT203" s="102">
        <f>SUM(BT199:BT202)</f>
        <v>-301672.13</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249</v>
      </c>
      <c r="J205" s="159"/>
      <c r="L205" s="145" t="s">
        <v>202</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f>[1]Wheatland!$P$39</f>
        <v>563836.3251100413</v>
      </c>
      <c r="AU205" s="10"/>
      <c r="AV205" s="10">
        <f>[1]Wheatland!$Q$39</f>
        <v>615994.85825994285</v>
      </c>
      <c r="AW205" s="10"/>
      <c r="AX205" s="10">
        <v>0</v>
      </c>
      <c r="AY205" s="10"/>
      <c r="AZ205" s="10">
        <v>0</v>
      </c>
      <c r="BA205" s="10"/>
      <c r="BB205" s="10">
        <v>0</v>
      </c>
      <c r="BC205" s="10"/>
      <c r="BD205" s="10">
        <v>0</v>
      </c>
      <c r="BE205" s="10"/>
      <c r="BF205" s="10">
        <v>0</v>
      </c>
      <c r="BG205" s="10"/>
      <c r="BH205" s="10">
        <v>0</v>
      </c>
      <c r="BI205" s="10"/>
      <c r="BJ205" s="10">
        <v>0</v>
      </c>
      <c r="BK205" s="10"/>
      <c r="BL205" s="10">
        <f>SUM(T205:BK205)</f>
        <v>6676909.4170186371</v>
      </c>
      <c r="BM205" s="10"/>
      <c r="BN205" s="10">
        <f>-R205+[1]Wheatland!$Y$39</f>
        <v>-345753.46115188859</v>
      </c>
      <c r="BO205" s="10"/>
      <c r="BP205" s="6">
        <f>IF(+R205-BL205+BN205&gt;0,R205-BL205+BN205,0)</f>
        <v>3009662.1218294743</v>
      </c>
      <c r="BQ205" s="10"/>
      <c r="BR205" s="9">
        <f>+BL205+BP205</f>
        <v>9686571.5388481114</v>
      </c>
      <c r="BS205" s="10"/>
      <c r="BT205" s="9">
        <f>+R205-BR205</f>
        <v>345753.46115188859</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248</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968319.9451100413</v>
      </c>
      <c r="AU207" s="120">
        <f t="shared" si="33"/>
        <v>0</v>
      </c>
      <c r="AV207" s="120">
        <f t="shared" si="33"/>
        <v>1280665.808259943</v>
      </c>
      <c r="AW207" s="120">
        <f t="shared" si="33"/>
        <v>0</v>
      </c>
      <c r="AX207" s="120">
        <f t="shared" si="33"/>
        <v>687848.24</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12121517.497018637</v>
      </c>
      <c r="BM207" s="120">
        <f t="shared" si="33"/>
        <v>0</v>
      </c>
      <c r="BN207" s="120">
        <f t="shared" si="33"/>
        <v>156423.53884811141</v>
      </c>
      <c r="BO207" s="120">
        <f t="shared" si="33"/>
        <v>0</v>
      </c>
      <c r="BP207" s="120">
        <f t="shared" si="33"/>
        <v>12888186.231829476</v>
      </c>
      <c r="BQ207" s="120">
        <f t="shared" si="33"/>
        <v>0</v>
      </c>
      <c r="BR207" s="120">
        <f t="shared" si="33"/>
        <v>25009703.728848111</v>
      </c>
      <c r="BS207" s="120">
        <f t="shared" si="33"/>
        <v>0</v>
      </c>
      <c r="BT207" s="120">
        <f t="shared" si="33"/>
        <v>-1425861.7288481114</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190</v>
      </c>
      <c r="B209" s="31"/>
      <c r="J209" s="8"/>
      <c r="L209" s="143" t="s">
        <v>202</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253</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8750380.3051100411</v>
      </c>
      <c r="AU212" s="168">
        <f t="shared" si="34"/>
        <v>0</v>
      </c>
      <c r="AV212" s="168">
        <f t="shared" si="34"/>
        <v>9706071.6582599431</v>
      </c>
      <c r="AW212" s="168">
        <f t="shared" si="34"/>
        <v>0</v>
      </c>
      <c r="AX212" s="168">
        <f t="shared" si="34"/>
        <v>964220.58</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115885969.09701866</v>
      </c>
      <c r="BM212" s="168">
        <f t="shared" si="34"/>
        <v>2589412</v>
      </c>
      <c r="BN212" s="168">
        <f t="shared" si="34"/>
        <v>3822915.5388481114</v>
      </c>
      <c r="BO212" s="168">
        <f t="shared" si="34"/>
        <v>3445639</v>
      </c>
      <c r="BP212" s="168">
        <f t="shared" si="34"/>
        <v>45868189.731829464</v>
      </c>
      <c r="BQ212" s="168">
        <f t="shared" si="34"/>
        <v>5467108</v>
      </c>
      <c r="BR212" s="168">
        <f t="shared" si="34"/>
        <v>162698023.82884809</v>
      </c>
      <c r="BS212" s="168">
        <f t="shared" si="34"/>
        <v>9789592</v>
      </c>
      <c r="BT212" s="168">
        <f t="shared" si="34"/>
        <v>-1180075.7288481109</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251</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346166.00814648531</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219</v>
      </c>
      <c r="B215" s="31"/>
      <c r="J215" s="8"/>
      <c r="L215" s="143" t="s">
        <v>202</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250</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269</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252</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8750380.3051100411</v>
      </c>
      <c r="AU221" s="10">
        <f t="shared" si="35"/>
        <v>0</v>
      </c>
      <c r="AV221" s="10">
        <f t="shared" si="35"/>
        <v>9706071.6582599431</v>
      </c>
      <c r="AW221" s="10">
        <f t="shared" si="35"/>
        <v>0</v>
      </c>
      <c r="AX221" s="10">
        <f t="shared" si="35"/>
        <v>964220.58</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115774647.60701866</v>
      </c>
      <c r="BM221" s="10">
        <f t="shared" si="35"/>
        <v>2589412</v>
      </c>
      <c r="BN221" s="10">
        <f>BN212+BN215+BN217+BN219</f>
        <v>3822915.5388481114</v>
      </c>
      <c r="BO221" s="10">
        <f t="shared" si="35"/>
        <v>3445639</v>
      </c>
      <c r="BP221" s="10">
        <f t="shared" si="35"/>
        <v>45868189.221829467</v>
      </c>
      <c r="BQ221" s="10">
        <f t="shared" si="35"/>
        <v>5467108</v>
      </c>
      <c r="BR221" s="10">
        <f t="shared" si="35"/>
        <v>162586701.82884809</v>
      </c>
      <c r="BS221" s="10">
        <f t="shared" si="35"/>
        <v>9789592</v>
      </c>
      <c r="BT221" s="10">
        <f t="shared" si="35"/>
        <v>-1180075.7288481109</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75">
      <c r="A224" s="131" t="s">
        <v>199</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198</v>
      </c>
      <c r="C225"/>
      <c r="D225"/>
      <c r="E225"/>
      <c r="F225"/>
      <c r="G225"/>
      <c r="H225"/>
      <c r="I225"/>
      <c r="J225" s="49"/>
      <c r="K225"/>
      <c r="L225" s="134" t="s">
        <v>203</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203</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203</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5" thickBot="1">
      <c r="A230" s="128" t="s">
        <v>265</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5"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5" thickBot="1">
      <c r="A234" s="131" t="s">
        <v>266</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8750380.3051100411</v>
      </c>
      <c r="AU234" s="121">
        <f t="shared" si="36"/>
        <v>0</v>
      </c>
      <c r="AV234" s="121">
        <f t="shared" si="36"/>
        <v>9706071.6582599431</v>
      </c>
      <c r="AW234" s="121">
        <f t="shared" si="36"/>
        <v>0</v>
      </c>
      <c r="AX234" s="121">
        <f t="shared" ref="AX234:BT234" si="37">AX212+AX230</f>
        <v>964220.58</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115901069.09701866</v>
      </c>
      <c r="BM234" s="121">
        <f t="shared" si="37"/>
        <v>2589412</v>
      </c>
      <c r="BN234" s="121">
        <f t="shared" si="37"/>
        <v>3822915.5388481114</v>
      </c>
      <c r="BO234" s="121">
        <f t="shared" si="37"/>
        <v>3445639</v>
      </c>
      <c r="BP234" s="121">
        <f t="shared" si="37"/>
        <v>45868189.731829464</v>
      </c>
      <c r="BQ234" s="121">
        <f t="shared" si="37"/>
        <v>5467108</v>
      </c>
      <c r="BR234" s="121">
        <f t="shared" si="37"/>
        <v>162713123.82884809</v>
      </c>
      <c r="BS234" s="121">
        <f t="shared" si="37"/>
        <v>9789592</v>
      </c>
      <c r="BT234" s="121">
        <f t="shared" si="37"/>
        <v>-1180075.7288481109</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5"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270</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8750380.3051100411</v>
      </c>
      <c r="AU236" s="121">
        <f t="shared" si="38"/>
        <v>0</v>
      </c>
      <c r="AV236" s="121">
        <f t="shared" si="38"/>
        <v>9706071.6582599431</v>
      </c>
      <c r="AW236" s="121">
        <f t="shared" si="38"/>
        <v>0</v>
      </c>
      <c r="AX236" s="121">
        <f t="shared" si="38"/>
        <v>964220.58</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115789747.60701866</v>
      </c>
      <c r="BM236" s="121">
        <f t="shared" si="38"/>
        <v>2589412</v>
      </c>
      <c r="BN236" s="121">
        <f t="shared" si="38"/>
        <v>3822915.5388481114</v>
      </c>
      <c r="BO236" s="121">
        <f t="shared" si="38"/>
        <v>3445639</v>
      </c>
      <c r="BP236" s="121">
        <f t="shared" si="38"/>
        <v>45868189.221829467</v>
      </c>
      <c r="BQ236" s="121">
        <f t="shared" si="38"/>
        <v>5467108</v>
      </c>
      <c r="BR236" s="121">
        <f t="shared" si="38"/>
        <v>162601801.82884809</v>
      </c>
      <c r="BS236" s="121">
        <f t="shared" si="38"/>
        <v>9789592</v>
      </c>
      <c r="BT236" s="121">
        <f t="shared" si="38"/>
        <v>-1180075.7288481109</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2000-03-28T15:08:26Z</cp:lastPrinted>
  <dcterms:created xsi:type="dcterms:W3CDTF">1998-11-04T14:40:39Z</dcterms:created>
  <dcterms:modified xsi:type="dcterms:W3CDTF">2023-09-13T23:03:43Z</dcterms:modified>
</cp:coreProperties>
</file>