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C8DC07-BE89-4528-967F-35B6E3D086B1}" xr6:coauthVersionLast="47" xr6:coauthVersionMax="47" xr10:uidLastSave="{00000000-0000-0000-0000-000000000000}"/>
  <bookViews>
    <workbookView xWindow="-120" yWindow="-120" windowWidth="38640" windowHeight="15720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C19" i="2"/>
  <c r="D19" i="2"/>
  <c r="O19" i="2"/>
  <c r="B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B35" i="2"/>
  <c r="C35" i="2"/>
  <c r="D35" i="2"/>
  <c r="G35" i="2"/>
  <c r="H35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C49" i="2"/>
  <c r="D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6" i="2"/>
  <c r="H66" i="2"/>
  <c r="H67" i="2"/>
  <c r="C69" i="2"/>
  <c r="D69" i="2"/>
  <c r="H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<sst xmlns="http://schemas.openxmlformats.org/spreadsheetml/2006/main" count="609" uniqueCount="473">
  <si>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</si>
  <si>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</si>
  <si>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</si>
  <si>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</si>
  <si>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</si>
  <si>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</si>
  <si>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</si>
  <si>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</si>
  <si>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</si>
  <si>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</si>
  <si>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</si>
  <si>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</si>
  <si>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</si>
  <si>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</si>
  <si>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</si>
  <si>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</si>
  <si>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</si>
  <si>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</si>
  <si>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</si>
  <si>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</si>
  <si>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</si>
  <si>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</si>
  <si>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</si>
  <si>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</si>
  <si>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</si>
  <si>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</si>
  <si>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</si>
  <si>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</si>
  <si>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</si>
  <si>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</si>
  <si>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</si>
  <si>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</si>
  <si>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</si>
  <si>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</si>
  <si>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</si>
  <si>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</si>
  <si>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</si>
  <si>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</si>
  <si>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</si>
  <si>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</si>
  <si>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</si>
  <si>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</si>
  <si>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</si>
  <si>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</si>
  <si>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</si>
  <si>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</si>
  <si>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</si>
  <si>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</si>
  <si>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</si>
  <si>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</si>
  <si>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</si>
  <si>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</si>
  <si>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</si>
  <si>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</si>
  <si>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</si>
  <si>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</si>
  <si>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</si>
  <si>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</si>
  <si>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</si>
  <si>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</si>
  <si>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</si>
  <si>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</si>
  <si>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</si>
  <si>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</si>
  <si>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</si>
  <si>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</si>
  <si>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</si>
  <si>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</si>
  <si>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</si>
  <si>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</si>
  <si>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</si>
  <si>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</si>
  <si>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</si>
  <si>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</si>
  <si>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</si>
  <si>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</si>
  <si>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</si>
  <si>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</si>
  <si>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</si>
  <si>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</si>
  <si>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</si>
  <si>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</si>
  <si>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</si>
  <si>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</si>
  <si>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</si>
  <si>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</si>
  <si>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</si>
  <si>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</si>
  <si>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</si>
  <si>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</si>
  <si>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</si>
  <si>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</si>
  <si>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</si>
  <si>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</si>
  <si>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</si>
  <si>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</si>
  <si>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</si>
  <si>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</si>
  <si>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</si>
  <si>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</si>
  <si>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</si>
  <si>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</si>
  <si>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</si>
  <si>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</si>
  <si>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</si>
  <si>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</si>
  <si>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</si>
  <si>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</si>
  <si>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</si>
  <si>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</si>
  <si>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</si>
  <si>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</si>
  <si>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</si>
  <si>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</si>
  <si>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</si>
  <si>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</si>
  <si>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</si>
  <si>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</si>
  <si>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</si>
  <si>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</si>
  <si>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</si>
  <si>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</si>
  <si>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</si>
  <si>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</si>
  <si>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</si>
  <si>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</si>
  <si>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</si>
  <si>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</si>
  <si>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</si>
  <si>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</si>
  <si>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</si>
  <si>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</si>
  <si>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</si>
  <si>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</si>
  <si>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</si>
  <si>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</si>
  <si>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</si>
  <si>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</si>
  <si>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</si>
  <si>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</si>
  <si>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</si>
  <si>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</si>
  <si>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</si>
  <si>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</si>
  <si>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</si>
  <si>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</si>
  <si>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</si>
  <si>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</si>
  <si>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</si>
  <si>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</si>
  <si>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</si>
  <si>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</si>
  <si>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</si>
  <si>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</si>
  <si>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</si>
  <si>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</si>
  <si>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</si>
  <si>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</si>
  <si>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</si>
  <si>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</si>
  <si>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</si>
  <si>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</si>
  <si>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</si>
  <si>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</si>
  <si>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</si>
  <si>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</si>
  <si>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</si>
  <si>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</si>
  <si>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</si>
  <si>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</si>
  <si>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</si>
  <si>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</si>
  <si>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</si>
  <si>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</si>
  <si>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</si>
  <si>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</si>
  <si>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</si>
  <si>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</si>
  <si>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</si>
  <si>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</si>
  <si>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</si>
  <si>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</si>
  <si>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</si>
  <si>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</si>
  <si>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</si>
  <si>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</si>
  <si>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</si>
  <si>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</si>
  <si>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</si>
  <si>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</si>
  <si>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</si>
  <si>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</si>
  <si>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</si>
  <si>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</si>
  <si>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</si>
  <si>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</si>
  <si>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</si>
  <si>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</si>
  <si>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</si>
  <si>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</si>
  <si>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</si>
  <si>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</si>
  <si>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</si>
  <si>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</si>
  <si>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</si>
  <si>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</si>
  <si>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</si>
  <si>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</si>
  <si>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</si>
  <si>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</si>
  <si>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</si>
  <si>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</si>
  <si>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</si>
  <si>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</si>
  <si>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</si>
  <si>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</si>
  <si>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</si>
  <si>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</si>
  <si>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</si>
  <si>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</si>
  <si>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</si>
  <si>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</si>
  <si>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</si>
  <si>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</si>
  <si>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</si>
  <si>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</si>
  <si>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</si>
  <si>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</si>
  <si>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</si>
  <si>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</si>
  <si>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</si>
  <si>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</si>
  <si>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</si>
  <si>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</si>
  <si>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</si>
  <si>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</si>
  <si>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</si>
  <si>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</si>
  <si>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</si>
  <si>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</si>
  <si>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</si>
  <si>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</si>
  <si>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</si>
  <si>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</si>
  <si>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</si>
  <si>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</si>
  <si>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</si>
  <si>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</si>
  <si>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</si>
  <si>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</si>
  <si>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</si>
  <si>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</si>
  <si>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</si>
  <si>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</si>
  <si>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</si>
  <si>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</si>
  <si>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</si>
  <si>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</si>
  <si>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</si>
  <si>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</si>
  <si>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</si>
  <si>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</si>
  <si>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</si>
  <si>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</si>
  <si>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</si>
  <si>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</si>
  <si>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</si>
  <si>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</si>
  <si>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</si>
  <si>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</si>
  <si>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</si>
  <si>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</si>
  <si>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</si>
  <si>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</si>
  <si>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</si>
  <si>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</si>
  <si>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</si>
  <si>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</si>
  <si>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</si>
  <si>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</si>
  <si>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</si>
  <si>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</si>
  <si>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</si>
  <si>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</si>
  <si>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</si>
  <si>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</si>
  <si>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</si>
  <si>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</si>
  <si>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</si>
  <si>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</si>
  <si>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</si>
  <si>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</si>
  <si>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</si>
  <si>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</si>
  <si>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</si>
  <si>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</si>
  <si>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</si>
  <si>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</si>
  <si>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</si>
  <si>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</si>
  <si>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</si>
  <si>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</si>
  <si>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</si>
  <si>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</si>
  <si>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</si>
  <si>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</si>
  <si>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</si>
  <si>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</si>
  <si>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</si>
  <si>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</si>
  <si>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</si>
  <si>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</si>
  <si>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</si>
  <si>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</si>
  <si>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</si>
  <si>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</si>
  <si>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</si>
  <si>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</si>
  <si>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</si>
  <si>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</si>
  <si>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</si>
  <si>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</si>
  <si>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</si>
  <si>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</si>
  <si>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</si>
  <si>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</si>
  <si>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</si>
  <si>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</si>
  <si>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</si>
  <si>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</si>
  <si>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</si>
  <si>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</si>
  <si>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</si>
  <si>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</si>
  <si>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</si>
  <si>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</si>
  <si>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</si>
  <si>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</si>
  <si>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</si>
  <si>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</si>
  <si>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</si>
  <si>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</si>
  <si>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</si>
  <si>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</si>
  <si>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</si>
  <si>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</si>
  <si>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</si>
  <si>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</si>
  <si>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</si>
  <si>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</si>
  <si>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</si>
  <si>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</si>
  <si>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</si>
  <si>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</si>
  <si>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</si>
  <si>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</si>
  <si>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</si>
  <si>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</si>
  <si>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</si>
  <si>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</si>
  <si>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</si>
  <si>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</si>
  <si>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</si>
  <si>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</si>
  <si>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</si>
  <si>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</si>
  <si>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</si>
  <si>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</si>
  <si>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</si>
  <si>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</si>
  <si>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</si>
  <si>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</si>
  <si>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</si>
  <si>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</si>
  <si>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</si>
  <si>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</si>
  <si>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</si>
  <si>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</si>
  <si>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</si>
  <si>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</si>
  <si>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</si>
  <si>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</si>
  <si>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</si>
  <si>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</si>
  <si>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</si>
  <si>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</si>
  <si>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</si>
  <si>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</si>
  <si>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</si>
  <si>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</si>
  <si>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</si>
  <si>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</si>
  <si>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</si>
  <si>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</si>
  <si>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</si>
  <si>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</si>
  <si>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</si>
  <si>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</si>
  <si>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</si>
  <si>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</si>
  <si>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</si>
  <si>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</si>
  <si>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</si>
  <si>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</si>
  <si>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</si>
  <si>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</si>
  <si>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</si>
  <si>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</si>
  <si>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</si>
  <si>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</si>
  <si>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</si>
  <si>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</si>
  <si>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</si>
  <si>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</si>
  <si>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</si>
  <si>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</si>
  <si>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</si>
  <si>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</si>
  <si>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</si>
  <si>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</si>
  <si>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</si>
  <si>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</si>
  <si>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</si>
  <si>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</si>
  <si>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</si>
  <si>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</si>
  <si>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</si>
  <si>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</si>
  <si>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</si>
  <si>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</si>
  <si>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</si>
  <si>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</si>
  <si>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</si>
  <si>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</si>
  <si>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</si>
  <si>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</si>
  <si>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</si>
  <si>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</si>
  <si>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</si>
  <si>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</si>
  <si>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</si>
  <si>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</si>
  <si>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</si>
  <si>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</si>
  <si>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</si>
  <si>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</si>
  <si>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</si>
  <si>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</si>
  <si>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</si>
  <si>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</si>
  <si>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</si>
  <si>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</si>
  <si>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</si>
  <si>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</si>
  <si>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</si>
  <si>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</si>
  <si>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</si>
  <si>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</si>
  <si>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</si>
  <si>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</si>
  <si>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</si>
  <si>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</si>
  <si>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</si>
  <si>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</si>
  <si>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</si>
  <si>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</si>
  <si>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</si>
  <si>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</si>
  <si>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</si>
  <si>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</si>
  <si>
    <t>Basis Per Turbine w/Enhanced Sprint Option</t>
  </si>
  <si>
    <t>Maintenance Exp.</t>
  </si>
  <si>
    <t>UAE NEPCO Cost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</si>
</sst>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5C2D467-9B7B-5B72-74AB-745FB4FCB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FD96D02-06E4-ABF5-4C59-1DD677EA3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894CA5E-86FF-B8F0-DEF2-98C541C66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679FB11D-41AC-A05A-DED1-FBDA26CCB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3B669963-2EAD-477D-66D6-C57AAA60E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165</v>
      </c>
      <c r="C2" s="5"/>
    </row>
    <row r="3" spans="1:18" s="46" customFormat="1" ht="15.75"/>
    <row r="4" spans="1:18" s="46" customFormat="1" ht="18.75">
      <c r="A4" s="465">
        <v>1</v>
      </c>
      <c r="B4" s="204" t="s">
        <v>398</v>
      </c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</row>
    <row r="5" spans="1:18" s="46" customFormat="1" ht="18.75">
      <c r="B5" s="204" t="s">
        <v>399</v>
      </c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</row>
    <row r="6" spans="1:18" s="46" customFormat="1" ht="15.75">
      <c r="A6" s="12">
        <v>2</v>
      </c>
      <c r="B6" s="53" t="s">
        <v>310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206</v>
      </c>
    </row>
    <row r="13" spans="1:18" s="46" customFormat="1" ht="15.75">
      <c r="A13" s="466"/>
      <c r="B13" s="12"/>
      <c r="C13" s="12"/>
      <c r="D13" s="12"/>
      <c r="E13" s="12"/>
      <c r="F13" s="12"/>
      <c r="G13" s="12"/>
      <c r="H13" s="12"/>
      <c r="I13" s="467" t="s">
        <v>207</v>
      </c>
      <c r="J13" s="12"/>
      <c r="K13" s="12"/>
      <c r="L13" s="12"/>
      <c r="M13" s="12"/>
      <c r="N13" s="12"/>
      <c r="O13" s="467"/>
      <c r="P13" s="12"/>
    </row>
    <row r="14" spans="1:18" s="46" customFormat="1" ht="15.75">
      <c r="A14" s="12">
        <v>1</v>
      </c>
      <c r="B14" s="12" t="s">
        <v>371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68"/>
      <c r="P14" s="12"/>
    </row>
    <row r="15" spans="1:18" s="46" customFormat="1" ht="15.75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8"/>
      <c r="P15" s="12"/>
    </row>
    <row r="16" spans="1:18" s="46" customFormat="1" ht="15.75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68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366</v>
      </c>
      <c r="J17" s="12"/>
      <c r="K17" s="12"/>
      <c r="L17" s="12"/>
      <c r="M17" s="12"/>
      <c r="N17" s="12"/>
      <c r="O17" s="468"/>
      <c r="P17" s="12"/>
    </row>
    <row r="18" spans="1:16" s="46" customFormat="1" ht="15.75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312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68"/>
      <c r="P19" s="12"/>
    </row>
    <row r="20" spans="1:16" s="46" customFormat="1" ht="15.75">
      <c r="A20" s="12">
        <v>6</v>
      </c>
      <c r="B20" s="12" t="s">
        <v>332</v>
      </c>
      <c r="C20" s="12"/>
      <c r="D20" s="12"/>
      <c r="E20" s="12"/>
      <c r="F20" s="12"/>
      <c r="G20" s="12"/>
      <c r="H20" s="12"/>
      <c r="I20" s="12" t="s">
        <v>333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364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68"/>
      <c r="P21" s="12"/>
    </row>
    <row r="22" spans="1:16" s="46" customFormat="1" ht="15.75">
      <c r="A22" s="12">
        <v>8</v>
      </c>
      <c r="B22" s="12" t="s">
        <v>367</v>
      </c>
      <c r="C22" s="12"/>
      <c r="D22" s="12"/>
      <c r="E22" s="12"/>
      <c r="F22" s="12"/>
      <c r="G22" s="12"/>
      <c r="H22" s="12"/>
      <c r="I22" s="12" t="s">
        <v>368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275</v>
      </c>
    </row>
    <row r="28" spans="1:16" s="46" customFormat="1" ht="18.75">
      <c r="A28" s="277"/>
    </row>
    <row r="29" spans="1:16" s="46" customFormat="1" ht="15.75">
      <c r="A29" s="12"/>
      <c r="B29" s="469" t="s">
        <v>300</v>
      </c>
      <c r="C29" s="12"/>
      <c r="D29" s="12"/>
      <c r="E29" s="469" t="s">
        <v>299</v>
      </c>
      <c r="F29" s="469"/>
      <c r="G29" s="469"/>
      <c r="H29" s="469" t="s">
        <v>301</v>
      </c>
      <c r="I29" s="12"/>
      <c r="J29" s="12"/>
    </row>
    <row r="30" spans="1:16" s="46" customFormat="1" ht="15.75">
      <c r="A30" s="12"/>
      <c r="B30" s="12" t="s">
        <v>373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75">
      <c r="A32" s="12"/>
      <c r="B32" s="12" t="s">
        <v>374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75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75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75">
      <c r="A37" s="12"/>
      <c r="B37" s="12" t="s">
        <v>332</v>
      </c>
      <c r="C37" s="12"/>
      <c r="D37" s="12"/>
      <c r="E37" s="12" t="s">
        <v>333</v>
      </c>
      <c r="F37" s="12"/>
      <c r="G37" s="12"/>
      <c r="H37" s="12" t="s">
        <v>330</v>
      </c>
      <c r="I37" s="12"/>
      <c r="J37" s="12"/>
    </row>
    <row r="38" spans="1:10" s="46" customFormat="1" ht="15.75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331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291</v>
      </c>
      <c r="I41" s="12"/>
      <c r="J41" s="12"/>
    </row>
    <row r="42" spans="1:10" s="46" customFormat="1" ht="15.75">
      <c r="A42" s="12"/>
      <c r="B42" s="12" t="s">
        <v>369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368</v>
      </c>
      <c r="F43" s="12"/>
      <c r="G43" s="12"/>
      <c r="H43" s="12" t="s">
        <v>370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3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5" thickBot="1">
      <c r="A7" s="121" t="s">
        <v>39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2" t="s">
        <v>390</v>
      </c>
      <c r="B11" s="383">
        <f>B29+B38</f>
        <v>7232.7665885016231</v>
      </c>
      <c r="C11" s="383">
        <f t="shared" ref="C11:AF11" si="1">C29+C38</f>
        <v>17413.099816069094</v>
      </c>
      <c r="D11" s="383">
        <f t="shared" si="1"/>
        <v>17437.808845838175</v>
      </c>
      <c r="E11" s="383">
        <f t="shared" si="1"/>
        <v>17411.688084402151</v>
      </c>
      <c r="F11" s="383">
        <f t="shared" si="1"/>
        <v>17348.972889999859</v>
      </c>
      <c r="G11" s="383">
        <f t="shared" si="1"/>
        <v>17320.709739153797</v>
      </c>
      <c r="H11" s="383">
        <f t="shared" si="1"/>
        <v>17279.483398269833</v>
      </c>
      <c r="I11" s="383">
        <f t="shared" si="1"/>
        <v>17248.8426397437</v>
      </c>
      <c r="J11" s="383">
        <f t="shared" si="1"/>
        <v>17181.816842975575</v>
      </c>
      <c r="K11" s="383">
        <f t="shared" si="1"/>
        <v>17148.779220321583</v>
      </c>
      <c r="L11" s="383">
        <f t="shared" si="1"/>
        <v>17102.757231279073</v>
      </c>
      <c r="M11" s="383">
        <f t="shared" si="1"/>
        <v>17067.059613343084</v>
      </c>
      <c r="N11" s="383">
        <f t="shared" si="1"/>
        <v>16995.210140716626</v>
      </c>
      <c r="O11" s="383">
        <f t="shared" si="1"/>
        <v>16956.830433295359</v>
      </c>
      <c r="P11" s="458">
        <f t="shared" si="1"/>
        <v>16905.442110533328</v>
      </c>
      <c r="Q11" s="383">
        <f t="shared" si="1"/>
        <v>16864.085898915728</v>
      </c>
      <c r="R11" s="383">
        <f t="shared" si="1"/>
        <v>16786.837585268346</v>
      </c>
      <c r="S11" s="383">
        <f t="shared" si="1"/>
        <v>16742.479546636496</v>
      </c>
      <c r="T11" s="383">
        <f t="shared" si="1"/>
        <v>16685.085151279858</v>
      </c>
      <c r="U11" s="383">
        <f t="shared" si="1"/>
        <v>16637.395804577609</v>
      </c>
      <c r="V11" s="383">
        <f t="shared" si="1"/>
        <v>7265.0062765472703</v>
      </c>
      <c r="W11" s="383">
        <f t="shared" si="1"/>
        <v>-725.9753419674721</v>
      </c>
      <c r="X11" s="383">
        <f t="shared" si="1"/>
        <v>-2402.4758052468742</v>
      </c>
      <c r="Y11" s="383">
        <f t="shared" si="1"/>
        <v>-2470.0891069585573</v>
      </c>
      <c r="Z11" s="383">
        <f t="shared" si="1"/>
        <v>-2534.4788045924934</v>
      </c>
      <c r="AA11" s="383">
        <f t="shared" si="1"/>
        <v>-2605.854368751749</v>
      </c>
      <c r="AB11" s="383">
        <f t="shared" si="1"/>
        <v>-2677.4996564478879</v>
      </c>
      <c r="AC11" s="383">
        <f t="shared" si="1"/>
        <v>-2753.0503540454356</v>
      </c>
      <c r="AD11" s="383">
        <f t="shared" si="1"/>
        <v>-2825.0177794085248</v>
      </c>
      <c r="AE11" s="383">
        <f t="shared" si="1"/>
        <v>-2904.7815180495863</v>
      </c>
      <c r="AF11" s="458">
        <f t="shared" si="1"/>
        <v>-3734.037551023604</v>
      </c>
      <c r="AG11"/>
      <c r="AN11" s="518">
        <f>IF(MONTH(C23)=MONTH(Assumptions!G34),1,2)</f>
        <v>1</v>
      </c>
    </row>
    <row r="12" spans="1:40">
      <c r="A12" s="384" t="s">
        <v>0</v>
      </c>
      <c r="B12" s="380">
        <v>1.3</v>
      </c>
      <c r="C12" s="380">
        <v>1.3</v>
      </c>
      <c r="D12" s="380">
        <v>1.3</v>
      </c>
      <c r="E12" s="380">
        <v>1.3</v>
      </c>
      <c r="F12" s="380">
        <v>1.3</v>
      </c>
      <c r="G12" s="380">
        <v>1.3</v>
      </c>
      <c r="H12" s="380">
        <v>1.3</v>
      </c>
      <c r="I12" s="380">
        <v>1.3</v>
      </c>
      <c r="J12" s="380">
        <v>1.3</v>
      </c>
      <c r="K12" s="380">
        <v>1.3</v>
      </c>
      <c r="L12" s="380">
        <v>1.3</v>
      </c>
      <c r="M12" s="380">
        <v>1.3</v>
      </c>
      <c r="N12" s="380">
        <v>1.3</v>
      </c>
      <c r="O12" s="380">
        <v>1.3</v>
      </c>
      <c r="P12" s="385">
        <v>1.3</v>
      </c>
      <c r="Q12" s="380">
        <v>1.3</v>
      </c>
      <c r="R12" s="380">
        <v>1.3</v>
      </c>
      <c r="S12" s="380">
        <v>1.3</v>
      </c>
      <c r="T12" s="380">
        <v>1.3</v>
      </c>
      <c r="U12" s="380">
        <v>1.3</v>
      </c>
      <c r="V12" s="380">
        <v>1.3</v>
      </c>
      <c r="W12" s="380">
        <v>1.3</v>
      </c>
      <c r="X12" s="380">
        <v>1.3</v>
      </c>
      <c r="Y12" s="380">
        <v>1.3</v>
      </c>
      <c r="Z12" s="380">
        <v>1.3</v>
      </c>
      <c r="AA12" s="380">
        <v>1.3</v>
      </c>
      <c r="AB12" s="380">
        <v>1.3</v>
      </c>
      <c r="AC12" s="380">
        <v>1.3</v>
      </c>
      <c r="AD12" s="380">
        <v>1.3</v>
      </c>
      <c r="AE12" s="380">
        <v>1.3</v>
      </c>
      <c r="AF12" s="385">
        <v>1.3</v>
      </c>
      <c r="AG12"/>
      <c r="AN12" s="518">
        <f>IF(AN11=1,6,15)</f>
        <v>6</v>
      </c>
    </row>
    <row r="13" spans="1:40">
      <c r="A13" s="386" t="s">
        <v>325</v>
      </c>
      <c r="B13" s="302">
        <f>B11/B12</f>
        <v>5563.6666065397103</v>
      </c>
      <c r="C13" s="302">
        <f t="shared" ref="C13:AF13" si="2">C11/C12</f>
        <v>13394.692166206994</v>
      </c>
      <c r="D13" s="302">
        <f t="shared" si="2"/>
        <v>13413.699112183211</v>
      </c>
      <c r="E13" s="302">
        <f t="shared" si="2"/>
        <v>13393.606218770885</v>
      </c>
      <c r="F13" s="302">
        <f t="shared" si="2"/>
        <v>13345.363761538352</v>
      </c>
      <c r="G13" s="302">
        <f t="shared" si="2"/>
        <v>13323.622876272151</v>
      </c>
      <c r="H13" s="302">
        <f t="shared" si="2"/>
        <v>13291.910306361409</v>
      </c>
      <c r="I13" s="302">
        <f t="shared" si="2"/>
        <v>13268.340492110538</v>
      </c>
      <c r="J13" s="302">
        <f t="shared" si="2"/>
        <v>13216.782186904287</v>
      </c>
      <c r="K13" s="302">
        <f t="shared" si="2"/>
        <v>13191.368631016601</v>
      </c>
      <c r="L13" s="302">
        <f t="shared" si="2"/>
        <v>13155.967100983902</v>
      </c>
      <c r="M13" s="302">
        <f t="shared" si="2"/>
        <v>13128.507394879296</v>
      </c>
      <c r="N13" s="302">
        <f t="shared" si="2"/>
        <v>13073.238569782019</v>
      </c>
      <c r="O13" s="302">
        <f t="shared" si="2"/>
        <v>13043.715717919507</v>
      </c>
      <c r="P13" s="387">
        <f t="shared" si="2"/>
        <v>13004.186238871791</v>
      </c>
      <c r="Q13" s="302">
        <f t="shared" si="2"/>
        <v>12972.373768396714</v>
      </c>
      <c r="R13" s="302">
        <f t="shared" si="2"/>
        <v>12912.951988667957</v>
      </c>
      <c r="S13" s="302">
        <f t="shared" si="2"/>
        <v>12878.830420489612</v>
      </c>
      <c r="T13" s="302">
        <f t="shared" si="2"/>
        <v>12834.68088559989</v>
      </c>
      <c r="U13" s="302">
        <f t="shared" si="2"/>
        <v>12797.996772752007</v>
      </c>
      <c r="V13" s="302">
        <f t="shared" si="2"/>
        <v>5588.466366574823</v>
      </c>
      <c r="W13" s="302">
        <f t="shared" si="2"/>
        <v>-558.44257074420932</v>
      </c>
      <c r="X13" s="302">
        <f t="shared" si="2"/>
        <v>-1848.0583117283647</v>
      </c>
      <c r="Y13" s="302">
        <f t="shared" si="2"/>
        <v>-1900.0685438142748</v>
      </c>
      <c r="Z13" s="302">
        <f t="shared" si="2"/>
        <v>-1949.5990804557641</v>
      </c>
      <c r="AA13" s="302">
        <f t="shared" si="2"/>
        <v>-2004.5033605782685</v>
      </c>
      <c r="AB13" s="302">
        <f t="shared" si="2"/>
        <v>-2059.6151203445293</v>
      </c>
      <c r="AC13" s="302">
        <f t="shared" si="2"/>
        <v>-2117.7310415734119</v>
      </c>
      <c r="AD13" s="302">
        <f t="shared" si="2"/>
        <v>-2173.0905995450189</v>
      </c>
      <c r="AE13" s="302">
        <f t="shared" si="2"/>
        <v>-2234.4473215766047</v>
      </c>
      <c r="AF13" s="387">
        <f t="shared" si="2"/>
        <v>-2872.3365777104646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0"/>
      <c r="AG17"/>
    </row>
    <row r="18" spans="1:33">
      <c r="A18" s="53"/>
      <c r="B18" s="222"/>
      <c r="AG18"/>
    </row>
    <row r="19" spans="1:33">
      <c r="A19" s="11" t="s">
        <v>349</v>
      </c>
      <c r="B19" s="393">
        <v>91250.396034021513</v>
      </c>
      <c r="S19" s="18"/>
      <c r="AF19" s="65"/>
      <c r="AG19"/>
    </row>
    <row r="20" spans="1:33">
      <c r="A20" s="11" t="s">
        <v>348</v>
      </c>
      <c r="B20" s="398">
        <f>HLOOKUP(Assumptions!G34,B23:AF39,AN12)</f>
        <v>0</v>
      </c>
      <c r="AF20" s="520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1">
        <v>47969</v>
      </c>
    </row>
    <row r="24" spans="1:33">
      <c r="A24" s="48" t="s">
        <v>55</v>
      </c>
      <c r="B24"/>
      <c r="C24" s="48">
        <f>B45</f>
        <v>88840.208206234529</v>
      </c>
      <c r="D24" s="48">
        <f t="shared" ref="D24:AF24" si="3">C45</f>
        <v>82647.674372614769</v>
      </c>
      <c r="E24" s="48">
        <f t="shared" si="3"/>
        <v>75915.622013949629</v>
      </c>
      <c r="F24" s="48">
        <f t="shared" si="3"/>
        <v>68642.428955336116</v>
      </c>
      <c r="G24" s="48">
        <f t="shared" si="3"/>
        <v>60796.844724143404</v>
      </c>
      <c r="H24" s="48">
        <f t="shared" si="3"/>
        <v>52316.857794437557</v>
      </c>
      <c r="I24" s="48">
        <f t="shared" si="3"/>
        <v>43155.211257220668</v>
      </c>
      <c r="J24" s="48">
        <f t="shared" si="3"/>
        <v>33249.472740994199</v>
      </c>
      <c r="K24" s="48">
        <f t="shared" si="3"/>
        <v>22557.058869925233</v>
      </c>
      <c r="L24" s="48">
        <f t="shared" si="3"/>
        <v>10992.212172365686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569.99200459600479</v>
      </c>
      <c r="Y24" s="48">
        <f t="shared" si="3"/>
        <v>2504.2651570758112</v>
      </c>
      <c r="Z24" s="48">
        <f t="shared" si="3"/>
        <v>4654.5321939249288</v>
      </c>
      <c r="AA24" s="48">
        <f t="shared" si="3"/>
        <v>7036.0983498232808</v>
      </c>
      <c r="AB24" s="48">
        <f t="shared" si="3"/>
        <v>9674.5082454758922</v>
      </c>
      <c r="AC24" s="48">
        <f t="shared" si="3"/>
        <v>12591.327897163235</v>
      </c>
      <c r="AD24" s="48">
        <f t="shared" si="3"/>
        <v>15813.683421513299</v>
      </c>
      <c r="AE24" s="48">
        <f t="shared" si="3"/>
        <v>19362.328002460377</v>
      </c>
      <c r="AF24" s="48">
        <f t="shared" si="3"/>
        <v>23273.32508576976</v>
      </c>
      <c r="AG24"/>
    </row>
    <row r="25" spans="1:33">
      <c r="A25" s="48" t="s">
        <v>326</v>
      </c>
      <c r="B25"/>
      <c r="C25" s="378">
        <v>0</v>
      </c>
      <c r="D25" s="378">
        <v>0</v>
      </c>
      <c r="E25" s="378">
        <v>0</v>
      </c>
      <c r="F25" s="378">
        <v>0</v>
      </c>
      <c r="G25" s="378">
        <v>0</v>
      </c>
      <c r="H25" s="378">
        <v>0</v>
      </c>
      <c r="I25" s="378">
        <v>0</v>
      </c>
      <c r="J25" s="378">
        <v>0</v>
      </c>
      <c r="K25" s="378">
        <v>0</v>
      </c>
      <c r="L25" s="378">
        <v>0</v>
      </c>
      <c r="M25" s="378">
        <v>0</v>
      </c>
      <c r="N25" s="378">
        <v>0</v>
      </c>
      <c r="O25" s="378">
        <v>0</v>
      </c>
      <c r="P25" s="378">
        <v>0</v>
      </c>
      <c r="Q25" s="378">
        <v>0</v>
      </c>
      <c r="R25" s="378">
        <v>0</v>
      </c>
      <c r="S25" s="378">
        <v>0</v>
      </c>
      <c r="T25" s="378">
        <v>0</v>
      </c>
      <c r="U25" s="378">
        <v>0</v>
      </c>
      <c r="V25" s="378">
        <v>0</v>
      </c>
      <c r="W25" s="378">
        <v>0</v>
      </c>
      <c r="X25" s="378">
        <v>0</v>
      </c>
      <c r="Y25" s="378">
        <v>0</v>
      </c>
      <c r="Z25" s="378">
        <v>0</v>
      </c>
      <c r="AA25" s="378">
        <v>0</v>
      </c>
      <c r="AB25" s="378">
        <v>0</v>
      </c>
      <c r="AC25" s="378">
        <v>0</v>
      </c>
      <c r="AD25" s="378">
        <v>0</v>
      </c>
      <c r="AE25" s="378">
        <v>0</v>
      </c>
      <c r="AF25" s="378">
        <v>0</v>
      </c>
      <c r="AG25"/>
    </row>
    <row r="26" spans="1:33">
      <c r="A26" s="48" t="s">
        <v>56</v>
      </c>
      <c r="B26"/>
      <c r="C26" s="48">
        <f t="shared" ref="C26:AF26" si="4">C24-C28</f>
        <v>3043.9783801052545</v>
      </c>
      <c r="D26" s="48">
        <f t="shared" si="4"/>
        <v>3306.973307585271</v>
      </c>
      <c r="E26" s="48">
        <f t="shared" si="4"/>
        <v>3561.0173899673391</v>
      </c>
      <c r="F26" s="48">
        <f t="shared" si="4"/>
        <v>3852.7967930801387</v>
      </c>
      <c r="G26" s="48">
        <f t="shared" si="4"/>
        <v>4160.8124695524748</v>
      </c>
      <c r="H26" s="48">
        <f t="shared" si="4"/>
        <v>4493.7972907602089</v>
      </c>
      <c r="I26" s="48">
        <f t="shared" si="4"/>
        <v>4851.5925421671564</v>
      </c>
      <c r="J26" s="48">
        <f t="shared" si="4"/>
        <v>5242.4765449320221</v>
      </c>
      <c r="K26" s="48">
        <f t="shared" si="4"/>
        <v>5667.7548937769934</v>
      </c>
      <c r="L26" s="48">
        <f t="shared" si="4"/>
        <v>6125.7970689355943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-279.22128537210466</v>
      </c>
      <c r="X26" s="48">
        <f t="shared" si="4"/>
        <v>-947.47690914913846</v>
      </c>
      <c r="Y26" s="48">
        <f t="shared" si="4"/>
        <v>-1053.4759445018994</v>
      </c>
      <c r="Z26" s="48">
        <f t="shared" si="4"/>
        <v>-1166.0113916085738</v>
      </c>
      <c r="AA26" s="48">
        <f t="shared" si="4"/>
        <v>-1291.6955617209051</v>
      </c>
      <c r="AB26" s="48">
        <f t="shared" si="4"/>
        <v>-1427.7876733388966</v>
      </c>
      <c r="AC26" s="48">
        <f t="shared" si="4"/>
        <v>-1578.965404855102</v>
      </c>
      <c r="AD26" s="48">
        <f t="shared" si="4"/>
        <v>-1736.1838795898984</v>
      </c>
      <c r="AE26" s="48">
        <f t="shared" si="4"/>
        <v>-1913.7314825881476</v>
      </c>
      <c r="AF26" s="48">
        <f t="shared" si="4"/>
        <v>-2393.5627440958706</v>
      </c>
      <c r="AG26"/>
    </row>
    <row r="27" spans="1:33">
      <c r="A27" s="48" t="s">
        <v>57</v>
      </c>
      <c r="B27"/>
      <c r="C27" s="381">
        <f t="shared" ref="C27:AF27" si="5">C24*(C23-B41)/(C41-B41)*$E$64</f>
        <v>1827.3092139953583</v>
      </c>
      <c r="D27" s="381">
        <f t="shared" si="5"/>
        <v>1699.9381242531654</v>
      </c>
      <c r="E27" s="381">
        <f t="shared" si="5"/>
        <v>1574.3157679942012</v>
      </c>
      <c r="F27" s="381">
        <f t="shared" si="5"/>
        <v>1411.8713298142077</v>
      </c>
      <c r="G27" s="381">
        <f t="shared" si="5"/>
        <v>1250.499484291799</v>
      </c>
      <c r="H27" s="381">
        <f t="shared" si="5"/>
        <v>1076.0789312102465</v>
      </c>
      <c r="I27" s="381">
        <f t="shared" si="5"/>
        <v>894.94003672760891</v>
      </c>
      <c r="J27" s="381">
        <f t="shared" si="5"/>
        <v>683.89155233702445</v>
      </c>
      <c r="K27" s="381">
        <f t="shared" si="5"/>
        <v>463.96471086565401</v>
      </c>
      <c r="L27" s="381">
        <f t="shared" si="5"/>
        <v>226.09324077817914</v>
      </c>
      <c r="M27" s="381">
        <f t="shared" si="5"/>
        <v>0</v>
      </c>
      <c r="N27" s="381">
        <f t="shared" si="5"/>
        <v>0</v>
      </c>
      <c r="O27" s="381">
        <f t="shared" si="5"/>
        <v>0</v>
      </c>
      <c r="P27" s="381">
        <f t="shared" si="5"/>
        <v>0</v>
      </c>
      <c r="Q27" s="381">
        <f t="shared" si="5"/>
        <v>0</v>
      </c>
      <c r="R27" s="381">
        <f t="shared" si="5"/>
        <v>0</v>
      </c>
      <c r="S27" s="381">
        <f t="shared" si="5"/>
        <v>0</v>
      </c>
      <c r="T27" s="381">
        <f t="shared" si="5"/>
        <v>0</v>
      </c>
      <c r="U27" s="381">
        <f t="shared" si="5"/>
        <v>0</v>
      </c>
      <c r="V27" s="381">
        <f t="shared" si="5"/>
        <v>0</v>
      </c>
      <c r="W27" s="381">
        <f t="shared" si="5"/>
        <v>0</v>
      </c>
      <c r="X27" s="381">
        <f t="shared" si="5"/>
        <v>11.723876642478098</v>
      </c>
      <c r="Y27" s="381">
        <f t="shared" si="5"/>
        <v>51.932711863949201</v>
      </c>
      <c r="Z27" s="381">
        <f t="shared" si="5"/>
        <v>95.736713550387421</v>
      </c>
      <c r="AA27" s="381">
        <f t="shared" si="5"/>
        <v>144.72194071588572</v>
      </c>
      <c r="AB27" s="381">
        <f t="shared" si="5"/>
        <v>198.99005658331578</v>
      </c>
      <c r="AC27" s="381">
        <f t="shared" si="5"/>
        <v>261.11524245756544</v>
      </c>
      <c r="AD27" s="381">
        <f t="shared" si="5"/>
        <v>325.26363914249612</v>
      </c>
      <c r="AE27" s="381">
        <f t="shared" si="5"/>
        <v>398.25391089992138</v>
      </c>
      <c r="AF27" s="381">
        <f t="shared" si="5"/>
        <v>478.69722762031915</v>
      </c>
      <c r="AG27"/>
    </row>
    <row r="28" spans="1:33">
      <c r="A28" s="48" t="s">
        <v>58</v>
      </c>
      <c r="B28"/>
      <c r="C28" s="161">
        <f t="shared" ref="C28:AF28" si="6">MAX(C24+C25+B44+C27-0.5*C13,0)</f>
        <v>85796.229826129274</v>
      </c>
      <c r="D28" s="161">
        <f t="shared" si="6"/>
        <v>79340.701065029498</v>
      </c>
      <c r="E28" s="161">
        <f t="shared" si="6"/>
        <v>72354.60462398229</v>
      </c>
      <c r="F28" s="161">
        <f t="shared" si="6"/>
        <v>64789.632162255977</v>
      </c>
      <c r="G28" s="161">
        <f t="shared" si="6"/>
        <v>56636.032254590929</v>
      </c>
      <c r="H28" s="161">
        <f t="shared" si="6"/>
        <v>47823.060503677349</v>
      </c>
      <c r="I28" s="161">
        <f t="shared" si="6"/>
        <v>38303.618715053512</v>
      </c>
      <c r="J28" s="161">
        <f t="shared" si="6"/>
        <v>28006.996196062177</v>
      </c>
      <c r="K28" s="161">
        <f t="shared" si="6"/>
        <v>16889.30397614824</v>
      </c>
      <c r="L28" s="161">
        <f t="shared" si="6"/>
        <v>4866.4151034300912</v>
      </c>
      <c r="M28" s="161">
        <f t="shared" si="6"/>
        <v>0</v>
      </c>
      <c r="N28" s="161">
        <f t="shared" si="6"/>
        <v>0</v>
      </c>
      <c r="O28" s="161">
        <f t="shared" si="6"/>
        <v>0</v>
      </c>
      <c r="P28" s="161">
        <f t="shared" si="6"/>
        <v>0</v>
      </c>
      <c r="Q28" s="161">
        <f t="shared" si="6"/>
        <v>0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279.22128537210466</v>
      </c>
      <c r="X28" s="161">
        <f t="shared" si="6"/>
        <v>1517.4689137451433</v>
      </c>
      <c r="Y28" s="161">
        <f t="shared" si="6"/>
        <v>3557.7411015777107</v>
      </c>
      <c r="Z28" s="161">
        <f t="shared" si="6"/>
        <v>5820.5435855335027</v>
      </c>
      <c r="AA28" s="161">
        <f t="shared" si="6"/>
        <v>8327.7939115441859</v>
      </c>
      <c r="AB28" s="161">
        <f t="shared" si="6"/>
        <v>11102.295918814789</v>
      </c>
      <c r="AC28" s="161">
        <f t="shared" si="6"/>
        <v>14170.293302018337</v>
      </c>
      <c r="AD28" s="161">
        <f t="shared" si="6"/>
        <v>17549.867301103197</v>
      </c>
      <c r="AE28" s="161">
        <f t="shared" si="6"/>
        <v>21276.059485048525</v>
      </c>
      <c r="AF28" s="161">
        <f t="shared" si="6"/>
        <v>25666.887829865631</v>
      </c>
      <c r="AG28"/>
    </row>
    <row r="29" spans="1:33">
      <c r="A29" s="48" t="s">
        <v>328</v>
      </c>
      <c r="B29"/>
      <c r="C29" s="161">
        <f>(C23-B41)/(C41-B41)*IS!D32+(B41-B32)/(B41-Assumptions!H17)*IS!C32</f>
        <v>8656.3105466687557</v>
      </c>
      <c r="D29" s="161">
        <f>(D23-C41)/(D41-C41)*IS!E32+(C41-C32)/(C41-B41)*IS!D32</f>
        <v>8699.6657973967322</v>
      </c>
      <c r="E29" s="161">
        <f>(E23-D41)/(E41-D41)*IS!F32+(D41-D32)/(D41-C41)*IS!E32</f>
        <v>8716.5320769933423</v>
      </c>
      <c r="F29" s="161">
        <f>(F23-E41)/(F41-E41)*IS!G32+(E41-E32)/(E41-D41)*IS!F32</f>
        <v>8649.6924440298862</v>
      </c>
      <c r="G29" s="161">
        <f>(G23-F41)/(G41-F41)*IS!H32+(F41-F32)/(F41-E41)*IS!G32</f>
        <v>8641.6755724316172</v>
      </c>
      <c r="H29" s="161">
        <f>(H23-G41)/(H41-G41)*IS!I32+(G41-G32)/(G41-F41)*IS!H32</f>
        <v>8621.2594832637697</v>
      </c>
      <c r="I29" s="161">
        <f>(I23-H41)/(I41-H41)*IS!J32+(H41-H32)/(H41-G41)*IS!I32</f>
        <v>8635.6069058980793</v>
      </c>
      <c r="J29" s="161">
        <f>(J23-I41)/(J41-I41)*IS!K32+(I41-I32)/(I41-H41)*IS!J32</f>
        <v>8566.9700163895213</v>
      </c>
      <c r="K29" s="161">
        <f>(K23-J41)/(K41-J41)*IS!L32+(J41-J32)/(J41-I41)*IS!K32</f>
        <v>8556.5327382065516</v>
      </c>
      <c r="L29" s="161">
        <f>(L23-K41)/(L41-K41)*IS!M32+(K41-K32)/(K41-J41)*IS!L32</f>
        <v>8533.7421091929318</v>
      </c>
      <c r="M29" s="161">
        <f>(M23-L41)/(M41-L41)*IS!N32+(L41-L32)/(L41-K41)*IS!M32</f>
        <v>8545.2722201360084</v>
      </c>
      <c r="N29" s="161">
        <f>(N23-M41)/(N41-M41)*IS!O32+(M41-M32)/(M41-L41)*IS!N32</f>
        <v>8474.6232685659015</v>
      </c>
      <c r="O29" s="161">
        <f>(O23-N41)/(O41-N41)*IS!P32+(N41-N32)/(N41-M41)*IS!O32</f>
        <v>8461.4780102028963</v>
      </c>
      <c r="P29" s="161">
        <f>(P23-O41)/(P41-O41)*IS!Q32+(O41-O32)/(O41-N41)*IS!P32</f>
        <v>8436.0303013136745</v>
      </c>
      <c r="Q29" s="161">
        <f>(Q23-P41)/(Q41-P41)*IS!R32+(P41-P32)/(P41-O41)*IS!Q32</f>
        <v>8444.4086448699454</v>
      </c>
      <c r="R29" s="161">
        <f>(R23-Q41)/(R41-Q41)*IS!S32+(Q41-Q32)/(Q41-P41)*IS!R32</f>
        <v>8371.5067532028661</v>
      </c>
      <c r="S29" s="161">
        <f>(S23-R41)/(S41-R41)*IS!T32+(R41-R32)/(R41-Q41)*IS!S32</f>
        <v>8355.331184167444</v>
      </c>
      <c r="T29" s="161">
        <f>(T23-S41)/(T41-S41)*IS!U32+(S41-S32)/(S41-R41)*IS!T32</f>
        <v>8326.9096706246382</v>
      </c>
      <c r="U29" s="161">
        <f>(U23-T41)/(U41-T41)*IS!V32+(T41-T32)/(T41-S41)*IS!U32</f>
        <v>8331.7613918573279</v>
      </c>
      <c r="V29" s="161">
        <f>(V23-U41)/(V41-U41)*IS!W32+(U41-U32)/(U41-T41)*IS!V32</f>
        <v>5171.2711778224348</v>
      </c>
      <c r="W29" s="161">
        <f>(W23-V41)/(W41-V41)*IS!X32+(V41-V32)/(V41-U41)*IS!W32</f>
        <v>454.25597760919709</v>
      </c>
      <c r="X29" s="161">
        <f>(X23-W41)/(X41-W41)*IS!Y32+(W41-W32)/(W41-V41)*IS!X32</f>
        <v>-1189.8771837917607</v>
      </c>
      <c r="Y29" s="161">
        <f>(Y23-X41)/(Y41-X41)*IS!Z32+(X41-X32)/(X41-W41)*IS!Y32</f>
        <v>-1227.6169905185548</v>
      </c>
      <c r="Z29" s="161">
        <f>(Z23-Y41)/(Z41-Y41)*IS!AA32+(Y41-Y32)/(Y41-X41)*IS!Z32</f>
        <v>-1254.3888095399896</v>
      </c>
      <c r="AA29" s="161">
        <f>(AA23-Z41)/(AA41-Z41)*IS!AB32+(Z41-Z32)/(Z41-Y41)*IS!AA32</f>
        <v>-1290.5873617014124</v>
      </c>
      <c r="AB29" s="161">
        <f>(AB23-AA41)/(AB41-AA41)*IS!AC32+(AA41-AA32)/(AA41-Z41)*IS!AB32</f>
        <v>-1326.0648407968556</v>
      </c>
      <c r="AC29" s="161">
        <f>(AC23-AB41)/(AC41-AB41)*IS!AD32+(AB41-AB32)/(AB41-AA41)*IS!AC32</f>
        <v>-1368.2225483506327</v>
      </c>
      <c r="AD29" s="161">
        <f>(AD23-AC41)/(AD41-AC41)*IS!AE32+(AC41-AC32)/(AC41-AB41)*IS!AD32</f>
        <v>-1398.160395052565</v>
      </c>
      <c r="AE29" s="161">
        <f>(AE23-AD41)/(AE41-AD41)*IS!AF32+(AD41-AD32)/(AD41-AC41)*IS!AE32</f>
        <v>-1438.6100004339587</v>
      </c>
      <c r="AF29" s="161">
        <f>(AF23-AE41)/(AG23-AE41)*IS!AG32+(AE41-AE32)/(AE41-AD41)*IS!AF32</f>
        <v>-2989.0067100341753</v>
      </c>
      <c r="AG29"/>
    </row>
    <row r="30" spans="1:33">
      <c r="A30" s="401" t="s">
        <v>0</v>
      </c>
      <c r="B30" s="403"/>
      <c r="C30" s="402">
        <f>IF(C28&gt;0.1,C29/(C27+C26+B44)," ")</f>
        <v>1.2924986165053429</v>
      </c>
      <c r="D30" s="402">
        <f t="shared" ref="D30:AF30" si="7">IF(D28&gt;0.1,D29/(D27+D26+C44)," ")</f>
        <v>1.2971314958891726</v>
      </c>
      <c r="E30" s="402">
        <f t="shared" si="7"/>
        <v>1.3015959905969579</v>
      </c>
      <c r="F30" s="402">
        <f t="shared" si="7"/>
        <v>1.2962842525070029</v>
      </c>
      <c r="G30" s="402">
        <f t="shared" si="7"/>
        <v>1.2971960633652364</v>
      </c>
      <c r="H30" s="402">
        <f t="shared" si="7"/>
        <v>1.2972190278981499</v>
      </c>
      <c r="I30" s="402">
        <f t="shared" si="7"/>
        <v>1.3016860565242323</v>
      </c>
      <c r="J30" s="402">
        <f t="shared" si="7"/>
        <v>1.2963775743959849</v>
      </c>
      <c r="K30" s="402">
        <f t="shared" si="7"/>
        <v>1.2972926430223088</v>
      </c>
      <c r="L30" s="402">
        <f t="shared" si="7"/>
        <v>1.2973188582319748</v>
      </c>
      <c r="M30" s="402" t="str">
        <f t="shared" si="7"/>
        <v xml:space="preserve"> </v>
      </c>
      <c r="N30" s="402" t="str">
        <f t="shared" si="7"/>
        <v xml:space="preserve"> </v>
      </c>
      <c r="O30" s="402" t="str">
        <f t="shared" si="7"/>
        <v xml:space="preserve"> </v>
      </c>
      <c r="P30" s="402" t="str">
        <f t="shared" si="7"/>
        <v xml:space="preserve"> </v>
      </c>
      <c r="Q30" s="402" t="str">
        <f t="shared" si="7"/>
        <v xml:space="preserve"> </v>
      </c>
      <c r="R30" s="402" t="str">
        <f t="shared" si="7"/>
        <v xml:space="preserve"> 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>
        <f t="shared" si="7"/>
        <v>-1.6268672963231732</v>
      </c>
      <c r="X30" s="402">
        <f t="shared" si="7"/>
        <v>1.2877052376977745</v>
      </c>
      <c r="Y30" s="402">
        <f t="shared" si="7"/>
        <v>1.2921817947200855</v>
      </c>
      <c r="Z30" s="402">
        <f t="shared" si="7"/>
        <v>1.2868171944836444</v>
      </c>
      <c r="AA30" s="402">
        <f t="shared" si="7"/>
        <v>1.2876879002378909</v>
      </c>
      <c r="AB30" s="402">
        <f t="shared" si="7"/>
        <v>1.2876821768282933</v>
      </c>
      <c r="AC30" s="402">
        <f t="shared" si="7"/>
        <v>1.2921589394412267</v>
      </c>
      <c r="AD30" s="402">
        <f t="shared" si="7"/>
        <v>1.2867943889180689</v>
      </c>
      <c r="AE30" s="402">
        <f t="shared" si="7"/>
        <v>1.2876651747769876</v>
      </c>
      <c r="AF30" s="402">
        <f t="shared" si="7"/>
        <v>2.0812370898515717</v>
      </c>
      <c r="AG30"/>
    </row>
    <row r="31" spans="1:33">
      <c r="A31" s="11"/>
      <c r="B31" s="377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8">
        <f>B19</f>
        <v>91250.396034021513</v>
      </c>
      <c r="C33" s="48">
        <f>C28</f>
        <v>85796.229826129274</v>
      </c>
      <c r="D33" s="48">
        <f t="shared" ref="D33:AF33" si="8">D28</f>
        <v>79340.701065029498</v>
      </c>
      <c r="E33" s="48">
        <f t="shared" si="8"/>
        <v>72354.60462398229</v>
      </c>
      <c r="F33" s="48">
        <f t="shared" si="8"/>
        <v>64789.632162255977</v>
      </c>
      <c r="G33" s="48">
        <f t="shared" si="8"/>
        <v>56636.032254590929</v>
      </c>
      <c r="H33" s="48">
        <f t="shared" si="8"/>
        <v>47823.060503677349</v>
      </c>
      <c r="I33" s="48">
        <f t="shared" si="8"/>
        <v>38303.618715053512</v>
      </c>
      <c r="J33" s="48">
        <f t="shared" si="8"/>
        <v>28006.996196062177</v>
      </c>
      <c r="K33" s="48">
        <f t="shared" si="8"/>
        <v>16889.30397614824</v>
      </c>
      <c r="L33" s="48">
        <f t="shared" si="8"/>
        <v>4866.4151034300912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279.22128537210466</v>
      </c>
      <c r="X33" s="48">
        <f t="shared" si="8"/>
        <v>1517.4689137451433</v>
      </c>
      <c r="Y33" s="48">
        <f t="shared" si="8"/>
        <v>3557.7411015777107</v>
      </c>
      <c r="Z33" s="48">
        <f t="shared" si="8"/>
        <v>5820.5435855335027</v>
      </c>
      <c r="AA33" s="48">
        <f t="shared" si="8"/>
        <v>8327.7939115441859</v>
      </c>
      <c r="AB33" s="48">
        <f t="shared" si="8"/>
        <v>11102.295918814789</v>
      </c>
      <c r="AC33" s="48">
        <f t="shared" si="8"/>
        <v>14170.293302018337</v>
      </c>
      <c r="AD33" s="48">
        <f t="shared" si="8"/>
        <v>17549.867301103197</v>
      </c>
      <c r="AE33" s="48">
        <f t="shared" si="8"/>
        <v>21276.059485048525</v>
      </c>
      <c r="AF33" s="48">
        <f t="shared" si="8"/>
        <v>25666.887829865631</v>
      </c>
      <c r="AG33"/>
    </row>
    <row r="34" spans="1:39">
      <c r="A34" s="48" t="s">
        <v>326</v>
      </c>
      <c r="B34" s="378">
        <v>0</v>
      </c>
      <c r="C34" s="378">
        <v>0</v>
      </c>
      <c r="D34" s="378">
        <v>0</v>
      </c>
      <c r="E34" s="378">
        <v>0</v>
      </c>
      <c r="F34" s="378">
        <v>0</v>
      </c>
      <c r="G34" s="378">
        <v>0</v>
      </c>
      <c r="H34" s="378">
        <v>0</v>
      </c>
      <c r="I34" s="378">
        <v>0</v>
      </c>
      <c r="J34" s="378">
        <v>0</v>
      </c>
      <c r="K34" s="378">
        <v>0</v>
      </c>
      <c r="L34" s="378">
        <v>0</v>
      </c>
      <c r="M34" s="378">
        <v>0</v>
      </c>
      <c r="N34" s="378">
        <v>0</v>
      </c>
      <c r="O34" s="378">
        <v>0</v>
      </c>
      <c r="P34" s="378">
        <v>0</v>
      </c>
      <c r="Q34" s="378">
        <v>0</v>
      </c>
      <c r="R34" s="378">
        <v>0</v>
      </c>
      <c r="S34" s="378">
        <v>0</v>
      </c>
      <c r="T34" s="378">
        <v>0</v>
      </c>
      <c r="U34" s="378">
        <v>0</v>
      </c>
      <c r="V34" s="378">
        <v>0</v>
      </c>
      <c r="W34" s="378">
        <v>0</v>
      </c>
      <c r="X34" s="378">
        <v>0</v>
      </c>
      <c r="Y34" s="378">
        <v>0</v>
      </c>
      <c r="Z34" s="378">
        <v>0</v>
      </c>
      <c r="AA34" s="378">
        <v>0</v>
      </c>
      <c r="AB34" s="378">
        <v>0</v>
      </c>
      <c r="AC34" s="378">
        <v>0</v>
      </c>
      <c r="AD34" s="378">
        <v>0</v>
      </c>
      <c r="AE34" s="378">
        <v>0</v>
      </c>
      <c r="AF34" s="378">
        <v>0</v>
      </c>
      <c r="AG34"/>
    </row>
    <row r="35" spans="1:39">
      <c r="A35" s="48" t="s">
        <v>56</v>
      </c>
      <c r="B35" s="48">
        <f>B33-B37</f>
        <v>2410.1878277869837</v>
      </c>
      <c r="C35" s="48">
        <f>C33-C37</f>
        <v>3148.5554535145056</v>
      </c>
      <c r="D35" s="48">
        <f t="shared" ref="D35:AF35" si="9">D33-D37</f>
        <v>3425.0790510798688</v>
      </c>
      <c r="E35" s="48">
        <f t="shared" si="9"/>
        <v>3712.175668646174</v>
      </c>
      <c r="F35" s="48">
        <f t="shared" si="9"/>
        <v>3992.787438112573</v>
      </c>
      <c r="G35" s="48">
        <f t="shared" si="9"/>
        <v>4319.1744601533719</v>
      </c>
      <c r="H35" s="48">
        <f t="shared" si="9"/>
        <v>4667.8492464566807</v>
      </c>
      <c r="I35" s="48">
        <f t="shared" si="9"/>
        <v>5054.1459740593127</v>
      </c>
      <c r="J35" s="48">
        <f t="shared" si="9"/>
        <v>5449.9373261369437</v>
      </c>
      <c r="K35" s="48">
        <f t="shared" si="9"/>
        <v>5897.0918037825541</v>
      </c>
      <c r="L35" s="48">
        <f t="shared" si="9"/>
        <v>4866.4151034300912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-290.77071922390013</v>
      </c>
      <c r="X35" s="48">
        <f t="shared" si="9"/>
        <v>-986.79624333066795</v>
      </c>
      <c r="Y35" s="48">
        <f t="shared" si="9"/>
        <v>-1096.7910923472182</v>
      </c>
      <c r="Z35" s="48">
        <f t="shared" si="9"/>
        <v>-1215.5547642897782</v>
      </c>
      <c r="AA35" s="48">
        <f t="shared" si="9"/>
        <v>-1346.7143339317063</v>
      </c>
      <c r="AB35" s="48">
        <f t="shared" si="9"/>
        <v>-1489.0319783484465</v>
      </c>
      <c r="AC35" s="48">
        <f t="shared" si="9"/>
        <v>-1643.3901194949613</v>
      </c>
      <c r="AD35" s="48">
        <f t="shared" si="9"/>
        <v>-1812.4607013571804</v>
      </c>
      <c r="AE35" s="48">
        <f t="shared" si="9"/>
        <v>-1997.2656007212354</v>
      </c>
      <c r="AF35" s="48">
        <f t="shared" si="9"/>
        <v>-1610.2108844139111</v>
      </c>
      <c r="AG35"/>
    </row>
    <row r="36" spans="1:39">
      <c r="A36" s="48" t="s">
        <v>57</v>
      </c>
      <c r="B36" s="381">
        <f>B33*(B32-Assumptions!H17)/365.25*$E$64</f>
        <v>3153.4787787527357</v>
      </c>
      <c r="C36" s="381">
        <f t="shared" ref="C36:AF36" si="10">C33*(C32-C23)/(C41-B41)*$E$64</f>
        <v>3548.7906295890048</v>
      </c>
      <c r="D36" s="381">
        <f t="shared" si="10"/>
        <v>3281.7705050117343</v>
      </c>
      <c r="E36" s="381">
        <f t="shared" si="10"/>
        <v>2984.6274407392698</v>
      </c>
      <c r="F36" s="381">
        <f t="shared" si="10"/>
        <v>2679.8944426566013</v>
      </c>
      <c r="G36" s="381">
        <f t="shared" si="10"/>
        <v>2342.6369779827032</v>
      </c>
      <c r="H36" s="381">
        <f t="shared" si="10"/>
        <v>1978.1059067240242</v>
      </c>
      <c r="I36" s="381">
        <f t="shared" si="10"/>
        <v>1580.0242719959574</v>
      </c>
      <c r="J36" s="381">
        <f t="shared" si="10"/>
        <v>1158.453767315202</v>
      </c>
      <c r="K36" s="381">
        <f t="shared" si="10"/>
        <v>698.59251172574807</v>
      </c>
      <c r="L36" s="381">
        <f t="shared" si="10"/>
        <v>201.28959458639946</v>
      </c>
      <c r="M36" s="381">
        <f t="shared" si="10"/>
        <v>0</v>
      </c>
      <c r="N36" s="381">
        <f t="shared" si="10"/>
        <v>0</v>
      </c>
      <c r="O36" s="381">
        <f t="shared" si="10"/>
        <v>0</v>
      </c>
      <c r="P36" s="381">
        <f t="shared" si="10"/>
        <v>0</v>
      </c>
      <c r="Q36" s="381">
        <f t="shared" si="10"/>
        <v>0</v>
      </c>
      <c r="R36" s="381">
        <f t="shared" si="10"/>
        <v>0</v>
      </c>
      <c r="S36" s="381">
        <f t="shared" si="10"/>
        <v>0</v>
      </c>
      <c r="T36" s="381">
        <f t="shared" si="10"/>
        <v>0</v>
      </c>
      <c r="U36" s="381">
        <f t="shared" si="10"/>
        <v>0</v>
      </c>
      <c r="V36" s="381">
        <f t="shared" si="10"/>
        <v>0</v>
      </c>
      <c r="W36" s="381">
        <f t="shared" si="10"/>
        <v>11.549433851795479</v>
      </c>
      <c r="X36" s="381">
        <f t="shared" si="10"/>
        <v>62.767087466485762</v>
      </c>
      <c r="Y36" s="381">
        <f t="shared" si="10"/>
        <v>146.75682044008056</v>
      </c>
      <c r="Z36" s="381">
        <f t="shared" si="10"/>
        <v>240.75522406189606</v>
      </c>
      <c r="AA36" s="381">
        <f t="shared" si="10"/>
        <v>344.46265364257084</v>
      </c>
      <c r="AB36" s="381">
        <f t="shared" si="10"/>
        <v>459.22441817618159</v>
      </c>
      <c r="AC36" s="381">
        <f t="shared" si="10"/>
        <v>584.52459870825646</v>
      </c>
      <c r="AD36" s="381">
        <f t="shared" si="10"/>
        <v>725.91540158467262</v>
      </c>
      <c r="AE36" s="381">
        <f t="shared" si="10"/>
        <v>880.04193993293177</v>
      </c>
      <c r="AF36" s="381">
        <f t="shared" si="10"/>
        <v>174.04259555867793</v>
      </c>
      <c r="AG36"/>
    </row>
    <row r="37" spans="1:39">
      <c r="A37" s="48" t="s">
        <v>58</v>
      </c>
      <c r="B37" s="161">
        <f>MAX(B33+B34+B36-B13,0)</f>
        <v>88840.208206234529</v>
      </c>
      <c r="C37" s="161">
        <f>MAX(C33+C34+C36-0.5*C13,0)</f>
        <v>82647.674372614769</v>
      </c>
      <c r="D37" s="161">
        <f t="shared" ref="D37:AF37" si="11">MAX(D33+D34+D36-0.5*D13,0)</f>
        <v>75915.622013949629</v>
      </c>
      <c r="E37" s="161">
        <f t="shared" si="11"/>
        <v>68642.428955336116</v>
      </c>
      <c r="F37" s="161">
        <f t="shared" si="11"/>
        <v>60796.844724143404</v>
      </c>
      <c r="G37" s="161">
        <f t="shared" si="11"/>
        <v>52316.857794437557</v>
      </c>
      <c r="H37" s="161">
        <f t="shared" si="11"/>
        <v>43155.211257220668</v>
      </c>
      <c r="I37" s="161">
        <f t="shared" si="11"/>
        <v>33249.472740994199</v>
      </c>
      <c r="J37" s="161">
        <f t="shared" si="11"/>
        <v>22557.058869925233</v>
      </c>
      <c r="K37" s="161">
        <f t="shared" si="11"/>
        <v>10992.212172365686</v>
      </c>
      <c r="L37" s="161">
        <f t="shared" si="11"/>
        <v>0</v>
      </c>
      <c r="M37" s="161">
        <f t="shared" si="11"/>
        <v>0</v>
      </c>
      <c r="N37" s="161">
        <f t="shared" si="11"/>
        <v>0</v>
      </c>
      <c r="O37" s="161">
        <f t="shared" si="11"/>
        <v>0</v>
      </c>
      <c r="P37" s="161">
        <f t="shared" si="11"/>
        <v>0</v>
      </c>
      <c r="Q37" s="161">
        <f t="shared" si="11"/>
        <v>0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569.99200459600479</v>
      </c>
      <c r="X37" s="161">
        <f t="shared" si="11"/>
        <v>2504.2651570758112</v>
      </c>
      <c r="Y37" s="161">
        <f t="shared" si="11"/>
        <v>4654.5321939249288</v>
      </c>
      <c r="Z37" s="161">
        <f t="shared" si="11"/>
        <v>7036.0983498232808</v>
      </c>
      <c r="AA37" s="161">
        <f t="shared" si="11"/>
        <v>9674.5082454758922</v>
      </c>
      <c r="AB37" s="161">
        <f t="shared" si="11"/>
        <v>12591.327897163235</v>
      </c>
      <c r="AC37" s="161">
        <f t="shared" si="11"/>
        <v>15813.683421513299</v>
      </c>
      <c r="AD37" s="161">
        <f t="shared" si="11"/>
        <v>19362.328002460377</v>
      </c>
      <c r="AE37" s="161">
        <f t="shared" si="11"/>
        <v>23273.32508576976</v>
      </c>
      <c r="AF37" s="161">
        <f t="shared" si="11"/>
        <v>27277.098714279542</v>
      </c>
      <c r="AG37"/>
    </row>
    <row r="38" spans="1:39">
      <c r="A38" s="48" t="s">
        <v>328</v>
      </c>
      <c r="B38" s="161">
        <f>(B32-Assumptions!H17)/(Debt!B41-Assumptions!H17)*IS!C32</f>
        <v>7232.7665885016231</v>
      </c>
      <c r="C38" s="161">
        <f>(C32-C23)/(C41-B41)*IS!D32</f>
        <v>8756.7892694003403</v>
      </c>
      <c r="D38" s="161">
        <f>(D32-D23)/(D41-C41)*IS!E32</f>
        <v>8738.1430484414414</v>
      </c>
      <c r="E38" s="161">
        <f>(E32-E23)/(E41-D41)*IS!F32</f>
        <v>8695.1560074088102</v>
      </c>
      <c r="F38" s="161">
        <f>(F32-F23)/(F41-E41)*IS!G32</f>
        <v>8699.2804459699728</v>
      </c>
      <c r="G38" s="161">
        <f>(G32-G23)/(G41-F41)*IS!H32</f>
        <v>8679.0341667221801</v>
      </c>
      <c r="H38" s="161">
        <f>(H32-H23)/(H41-G41)*IS!I32</f>
        <v>8658.2239150060614</v>
      </c>
      <c r="I38" s="161">
        <f>(I32-I23)/(I41-H41)*IS!J32</f>
        <v>8613.2357338456204</v>
      </c>
      <c r="J38" s="161">
        <f>(J32-J23)/(J41-I41)*IS!K32</f>
        <v>8614.8468265860556</v>
      </c>
      <c r="K38" s="161">
        <f>(K32-K23)/(K41-J41)*IS!L32</f>
        <v>8592.2464821150315</v>
      </c>
      <c r="L38" s="161">
        <f>(L32-L23)/(L41-K41)*IS!M32</f>
        <v>8569.0151220861408</v>
      </c>
      <c r="M38" s="161">
        <f>(M32-M23)/(M41-L41)*IS!N32</f>
        <v>8521.7873932070761</v>
      </c>
      <c r="N38" s="161">
        <f>(N32-N23)/(N41-M41)*IS!O32</f>
        <v>8520.586872150725</v>
      </c>
      <c r="O38" s="161">
        <f>(O32-O23)/(O41-N41)*IS!P32</f>
        <v>8495.3524230924631</v>
      </c>
      <c r="P38" s="161">
        <f>(P32-P23)/(P41-O41)*IS!Q32</f>
        <v>8469.4118092196532</v>
      </c>
      <c r="Q38" s="161">
        <f>(Q32-Q23)/(Q41-P41)*IS!R32</f>
        <v>8419.6772540457805</v>
      </c>
      <c r="R38" s="161">
        <f>(R32-R23)/(R41-Q41)*IS!S32</f>
        <v>8415.3308320654778</v>
      </c>
      <c r="S38" s="161">
        <f>(S32-S23)/(S41-R41)*IS!T32</f>
        <v>8387.1483624690536</v>
      </c>
      <c r="T38" s="161">
        <f>(T32-T23)/(T41-S41)*IS!U32</f>
        <v>8358.1754806552199</v>
      </c>
      <c r="U38" s="161">
        <f>(U32-U23)/(U41-T41)*IS!V32</f>
        <v>8305.6344127202829</v>
      </c>
      <c r="V38" s="161">
        <f>(V32-V23)/(V41-U41)*IS!W32</f>
        <v>2093.7350987248351</v>
      </c>
      <c r="W38" s="161">
        <f>(W32-W23)/(W41-V41)*IS!X32</f>
        <v>-1180.2313195766692</v>
      </c>
      <c r="X38" s="161">
        <f>(X32-X23)/(X41-W41)*IS!Y32</f>
        <v>-1212.5986214551133</v>
      </c>
      <c r="Y38" s="161">
        <f>(Y32-Y23)/(Y41-X41)*IS!Z32</f>
        <v>-1242.4721164400025</v>
      </c>
      <c r="Z38" s="161">
        <f>(Z32-Z23)/(Z41-Y41)*IS!AA32</f>
        <v>-1280.089995052504</v>
      </c>
      <c r="AA38" s="161">
        <f>(AA32-AA23)/(AA41-Z41)*IS!AB32</f>
        <v>-1315.2670070503366</v>
      </c>
      <c r="AB38" s="161">
        <f>(AB32-AB23)/(AB41-AA41)*IS!AC32</f>
        <v>-1351.4348156510325</v>
      </c>
      <c r="AC38" s="161">
        <f>(AC32-AC23)/(AC41-AB41)*IS!AD32</f>
        <v>-1384.8278056948029</v>
      </c>
      <c r="AD38" s="161">
        <f>(AD32-AD23)/(AD41-AC41)*IS!AE32</f>
        <v>-1426.8573843559598</v>
      </c>
      <c r="AE38" s="161">
        <f>(AE32-AE23)/(AE41-AD41)*IS!AF32</f>
        <v>-1466.1715176156279</v>
      </c>
      <c r="AF38" s="161">
        <f>(AF32-AF23)/(AG23-AE41)*IS!AG32</f>
        <v>-745.03084098942884</v>
      </c>
      <c r="AG38"/>
    </row>
    <row r="39" spans="1:39">
      <c r="A39" s="401" t="s">
        <v>0</v>
      </c>
      <c r="B39" s="402">
        <f t="shared" ref="B39:AF39" si="12">IF(B37&gt;0.1,B38/(B36+B35)," ")</f>
        <v>1.2999999999999978</v>
      </c>
      <c r="C39" s="402">
        <f t="shared" si="12"/>
        <v>1.3075013834946538</v>
      </c>
      <c r="D39" s="402">
        <f t="shared" si="12"/>
        <v>1.3028685041108286</v>
      </c>
      <c r="E39" s="402">
        <f t="shared" si="12"/>
        <v>1.2984040094030407</v>
      </c>
      <c r="F39" s="402">
        <f t="shared" si="12"/>
        <v>1.3037157474929988</v>
      </c>
      <c r="G39" s="402">
        <f t="shared" si="12"/>
        <v>1.3028039366347643</v>
      </c>
      <c r="H39" s="402">
        <f t="shared" si="12"/>
        <v>1.3027809721018506</v>
      </c>
      <c r="I39" s="402">
        <f t="shared" si="12"/>
        <v>1.2983139434757676</v>
      </c>
      <c r="J39" s="402">
        <f t="shared" si="12"/>
        <v>1.3036224256040152</v>
      </c>
      <c r="K39" s="402">
        <f t="shared" si="12"/>
        <v>1.302707356977691</v>
      </c>
      <c r="L39" s="402" t="str">
        <f t="shared" si="12"/>
        <v xml:space="preserve"> </v>
      </c>
      <c r="M39" s="402" t="str">
        <f t="shared" si="12"/>
        <v xml:space="preserve"> </v>
      </c>
      <c r="N39" s="402" t="str">
        <f t="shared" si="12"/>
        <v xml:space="preserve"> </v>
      </c>
      <c r="O39" s="402" t="str">
        <f t="shared" si="12"/>
        <v xml:space="preserve"> </v>
      </c>
      <c r="P39" s="402" t="str">
        <f t="shared" si="12"/>
        <v xml:space="preserve"> </v>
      </c>
      <c r="Q39" s="402" t="str">
        <f t="shared" si="12"/>
        <v xml:space="preserve"> </v>
      </c>
      <c r="R39" s="402" t="str">
        <f t="shared" si="12"/>
        <v xml:space="preserve"> 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>
        <f t="shared" si="12"/>
        <v>4.2268672963231735</v>
      </c>
      <c r="X39" s="402">
        <f t="shared" si="12"/>
        <v>1.3122947623022259</v>
      </c>
      <c r="Y39" s="402">
        <f t="shared" si="12"/>
        <v>1.3078182052799139</v>
      </c>
      <c r="Z39" s="402">
        <f t="shared" si="12"/>
        <v>1.3131828055163559</v>
      </c>
      <c r="AA39" s="402">
        <f t="shared" si="12"/>
        <v>1.3123120997621083</v>
      </c>
      <c r="AB39" s="402">
        <f t="shared" si="12"/>
        <v>1.3123178231717063</v>
      </c>
      <c r="AC39" s="402">
        <f t="shared" si="12"/>
        <v>1.3078410605587742</v>
      </c>
      <c r="AD39" s="402">
        <f t="shared" si="12"/>
        <v>1.3132056110819343</v>
      </c>
      <c r="AE39" s="402">
        <f t="shared" si="12"/>
        <v>1.312334825223008</v>
      </c>
      <c r="AF39" s="402">
        <f t="shared" si="12"/>
        <v>0.5187629101484279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88840.208206234529</v>
      </c>
      <c r="C42" s="48">
        <f>C37</f>
        <v>82647.674372614769</v>
      </c>
      <c r="D42" s="48">
        <f t="shared" ref="D42:AF42" si="14">D37</f>
        <v>75915.622013949629</v>
      </c>
      <c r="E42" s="48">
        <f t="shared" si="14"/>
        <v>68642.428955336116</v>
      </c>
      <c r="F42" s="48">
        <f t="shared" si="14"/>
        <v>60796.844724143404</v>
      </c>
      <c r="G42" s="48">
        <f t="shared" si="14"/>
        <v>52316.857794437557</v>
      </c>
      <c r="H42" s="48">
        <f t="shared" si="14"/>
        <v>43155.211257220668</v>
      </c>
      <c r="I42" s="48">
        <f t="shared" si="14"/>
        <v>33249.472740994199</v>
      </c>
      <c r="J42" s="48">
        <f t="shared" si="14"/>
        <v>22557.058869925233</v>
      </c>
      <c r="K42" s="48">
        <f t="shared" si="14"/>
        <v>10992.212172365686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569.99200459600479</v>
      </c>
      <c r="X42" s="48">
        <f t="shared" si="14"/>
        <v>2504.2651570758112</v>
      </c>
      <c r="Y42" s="48">
        <f t="shared" si="14"/>
        <v>4654.5321939249288</v>
      </c>
      <c r="Z42" s="48">
        <f t="shared" si="14"/>
        <v>7036.0983498232808</v>
      </c>
      <c r="AA42" s="48">
        <f t="shared" si="14"/>
        <v>9674.5082454758922</v>
      </c>
      <c r="AB42" s="48">
        <f t="shared" si="14"/>
        <v>12591.327897163235</v>
      </c>
      <c r="AC42" s="48">
        <f t="shared" si="14"/>
        <v>15813.683421513299</v>
      </c>
      <c r="AD42" s="48">
        <f t="shared" si="14"/>
        <v>19362.328002460377</v>
      </c>
      <c r="AE42" s="48">
        <f t="shared" si="14"/>
        <v>23273.32508576976</v>
      </c>
      <c r="AF42" s="48">
        <f t="shared" si="14"/>
        <v>27277.098714279542</v>
      </c>
    </row>
    <row r="43" spans="1:39">
      <c r="A43" s="48" t="s">
        <v>326</v>
      </c>
      <c r="B43" s="378">
        <v>0</v>
      </c>
      <c r="C43" s="378">
        <v>0</v>
      </c>
      <c r="D43" s="378">
        <v>0</v>
      </c>
      <c r="E43" s="378">
        <v>0</v>
      </c>
      <c r="F43" s="378">
        <v>0</v>
      </c>
      <c r="G43" s="378">
        <v>0</v>
      </c>
      <c r="H43" s="378">
        <v>0</v>
      </c>
      <c r="I43" s="378">
        <v>0</v>
      </c>
      <c r="J43" s="378">
        <v>0</v>
      </c>
      <c r="K43" s="378">
        <v>0</v>
      </c>
      <c r="L43" s="378">
        <v>0</v>
      </c>
      <c r="M43" s="378">
        <v>0</v>
      </c>
      <c r="N43" s="378">
        <v>0</v>
      </c>
      <c r="O43" s="378">
        <v>0</v>
      </c>
      <c r="P43" s="378">
        <v>0</v>
      </c>
      <c r="Q43" s="378">
        <v>0</v>
      </c>
      <c r="R43" s="378">
        <v>0</v>
      </c>
      <c r="S43" s="378">
        <v>0</v>
      </c>
      <c r="T43" s="378">
        <v>0</v>
      </c>
      <c r="U43" s="378">
        <v>0</v>
      </c>
      <c r="V43" s="378">
        <v>0</v>
      </c>
      <c r="W43" s="378">
        <v>0</v>
      </c>
      <c r="X43" s="378">
        <v>0</v>
      </c>
      <c r="Y43" s="378">
        <v>0</v>
      </c>
      <c r="Z43" s="378">
        <v>0</v>
      </c>
      <c r="AA43" s="378">
        <v>0</v>
      </c>
      <c r="AB43" s="378">
        <v>0</v>
      </c>
      <c r="AC43" s="378">
        <v>0</v>
      </c>
      <c r="AD43" s="378">
        <v>0</v>
      </c>
      <c r="AE43" s="378">
        <v>0</v>
      </c>
      <c r="AF43" s="378">
        <v>0</v>
      </c>
    </row>
    <row r="44" spans="1:39">
      <c r="A44" s="48" t="s">
        <v>57</v>
      </c>
      <c r="B44" s="381">
        <f>B42*(B41-B32)/365.25*$E$64</f>
        <v>1826.0584890028904</v>
      </c>
      <c r="C44" s="381">
        <f t="shared" ref="C44:AF44" si="15">C42*(C41-C32)/(C41-B41)*$E$64</f>
        <v>1699.9381242531654</v>
      </c>
      <c r="D44" s="381">
        <f t="shared" si="15"/>
        <v>1561.4699514239092</v>
      </c>
      <c r="E44" s="381">
        <f t="shared" si="15"/>
        <v>1408.0137578748247</v>
      </c>
      <c r="F44" s="381">
        <f t="shared" si="15"/>
        <v>1250.499484291799</v>
      </c>
      <c r="G44" s="381">
        <f t="shared" si="15"/>
        <v>1076.0789312102465</v>
      </c>
      <c r="H44" s="381">
        <f t="shared" si="15"/>
        <v>887.63766716050463</v>
      </c>
      <c r="I44" s="381">
        <f t="shared" si="15"/>
        <v>682.02299618309826</v>
      </c>
      <c r="J44" s="381">
        <f t="shared" si="15"/>
        <v>463.96471086565401</v>
      </c>
      <c r="K44" s="381">
        <f t="shared" si="15"/>
        <v>226.09324077817914</v>
      </c>
      <c r="L44" s="381">
        <f t="shared" si="15"/>
        <v>0</v>
      </c>
      <c r="M44" s="381">
        <f t="shared" si="15"/>
        <v>0</v>
      </c>
      <c r="N44" s="381">
        <f t="shared" si="15"/>
        <v>0</v>
      </c>
      <c r="O44" s="381">
        <f t="shared" si="15"/>
        <v>0</v>
      </c>
      <c r="P44" s="381">
        <f t="shared" si="15"/>
        <v>0</v>
      </c>
      <c r="Q44" s="381">
        <f t="shared" si="15"/>
        <v>0</v>
      </c>
      <c r="R44" s="381">
        <f t="shared" si="15"/>
        <v>0</v>
      </c>
      <c r="S44" s="381">
        <f t="shared" si="15"/>
        <v>0</v>
      </c>
      <c r="T44" s="381">
        <f t="shared" si="15"/>
        <v>0</v>
      </c>
      <c r="U44" s="381">
        <f t="shared" si="15"/>
        <v>0</v>
      </c>
      <c r="V44" s="381">
        <f t="shared" si="15"/>
        <v>0</v>
      </c>
      <c r="W44" s="381">
        <f t="shared" si="15"/>
        <v>11.723876642478098</v>
      </c>
      <c r="X44" s="381">
        <f t="shared" si="15"/>
        <v>51.508960730812753</v>
      </c>
      <c r="Y44" s="381">
        <f t="shared" si="15"/>
        <v>95.475137830304391</v>
      </c>
      <c r="Z44" s="381">
        <f t="shared" si="15"/>
        <v>144.72194071588572</v>
      </c>
      <c r="AA44" s="381">
        <f t="shared" si="15"/>
        <v>198.99005658331578</v>
      </c>
      <c r="AB44" s="381">
        <f t="shared" si="15"/>
        <v>258.98464161083012</v>
      </c>
      <c r="AC44" s="381">
        <f t="shared" si="15"/>
        <v>324.37494067489371</v>
      </c>
      <c r="AD44" s="381">
        <f t="shared" si="15"/>
        <v>398.25391089992138</v>
      </c>
      <c r="AE44" s="381">
        <f t="shared" si="15"/>
        <v>478.69722762031915</v>
      </c>
      <c r="AF44" s="381">
        <f t="shared" si="15"/>
        <v>1504.3506770368417</v>
      </c>
    </row>
    <row r="45" spans="1:39">
      <c r="A45" s="48" t="s">
        <v>58</v>
      </c>
      <c r="B45" s="48">
        <f>B42+B43</f>
        <v>88840.208206234529</v>
      </c>
      <c r="C45" s="48">
        <f t="shared" ref="C45:AF45" si="16">C42+C43</f>
        <v>82647.674372614769</v>
      </c>
      <c r="D45" s="48">
        <f t="shared" si="16"/>
        <v>75915.622013949629</v>
      </c>
      <c r="E45" s="48">
        <f t="shared" si="16"/>
        <v>68642.428955336116</v>
      </c>
      <c r="F45" s="48">
        <f t="shared" si="16"/>
        <v>60796.844724143404</v>
      </c>
      <c r="G45" s="48">
        <f t="shared" si="16"/>
        <v>52316.857794437557</v>
      </c>
      <c r="H45" s="48">
        <f t="shared" si="16"/>
        <v>43155.211257220668</v>
      </c>
      <c r="I45" s="48">
        <f t="shared" si="16"/>
        <v>33249.472740994199</v>
      </c>
      <c r="J45" s="48">
        <f t="shared" si="16"/>
        <v>22557.058869925233</v>
      </c>
      <c r="K45" s="48">
        <f t="shared" si="16"/>
        <v>10992.212172365686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569.99200459600479</v>
      </c>
      <c r="X45" s="48">
        <f t="shared" si="16"/>
        <v>2504.2651570758112</v>
      </c>
      <c r="Y45" s="48">
        <f t="shared" si="16"/>
        <v>4654.5321939249288</v>
      </c>
      <c r="Z45" s="48">
        <f t="shared" si="16"/>
        <v>7036.0983498232808</v>
      </c>
      <c r="AA45" s="48">
        <f t="shared" si="16"/>
        <v>9674.5082454758922</v>
      </c>
      <c r="AB45" s="48">
        <f t="shared" si="16"/>
        <v>12591.327897163235</v>
      </c>
      <c r="AC45" s="48">
        <f t="shared" si="16"/>
        <v>15813.683421513299</v>
      </c>
      <c r="AD45" s="48">
        <f t="shared" si="16"/>
        <v>19362.328002460377</v>
      </c>
      <c r="AE45" s="48">
        <f t="shared" si="16"/>
        <v>23273.32508576976</v>
      </c>
      <c r="AF45" s="48">
        <f t="shared" si="16"/>
        <v>27277.098714279542</v>
      </c>
    </row>
    <row r="46" spans="1:39">
      <c r="A46" s="48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</row>
    <row r="47" spans="1:39">
      <c r="A47" s="392" t="s">
        <v>385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7"/>
      <c r="AD47" s="377"/>
      <c r="AE47" s="377"/>
      <c r="AF47" s="377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2410.1878277869837</v>
      </c>
      <c r="C48" s="161">
        <f t="shared" ref="C48:AF48" si="17">SUM(C35,C26)</f>
        <v>6192.5338336197601</v>
      </c>
      <c r="D48" s="161">
        <f t="shared" si="17"/>
        <v>6732.0523586651398</v>
      </c>
      <c r="E48" s="161">
        <f t="shared" si="17"/>
        <v>7273.1930586135131</v>
      </c>
      <c r="F48" s="161">
        <f t="shared" si="17"/>
        <v>7845.5842311927117</v>
      </c>
      <c r="G48" s="161">
        <f t="shared" si="17"/>
        <v>8479.9869297058467</v>
      </c>
      <c r="H48" s="161">
        <f t="shared" si="17"/>
        <v>9161.6465372168896</v>
      </c>
      <c r="I48" s="161">
        <f t="shared" si="17"/>
        <v>9905.7385162264691</v>
      </c>
      <c r="J48" s="161">
        <f t="shared" si="17"/>
        <v>10692.413871068966</v>
      </c>
      <c r="K48" s="161">
        <f t="shared" si="17"/>
        <v>11564.846697559547</v>
      </c>
      <c r="L48" s="161">
        <f t="shared" si="17"/>
        <v>10992.212172365686</v>
      </c>
      <c r="M48" s="161">
        <f t="shared" si="17"/>
        <v>0</v>
      </c>
      <c r="N48" s="161">
        <f t="shared" si="17"/>
        <v>0</v>
      </c>
      <c r="O48" s="161">
        <f t="shared" si="17"/>
        <v>0</v>
      </c>
      <c r="P48" s="161">
        <f t="shared" si="17"/>
        <v>0</v>
      </c>
      <c r="Q48" s="161">
        <f t="shared" si="17"/>
        <v>0</v>
      </c>
      <c r="R48" s="161">
        <f t="shared" si="17"/>
        <v>0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-569.99200459600479</v>
      </c>
      <c r="X48" s="161">
        <f t="shared" si="17"/>
        <v>-1934.2731524798064</v>
      </c>
      <c r="Y48" s="161">
        <f t="shared" si="17"/>
        <v>-2150.2670368491176</v>
      </c>
      <c r="Z48" s="161">
        <f t="shared" si="17"/>
        <v>-2381.566155898352</v>
      </c>
      <c r="AA48" s="161">
        <f t="shared" si="17"/>
        <v>-2638.4098956526113</v>
      </c>
      <c r="AB48" s="161">
        <f t="shared" si="17"/>
        <v>-2916.8196516873431</v>
      </c>
      <c r="AC48" s="161">
        <f t="shared" si="17"/>
        <v>-3222.3555243500632</v>
      </c>
      <c r="AD48" s="161">
        <f t="shared" si="17"/>
        <v>-3548.6445809470788</v>
      </c>
      <c r="AE48" s="161">
        <f t="shared" si="17"/>
        <v>-3910.997083309383</v>
      </c>
      <c r="AF48" s="161">
        <f t="shared" si="17"/>
        <v>-4003.7736285097817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135</v>
      </c>
      <c r="B49" s="381">
        <f>B36</f>
        <v>3153.4787787527357</v>
      </c>
      <c r="C49" s="381">
        <f t="shared" ref="C49:AF49" si="18">C27+C36+B44</f>
        <v>7202.1583325872534</v>
      </c>
      <c r="D49" s="381">
        <f t="shared" si="18"/>
        <v>6681.6467535180655</v>
      </c>
      <c r="E49" s="381">
        <f t="shared" si="18"/>
        <v>6120.4131601573799</v>
      </c>
      <c r="F49" s="381">
        <f t="shared" si="18"/>
        <v>5499.7795303456332</v>
      </c>
      <c r="G49" s="381">
        <f t="shared" si="18"/>
        <v>4843.6359465663008</v>
      </c>
      <c r="H49" s="381">
        <f t="shared" si="18"/>
        <v>4130.2637691445179</v>
      </c>
      <c r="I49" s="381">
        <f t="shared" si="18"/>
        <v>3362.6019758840712</v>
      </c>
      <c r="J49" s="381">
        <f t="shared" si="18"/>
        <v>2524.3683158353247</v>
      </c>
      <c r="K49" s="381">
        <f t="shared" si="18"/>
        <v>1626.5219334570561</v>
      </c>
      <c r="L49" s="381">
        <f t="shared" si="18"/>
        <v>653.47607614275773</v>
      </c>
      <c r="M49" s="381">
        <f t="shared" si="18"/>
        <v>0</v>
      </c>
      <c r="N49" s="381">
        <f t="shared" si="18"/>
        <v>0</v>
      </c>
      <c r="O49" s="381">
        <f t="shared" si="18"/>
        <v>0</v>
      </c>
      <c r="P49" s="381">
        <f t="shared" si="18"/>
        <v>0</v>
      </c>
      <c r="Q49" s="381">
        <f t="shared" si="18"/>
        <v>0</v>
      </c>
      <c r="R49" s="381">
        <f t="shared" si="18"/>
        <v>0</v>
      </c>
      <c r="S49" s="381">
        <f t="shared" si="18"/>
        <v>0</v>
      </c>
      <c r="T49" s="381">
        <f t="shared" si="18"/>
        <v>0</v>
      </c>
      <c r="U49" s="381">
        <f t="shared" si="18"/>
        <v>0</v>
      </c>
      <c r="V49" s="381">
        <f t="shared" si="18"/>
        <v>0</v>
      </c>
      <c r="W49" s="381">
        <f t="shared" si="18"/>
        <v>11.549433851795479</v>
      </c>
      <c r="X49" s="381">
        <f t="shared" si="18"/>
        <v>86.214840751441969</v>
      </c>
      <c r="Y49" s="381">
        <f t="shared" si="18"/>
        <v>250.19849303484253</v>
      </c>
      <c r="Z49" s="381">
        <f t="shared" si="18"/>
        <v>431.96707544258788</v>
      </c>
      <c r="AA49" s="381">
        <f t="shared" si="18"/>
        <v>633.90653507434229</v>
      </c>
      <c r="AB49" s="381">
        <f t="shared" si="18"/>
        <v>857.20453134281308</v>
      </c>
      <c r="AC49" s="381">
        <f t="shared" si="18"/>
        <v>1104.624482776652</v>
      </c>
      <c r="AD49" s="381">
        <f t="shared" si="18"/>
        <v>1375.5539814020624</v>
      </c>
      <c r="AE49" s="381">
        <f t="shared" si="18"/>
        <v>1676.5497617327746</v>
      </c>
      <c r="AF49" s="381">
        <f t="shared" si="18"/>
        <v>1131.4370507993162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5563.6666065397194</v>
      </c>
      <c r="C50" s="49">
        <f t="shared" si="19"/>
        <v>13394.692166207013</v>
      </c>
      <c r="D50" s="49">
        <f t="shared" si="19"/>
        <v>13413.699112183205</v>
      </c>
      <c r="E50" s="49">
        <f t="shared" si="19"/>
        <v>13393.606218770892</v>
      </c>
      <c r="F50" s="49">
        <f t="shared" si="19"/>
        <v>13345.363761538345</v>
      </c>
      <c r="G50" s="49">
        <f t="shared" si="19"/>
        <v>13323.622876272148</v>
      </c>
      <c r="H50" s="49">
        <f t="shared" si="19"/>
        <v>13291.910306361407</v>
      </c>
      <c r="I50" s="49">
        <f t="shared" si="19"/>
        <v>13268.340492110539</v>
      </c>
      <c r="J50" s="49">
        <f t="shared" si="19"/>
        <v>13216.782186904291</v>
      </c>
      <c r="K50" s="49">
        <f t="shared" si="19"/>
        <v>13191.368631016603</v>
      </c>
      <c r="L50" s="49">
        <f t="shared" si="19"/>
        <v>11645.688248508442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-558.44257074420932</v>
      </c>
      <c r="X50" s="49">
        <f t="shared" si="19"/>
        <v>-1848.0583117283645</v>
      </c>
      <c r="Y50" s="49">
        <f t="shared" si="19"/>
        <v>-1900.068543814275</v>
      </c>
      <c r="Z50" s="49">
        <f t="shared" si="19"/>
        <v>-1949.5990804557641</v>
      </c>
      <c r="AA50" s="49">
        <f t="shared" si="19"/>
        <v>-2004.5033605782692</v>
      </c>
      <c r="AB50" s="49">
        <f t="shared" si="19"/>
        <v>-2059.6151203445302</v>
      </c>
      <c r="AC50" s="49">
        <f t="shared" si="19"/>
        <v>-2117.7310415734109</v>
      </c>
      <c r="AD50" s="49">
        <f t="shared" si="19"/>
        <v>-2173.0905995450166</v>
      </c>
      <c r="AE50" s="49">
        <f t="shared" si="19"/>
        <v>-2234.4473215766084</v>
      </c>
      <c r="AF50" s="49">
        <f t="shared" si="19"/>
        <v>-2872.3365777104655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399">
        <f>IF(B33&gt;0.1,(B38+B29)/B50," ")</f>
        <v>1.2999999999999978</v>
      </c>
      <c r="C52" s="399">
        <f t="shared" ref="C52:AF52" si="20">IF(C33&gt;0.1,(C38+C29)/C50," ")</f>
        <v>1.2999999999999983</v>
      </c>
      <c r="D52" s="399">
        <f t="shared" si="20"/>
        <v>1.3000000000000007</v>
      </c>
      <c r="E52" s="399">
        <f t="shared" si="20"/>
        <v>1.2999999999999994</v>
      </c>
      <c r="F52" s="399">
        <f t="shared" si="20"/>
        <v>1.3000000000000007</v>
      </c>
      <c r="G52" s="399">
        <f t="shared" si="20"/>
        <v>1.3000000000000005</v>
      </c>
      <c r="H52" s="399">
        <f t="shared" si="20"/>
        <v>1.3000000000000003</v>
      </c>
      <c r="I52" s="399">
        <f t="shared" si="20"/>
        <v>1.2999999999999998</v>
      </c>
      <c r="J52" s="399">
        <f t="shared" si="20"/>
        <v>1.2999999999999998</v>
      </c>
      <c r="K52" s="399">
        <f t="shared" si="20"/>
        <v>1.2999999999999998</v>
      </c>
      <c r="L52" s="399">
        <f t="shared" si="20"/>
        <v>1.4685913675792894</v>
      </c>
      <c r="M52" s="399" t="str">
        <f t="shared" si="20"/>
        <v xml:space="preserve"> </v>
      </c>
      <c r="N52" s="399" t="str">
        <f t="shared" si="20"/>
        <v xml:space="preserve"> </v>
      </c>
      <c r="O52" s="399" t="str">
        <f t="shared" si="20"/>
        <v xml:space="preserve"> </v>
      </c>
      <c r="P52" s="459" t="str">
        <f t="shared" si="20"/>
        <v xml:space="preserve"> </v>
      </c>
      <c r="Q52" s="399" t="str">
        <f t="shared" si="20"/>
        <v xml:space="preserve"> </v>
      </c>
      <c r="R52" s="399" t="str">
        <f t="shared" si="20"/>
        <v xml:space="preserve"> 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>
        <f t="shared" si="20"/>
        <v>1.3</v>
      </c>
      <c r="X52" s="399">
        <f t="shared" si="20"/>
        <v>1.3000000000000003</v>
      </c>
      <c r="Y52" s="399">
        <f t="shared" si="20"/>
        <v>1.2999999999999998</v>
      </c>
      <c r="Z52" s="399">
        <f t="shared" si="20"/>
        <v>1.3</v>
      </c>
      <c r="AA52" s="399">
        <f t="shared" si="20"/>
        <v>1.2999999999999996</v>
      </c>
      <c r="AB52" s="399">
        <f t="shared" si="20"/>
        <v>1.2999999999999994</v>
      </c>
      <c r="AC52" s="399">
        <f t="shared" si="20"/>
        <v>1.3000000000000007</v>
      </c>
      <c r="AD52" s="399">
        <f t="shared" si="20"/>
        <v>1.3000000000000014</v>
      </c>
      <c r="AE52" s="399">
        <f t="shared" si="20"/>
        <v>1.299999999999998</v>
      </c>
      <c r="AF52" s="459">
        <f t="shared" si="20"/>
        <v>1.2999999999999996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F55" s="377"/>
    </row>
    <row r="56" spans="1:39">
      <c r="A56" s="48" t="s">
        <v>136</v>
      </c>
      <c r="B56" s="161">
        <f t="shared" ref="B56:AF56" si="21">B35+B26</f>
        <v>2410.1878277869837</v>
      </c>
      <c r="C56" s="161">
        <f t="shared" si="21"/>
        <v>6192.5338336197601</v>
      </c>
      <c r="D56" s="161">
        <f t="shared" si="21"/>
        <v>6732.0523586651398</v>
      </c>
      <c r="E56" s="161">
        <f t="shared" si="21"/>
        <v>7273.1930586135131</v>
      </c>
      <c r="F56" s="161">
        <f t="shared" si="21"/>
        <v>7845.5842311927117</v>
      </c>
      <c r="G56" s="161">
        <f t="shared" si="21"/>
        <v>8479.9869297058467</v>
      </c>
      <c r="H56" s="161">
        <f t="shared" si="21"/>
        <v>9161.6465372168896</v>
      </c>
      <c r="I56" s="161">
        <f t="shared" si="21"/>
        <v>9905.7385162264691</v>
      </c>
      <c r="J56" s="161">
        <f t="shared" si="21"/>
        <v>10692.413871068966</v>
      </c>
      <c r="K56" s="161">
        <f t="shared" si="21"/>
        <v>11564.846697559547</v>
      </c>
      <c r="L56" s="161">
        <f t="shared" si="21"/>
        <v>10992.212172365686</v>
      </c>
      <c r="M56" s="161">
        <f t="shared" si="21"/>
        <v>0</v>
      </c>
      <c r="N56" s="161">
        <f t="shared" si="21"/>
        <v>0</v>
      </c>
      <c r="O56" s="161">
        <f t="shared" si="21"/>
        <v>0</v>
      </c>
      <c r="P56" s="161">
        <f t="shared" si="21"/>
        <v>0</v>
      </c>
      <c r="Q56" s="161">
        <f t="shared" si="21"/>
        <v>0</v>
      </c>
      <c r="R56" s="161">
        <f t="shared" si="21"/>
        <v>0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-569.99200459600479</v>
      </c>
      <c r="X56" s="161">
        <f t="shared" si="21"/>
        <v>-1934.2731524798064</v>
      </c>
      <c r="Y56" s="161">
        <f t="shared" si="21"/>
        <v>-2150.2670368491176</v>
      </c>
      <c r="Z56" s="161">
        <f t="shared" si="21"/>
        <v>-2381.566155898352</v>
      </c>
      <c r="AA56" s="161">
        <f t="shared" si="21"/>
        <v>-2638.4098956526113</v>
      </c>
      <c r="AB56" s="161">
        <f t="shared" si="21"/>
        <v>-2916.8196516873431</v>
      </c>
      <c r="AC56" s="161">
        <f t="shared" si="21"/>
        <v>-3222.3555243500632</v>
      </c>
      <c r="AD56" s="161">
        <f t="shared" si="21"/>
        <v>-3548.6445809470788</v>
      </c>
      <c r="AE56" s="161">
        <f t="shared" si="21"/>
        <v>-3910.997083309383</v>
      </c>
      <c r="AF56" s="161">
        <f t="shared" si="21"/>
        <v>-4003.7736285097817</v>
      </c>
    </row>
    <row r="57" spans="1:39">
      <c r="A57" s="392" t="s">
        <v>135</v>
      </c>
      <c r="B57" s="381">
        <f t="shared" ref="B57:AF57" si="22">B36+B44+B27</f>
        <v>4979.5372677556261</v>
      </c>
      <c r="C57" s="381">
        <f t="shared" si="22"/>
        <v>7076.0379678375284</v>
      </c>
      <c r="D57" s="381">
        <f t="shared" si="22"/>
        <v>6543.1785806888092</v>
      </c>
      <c r="E57" s="381">
        <f t="shared" si="22"/>
        <v>5966.9569666082962</v>
      </c>
      <c r="F57" s="381">
        <f t="shared" si="22"/>
        <v>5342.2652567626083</v>
      </c>
      <c r="G57" s="381">
        <f t="shared" si="22"/>
        <v>4669.2153934847483</v>
      </c>
      <c r="H57" s="381">
        <f t="shared" si="22"/>
        <v>3941.8225050947754</v>
      </c>
      <c r="I57" s="381">
        <f t="shared" si="22"/>
        <v>3156.9873049066646</v>
      </c>
      <c r="J57" s="381">
        <f t="shared" si="22"/>
        <v>2306.3100305178805</v>
      </c>
      <c r="K57" s="381">
        <f t="shared" si="22"/>
        <v>1388.6504633695813</v>
      </c>
      <c r="L57" s="381">
        <f t="shared" si="22"/>
        <v>427.38283536457857</v>
      </c>
      <c r="M57" s="381">
        <f t="shared" si="22"/>
        <v>0</v>
      </c>
      <c r="N57" s="381">
        <f t="shared" si="22"/>
        <v>0</v>
      </c>
      <c r="O57" s="381">
        <f t="shared" si="22"/>
        <v>0</v>
      </c>
      <c r="P57" s="381">
        <f t="shared" si="22"/>
        <v>0</v>
      </c>
      <c r="Q57" s="381">
        <f t="shared" si="22"/>
        <v>0</v>
      </c>
      <c r="R57" s="381">
        <f t="shared" si="22"/>
        <v>0</v>
      </c>
      <c r="S57" s="381">
        <f t="shared" si="22"/>
        <v>0</v>
      </c>
      <c r="T57" s="381">
        <f t="shared" si="22"/>
        <v>0</v>
      </c>
      <c r="U57" s="381">
        <f t="shared" si="22"/>
        <v>0</v>
      </c>
      <c r="V57" s="381">
        <f t="shared" si="22"/>
        <v>0</v>
      </c>
      <c r="W57" s="381">
        <f t="shared" si="22"/>
        <v>23.273310494273577</v>
      </c>
      <c r="X57" s="381">
        <f t="shared" si="22"/>
        <v>125.99992483977661</v>
      </c>
      <c r="Y57" s="381">
        <f t="shared" si="22"/>
        <v>294.16467013433413</v>
      </c>
      <c r="Z57" s="381">
        <f t="shared" si="22"/>
        <v>481.21387832816924</v>
      </c>
      <c r="AA57" s="381">
        <f t="shared" si="22"/>
        <v>688.17465094177237</v>
      </c>
      <c r="AB57" s="381">
        <f t="shared" si="22"/>
        <v>917.19911637032749</v>
      </c>
      <c r="AC57" s="381">
        <f t="shared" si="22"/>
        <v>1170.0147818407156</v>
      </c>
      <c r="AD57" s="381">
        <f t="shared" si="22"/>
        <v>1449.43295162709</v>
      </c>
      <c r="AE57" s="381">
        <f t="shared" si="22"/>
        <v>1756.9930784531721</v>
      </c>
      <c r="AF57" s="381">
        <f t="shared" si="22"/>
        <v>2157.0905002158388</v>
      </c>
    </row>
    <row r="58" spans="1:39">
      <c r="A58" s="49" t="s">
        <v>59</v>
      </c>
      <c r="B58" s="49">
        <f>SUM(B56:B57)</f>
        <v>7389.7250955426098</v>
      </c>
      <c r="C58" s="49">
        <f t="shared" ref="C58:AF58" si="23">SUM(C56:C57)</f>
        <v>13268.571801457289</v>
      </c>
      <c r="D58" s="49">
        <f t="shared" si="23"/>
        <v>13275.230939353949</v>
      </c>
      <c r="E58" s="49">
        <f t="shared" si="23"/>
        <v>13240.15002522181</v>
      </c>
      <c r="F58" s="49">
        <f t="shared" si="23"/>
        <v>13187.84948795532</v>
      </c>
      <c r="G58" s="49">
        <f t="shared" si="23"/>
        <v>13149.202323190595</v>
      </c>
      <c r="H58" s="49">
        <f t="shared" si="23"/>
        <v>13103.469042311664</v>
      </c>
      <c r="I58" s="49">
        <f t="shared" si="23"/>
        <v>13062.725821133134</v>
      </c>
      <c r="J58" s="49">
        <f t="shared" si="23"/>
        <v>12998.723901586847</v>
      </c>
      <c r="K58" s="49">
        <f t="shared" si="23"/>
        <v>12953.497160929128</v>
      </c>
      <c r="L58" s="49">
        <f t="shared" si="23"/>
        <v>11419.595007730264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-546.71869410173122</v>
      </c>
      <c r="X58" s="49">
        <f t="shared" si="23"/>
        <v>-1808.2732276400297</v>
      </c>
      <c r="Y58" s="49">
        <f t="shared" si="23"/>
        <v>-1856.1023667147836</v>
      </c>
      <c r="Z58" s="49">
        <f t="shared" si="23"/>
        <v>-1900.3522775701827</v>
      </c>
      <c r="AA58" s="49">
        <f t="shared" si="23"/>
        <v>-1950.235244710839</v>
      </c>
      <c r="AB58" s="49">
        <f t="shared" si="23"/>
        <v>-1999.6205353170158</v>
      </c>
      <c r="AC58" s="49">
        <f t="shared" si="23"/>
        <v>-2052.3407425093474</v>
      </c>
      <c r="AD58" s="49">
        <f t="shared" si="23"/>
        <v>-2099.2116293199888</v>
      </c>
      <c r="AE58" s="49">
        <f t="shared" si="23"/>
        <v>-2154.0040048562109</v>
      </c>
      <c r="AF58" s="49">
        <f t="shared" si="23"/>
        <v>-1846.6831282939429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557" t="s">
        <v>327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0" t="s">
        <v>388</v>
      </c>
      <c r="C62" s="57"/>
      <c r="D62" s="57"/>
      <c r="E62" s="451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4">
        <f>Assumptions!G38</f>
        <v>1.7500000000000002E-2</v>
      </c>
      <c r="AA63" s="12"/>
      <c r="AB63" s="12"/>
    </row>
    <row r="64" spans="1:39">
      <c r="A64" s="48"/>
      <c r="B64" s="329" t="s">
        <v>389</v>
      </c>
      <c r="C64" s="58"/>
      <c r="D64" s="58"/>
      <c r="E64" s="395">
        <f>E63+E62</f>
        <v>8.2500000000000004E-2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20</v>
      </c>
      <c r="AA65" s="12"/>
      <c r="AB65" s="12"/>
    </row>
    <row r="66" spans="1:43">
      <c r="B66" s="438" t="s">
        <v>386</v>
      </c>
      <c r="C66" s="13"/>
      <c r="D66" s="13"/>
      <c r="E66" s="452">
        <f>B77</f>
        <v>-1.8152285194550333</v>
      </c>
      <c r="AA66" s="12"/>
      <c r="AB66" s="12"/>
    </row>
    <row r="67" spans="1:43">
      <c r="B67" s="329" t="s">
        <v>54</v>
      </c>
      <c r="C67" s="58"/>
      <c r="D67" s="58"/>
      <c r="E67" s="439">
        <f>B19</f>
        <v>91250.396034021513</v>
      </c>
      <c r="AA67" s="12"/>
      <c r="AB67" s="12"/>
    </row>
    <row r="68" spans="1:43">
      <c r="B68" s="326" t="s">
        <v>0</v>
      </c>
      <c r="C68" s="57"/>
      <c r="D68" s="57" t="s">
        <v>382</v>
      </c>
      <c r="E68" s="455">
        <f>AVERAGE(B52:AF52)</f>
        <v>1.3080281603609187</v>
      </c>
      <c r="AA68" s="12"/>
      <c r="AB68" s="12"/>
    </row>
    <row r="69" spans="1:43">
      <c r="B69" s="453"/>
      <c r="C69" s="58"/>
      <c r="D69" s="58" t="s">
        <v>383</v>
      </c>
      <c r="E69" s="456">
        <f>MIN(B52:AF52)</f>
        <v>1.2999999999999978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7">
        <f>(SUMPRODUCT(B74:AF74,B35:AF35)+SUMPRODUCT(B75:AF75,B26:AF26))/E67</f>
        <v>-1.8152285194550333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9"/>
      <c r="AB79" s="379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94</v>
      </c>
    </row>
    <row r="5" spans="1:34">
      <c r="Z5" s="164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250</v>
      </c>
      <c r="B12" s="31">
        <f>Assumptions!$N$39</f>
        <v>15</v>
      </c>
      <c r="C12" s="32"/>
      <c r="D12" s="274">
        <v>0.05</v>
      </c>
      <c r="E12" s="274">
        <v>9.5000000000000001E-2</v>
      </c>
      <c r="F12" s="274">
        <v>8.5500000000000007E-2</v>
      </c>
      <c r="G12" s="274">
        <v>7.6999999999999999E-2</v>
      </c>
      <c r="H12" s="274">
        <v>6.93E-2</v>
      </c>
      <c r="I12" s="274">
        <v>6.2300000000000001E-2</v>
      </c>
      <c r="J12" s="274">
        <v>5.8999999999999997E-2</v>
      </c>
      <c r="K12" s="274">
        <v>5.91E-2</v>
      </c>
      <c r="L12" s="274">
        <v>5.8999999999999997E-2</v>
      </c>
      <c r="M12" s="274">
        <v>5.91E-2</v>
      </c>
      <c r="N12" s="274">
        <v>5.8999999999999997E-2</v>
      </c>
      <c r="O12" s="274">
        <v>5.91E-2</v>
      </c>
      <c r="P12" s="274">
        <v>5.8999999999999997E-2</v>
      </c>
      <c r="Q12" s="274">
        <v>5.91E-2</v>
      </c>
      <c r="R12" s="274">
        <v>5.8999999999999997E-2</v>
      </c>
      <c r="S12" s="274">
        <v>2.9499999999999998E-2</v>
      </c>
      <c r="T12" s="274">
        <v>0</v>
      </c>
      <c r="U12" s="274">
        <v>0</v>
      </c>
      <c r="V12" s="274">
        <v>0</v>
      </c>
      <c r="W12" s="274">
        <v>0</v>
      </c>
      <c r="X12" s="274">
        <v>0</v>
      </c>
      <c r="Y12" s="274">
        <v>0</v>
      </c>
      <c r="Z12" s="274">
        <v>0</v>
      </c>
      <c r="AA12" s="274">
        <v>0</v>
      </c>
      <c r="AB12" s="274">
        <v>0</v>
      </c>
      <c r="AC12" s="274">
        <v>0</v>
      </c>
      <c r="AD12" s="274">
        <v>0</v>
      </c>
      <c r="AE12" s="274">
        <v>0</v>
      </c>
      <c r="AF12" s="274">
        <v>0</v>
      </c>
      <c r="AG12" s="274">
        <v>0</v>
      </c>
      <c r="AH12" s="274">
        <v>0</v>
      </c>
    </row>
    <row r="13" spans="1:34" s="10" customFormat="1">
      <c r="A13" s="21" t="s">
        <v>251</v>
      </c>
      <c r="B13" s="31">
        <f>Assumptions!$N$40</f>
        <v>5</v>
      </c>
      <c r="C13" s="32"/>
      <c r="D13" s="274">
        <f>1/$B$13*D6</f>
        <v>0.13333333333333333</v>
      </c>
      <c r="E13" s="274">
        <f>1/$B$13</f>
        <v>0.2</v>
      </c>
      <c r="F13" s="274">
        <f>1/$B$13</f>
        <v>0.2</v>
      </c>
      <c r="G13" s="274">
        <f>1/$B$13</f>
        <v>0.2</v>
      </c>
      <c r="H13" s="274">
        <f>1/$B$13</f>
        <v>0.2</v>
      </c>
      <c r="I13" s="274">
        <f>1/B13-D13</f>
        <v>6.666666666666668E-2</v>
      </c>
      <c r="J13" s="274">
        <v>0</v>
      </c>
      <c r="K13" s="274">
        <v>0</v>
      </c>
      <c r="L13" s="274">
        <v>0</v>
      </c>
      <c r="M13" s="274">
        <v>0</v>
      </c>
      <c r="N13" s="274">
        <v>0</v>
      </c>
      <c r="O13" s="274">
        <v>0</v>
      </c>
      <c r="P13" s="274">
        <v>0</v>
      </c>
      <c r="Q13" s="274">
        <v>0</v>
      </c>
      <c r="R13" s="274">
        <v>0</v>
      </c>
      <c r="S13" s="274">
        <v>0</v>
      </c>
      <c r="T13" s="274">
        <v>0</v>
      </c>
      <c r="U13" s="274">
        <v>0</v>
      </c>
      <c r="V13" s="274">
        <v>0</v>
      </c>
      <c r="W13" s="274">
        <v>0</v>
      </c>
      <c r="X13" s="274">
        <v>0</v>
      </c>
      <c r="Y13" s="274">
        <v>0</v>
      </c>
      <c r="Z13" s="274">
        <v>0</v>
      </c>
      <c r="AA13" s="274">
        <v>0</v>
      </c>
      <c r="AB13" s="274">
        <v>0</v>
      </c>
      <c r="AC13" s="274">
        <v>0</v>
      </c>
      <c r="AD13" s="274">
        <v>0</v>
      </c>
      <c r="AE13" s="274">
        <v>0</v>
      </c>
      <c r="AF13" s="274">
        <v>0</v>
      </c>
      <c r="AG13" s="274">
        <v>0</v>
      </c>
      <c r="AH13" s="274">
        <v>0</v>
      </c>
    </row>
    <row r="14" spans="1:34" s="70" customFormat="1">
      <c r="A14" s="22" t="s">
        <v>317</v>
      </c>
      <c r="B14" s="68">
        <f>Assumptions!$N$41</f>
        <v>20</v>
      </c>
      <c r="C14" s="69"/>
      <c r="D14" s="274">
        <f>1/Assumptions!$N$41*D6</f>
        <v>3.3333333333333333E-2</v>
      </c>
      <c r="E14" s="274">
        <f>IF(AND(E6&gt;=Assumptions!$N$41,D6&lt;Assumptions!$N$41),1/Assumptions!$N$41-Depreciation!$D$14,IF(E6&lt;Assumptions!$N$41,1/Assumptions!$N$41,0))</f>
        <v>0.05</v>
      </c>
      <c r="F14" s="274">
        <f>IF(AND(F6&gt;=Assumptions!$N$41,E6&lt;Assumptions!$N$41),1/Assumptions!$N$41-Depreciation!$D$14,IF(F6&lt;Assumptions!$N$41,1/Assumptions!$N$41,0))</f>
        <v>0.05</v>
      </c>
      <c r="G14" s="274">
        <f>IF(AND(G6&gt;=Assumptions!$N$41,F6&lt;Assumptions!$N$41),1/Assumptions!$N$41-Depreciation!$D$14,IF(G6&lt;Assumptions!$N$41,1/Assumptions!$N$41,0))</f>
        <v>0.05</v>
      </c>
      <c r="H14" s="274">
        <f>IF(AND(H6&gt;=Assumptions!$N$41,G6&lt;Assumptions!$N$41),1/Assumptions!$N$41-Depreciation!$D$14,IF(H6&lt;Assumptions!$N$41,1/Assumptions!$N$41,0))</f>
        <v>0.05</v>
      </c>
      <c r="I14" s="274">
        <f>IF(AND(I6&gt;=Assumptions!$N$41,H6&lt;Assumptions!$N$41),1/Assumptions!$N$41-Depreciation!$D$14,IF(I6&lt;Assumptions!$N$41,1/Assumptions!$N$41,0))</f>
        <v>0.05</v>
      </c>
      <c r="J14" s="274">
        <f>IF(AND(J6&gt;=Assumptions!$N$41,I6&lt;Assumptions!$N$41),1/Assumptions!$N$41-Depreciation!$D$14,IF(J6&lt;Assumptions!$N$41,1/Assumptions!$N$41,0))</f>
        <v>0.05</v>
      </c>
      <c r="K14" s="274">
        <f>IF(AND(K6&gt;=Assumptions!$N$41,J6&lt;Assumptions!$N$41),1/Assumptions!$N$41-Depreciation!$D$14,IF(K6&lt;Assumptions!$N$41,1/Assumptions!$N$41,0))</f>
        <v>0.05</v>
      </c>
      <c r="L14" s="274">
        <f>IF(AND(L6&gt;=Assumptions!$N$41,K6&lt;Assumptions!$N$41),1/Assumptions!$N$41-Depreciation!$D$14,IF(L6&lt;Assumptions!$N$41,1/Assumptions!$N$41,0))</f>
        <v>0.05</v>
      </c>
      <c r="M14" s="274">
        <f>IF(AND(M6&gt;=Assumptions!$N$41,L6&lt;Assumptions!$N$41),1/Assumptions!$N$41-Depreciation!$D$14,IF(M6&lt;Assumptions!$N$41,1/Assumptions!$N$41,0))</f>
        <v>0.05</v>
      </c>
      <c r="N14" s="274">
        <f>IF(AND(N6&gt;=Assumptions!$N$41,M6&lt;Assumptions!$N$41),1/Assumptions!$N$41-Depreciation!$D$14,IF(N6&lt;Assumptions!$N$41,1/Assumptions!$N$41,0))</f>
        <v>0.05</v>
      </c>
      <c r="O14" s="274">
        <f>IF(AND(O6&gt;=Assumptions!$N$41,N6&lt;Assumptions!$N$41),1/Assumptions!$N$41-Depreciation!$D$14,IF(O6&lt;Assumptions!$N$41,1/Assumptions!$N$41,0))</f>
        <v>0.05</v>
      </c>
      <c r="P14" s="274">
        <f>IF(AND(P6&gt;=Assumptions!$N$41,O6&lt;Assumptions!$N$41),1/Assumptions!$N$41-Depreciation!$D$14,IF(P6&lt;Assumptions!$N$41,1/Assumptions!$N$41,0))</f>
        <v>0.05</v>
      </c>
      <c r="Q14" s="274">
        <f>IF(AND(Q6&gt;=Assumptions!$N$41,P6&lt;Assumptions!$N$41),1/Assumptions!$N$41-Depreciation!$D$14,IF(Q6&lt;Assumptions!$N$41,1/Assumptions!$N$41,0))</f>
        <v>0.05</v>
      </c>
      <c r="R14" s="274">
        <f>IF(AND(R6&gt;=Assumptions!$N$41,Q6&lt;Assumptions!$N$41),1/Assumptions!$N$41-Depreciation!$D$14,IF(R6&lt;Assumptions!$N$41,1/Assumptions!$N$41,0))</f>
        <v>0.05</v>
      </c>
      <c r="S14" s="274">
        <f>IF(AND(S6&gt;=Assumptions!$N$41,R6&lt;Assumptions!$N$41),1/Assumptions!$N$41-Depreciation!$D$14,IF(S6&lt;Assumptions!$N$41,1/Assumptions!$N$41,0))</f>
        <v>0.05</v>
      </c>
      <c r="T14" s="274">
        <f>IF(AND(T6&gt;=Assumptions!$N$41,S6&lt;Assumptions!$N$41),1/Assumptions!$N$41-Depreciation!$D$14,IF(T6&lt;Assumptions!$N$41,1/Assumptions!$N$41,0))</f>
        <v>0.05</v>
      </c>
      <c r="U14" s="274">
        <f>IF(AND(U6&gt;=Assumptions!$N$41,T6&lt;Assumptions!$N$41),1/Assumptions!$N$41-Depreciation!$D$14,IF(U6&lt;Assumptions!$N$41,1/Assumptions!$N$41,0))</f>
        <v>0.05</v>
      </c>
      <c r="V14" s="274">
        <f>IF(AND(V6&gt;=Assumptions!$N$41,U6&lt;Assumptions!$N$41),1/Assumptions!$N$41-Depreciation!$D$14,IF(V6&lt;Assumptions!$N$41,1/Assumptions!$N$41,0))</f>
        <v>0.05</v>
      </c>
      <c r="W14" s="274">
        <f>IF(AND(W6&gt;=Assumptions!$N$41,V6&lt;Assumptions!$N$41),1/Assumptions!$N$41-Depreciation!$D$14,IF(W6&lt;Assumptions!$N$41,1/Assumptions!$N$41,0))</f>
        <v>0.05</v>
      </c>
      <c r="X14" s="274">
        <f>IF(AND(X6&gt;=Assumptions!$N$41,W6&lt;Assumptions!$N$41),1/Assumptions!$N$41-Depreciation!$D$14,IF(X6&lt;Assumptions!$N$41,1/Assumptions!$N$41,0))</f>
        <v>1.666666666666667E-2</v>
      </c>
      <c r="Y14" s="274">
        <f>IF(AND(Y6&gt;=Assumptions!$N$41,X6&lt;Assumptions!$N$41),1/Assumptions!$N$41-Depreciation!$D$14,IF(Y6&lt;Assumptions!$N$41,1/Assumptions!$N$41,0))</f>
        <v>0</v>
      </c>
      <c r="Z14" s="274">
        <f>IF(AND(Z6&gt;=Assumptions!$N$41,Y6&lt;Assumptions!$N$41),1/Assumptions!$N$41-Depreciation!$D$14,IF(Z6&lt;Assumptions!$N$41,1/Assumptions!$N$41,0))</f>
        <v>0</v>
      </c>
      <c r="AA14" s="274">
        <f>IF(AND(AA6&gt;=Assumptions!$N$41,Z6&lt;Assumptions!$N$41),1/Assumptions!$N$41-Depreciation!$D$14,IF(AA6&lt;Assumptions!$N$41,1/Assumptions!$N$41,0))</f>
        <v>0</v>
      </c>
      <c r="AB14" s="274">
        <f>IF(AND(AB6&gt;=Assumptions!$N$41,AA6&lt;Assumptions!$N$41),1/Assumptions!$N$41-Depreciation!$D$14,IF(AB6&lt;Assumptions!$N$41,1/Assumptions!$N$41,0))</f>
        <v>0</v>
      </c>
      <c r="AC14" s="274">
        <f>IF(AND(AC6&gt;=Assumptions!$N$41,AB6&lt;Assumptions!$N$41),1/Assumptions!$N$41-Depreciation!$D$14,IF(AC6&lt;Assumptions!$N$41,1/Assumptions!$N$41,0))</f>
        <v>0</v>
      </c>
      <c r="AD14" s="274">
        <f>IF(AND(AD6&gt;=Assumptions!$N$41,AC6&lt;Assumptions!$N$41),1/Assumptions!$N$41-Depreciation!$D$14,IF(AD6&lt;Assumptions!$N$41,1/Assumptions!$N$41,0))</f>
        <v>0</v>
      </c>
      <c r="AE14" s="274">
        <f>IF(AND(AE6&gt;=Assumptions!$N$41,AD6&lt;Assumptions!$N$41),1/Assumptions!$N$41-Depreciation!$D$14,IF(AE6&lt;Assumptions!$N$41,1/Assumptions!$N$41,0))</f>
        <v>0</v>
      </c>
      <c r="AF14" s="274">
        <f>IF(AND(AF6&gt;=Assumptions!$N$41,AE6&lt;Assumptions!$N$41),1/Assumptions!$N$41-Depreciation!$D$14,IF(AF6&lt;Assumptions!$N$41,1/Assumptions!$N$41,0))</f>
        <v>0</v>
      </c>
      <c r="AG14" s="274">
        <f>IF(AND(AG6&gt;=Assumptions!$N$41,AF6&lt;Assumptions!$N$41),1/Assumptions!$N$41-Depreciation!$D$14,IF(AG6&lt;Assumptions!$N$41,1/Assumptions!$N$41,0))</f>
        <v>0</v>
      </c>
      <c r="AH14" s="274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250</v>
      </c>
      <c r="B16" s="369">
        <f>Assumptions!C35+Assumptions!C49+Assumptions!C41</f>
        <v>121691.64380627735</v>
      </c>
      <c r="C16" s="299"/>
      <c r="D16" s="18">
        <f>$B$16*D12</f>
        <v>6084.5821903138676</v>
      </c>
      <c r="E16" s="18">
        <f t="shared" ref="E16:Y16" si="0">$B$16*E12</f>
        <v>11560.706161596348</v>
      </c>
      <c r="F16" s="18">
        <f t="shared" si="0"/>
        <v>10404.635545436715</v>
      </c>
      <c r="G16" s="18">
        <f t="shared" si="0"/>
        <v>9370.2565730833558</v>
      </c>
      <c r="H16" s="18">
        <f t="shared" si="0"/>
        <v>8433.2309157750205</v>
      </c>
      <c r="I16" s="18">
        <f t="shared" si="0"/>
        <v>7581.3894091310794</v>
      </c>
      <c r="J16" s="18">
        <f t="shared" si="0"/>
        <v>7179.8069845703631</v>
      </c>
      <c r="K16" s="18">
        <f t="shared" si="0"/>
        <v>7191.976148950991</v>
      </c>
      <c r="L16" s="18">
        <f t="shared" si="0"/>
        <v>7179.8069845703631</v>
      </c>
      <c r="M16" s="18">
        <f t="shared" si="0"/>
        <v>7191.976148950991</v>
      </c>
      <c r="N16" s="18">
        <f t="shared" si="0"/>
        <v>7179.8069845703631</v>
      </c>
      <c r="O16" s="18">
        <f t="shared" si="0"/>
        <v>7191.976148950991</v>
      </c>
      <c r="P16" s="18">
        <f t="shared" si="0"/>
        <v>7179.8069845703631</v>
      </c>
      <c r="Q16" s="18">
        <f t="shared" si="0"/>
        <v>7191.976148950991</v>
      </c>
      <c r="R16" s="18">
        <f t="shared" si="0"/>
        <v>7179.8069845703631</v>
      </c>
      <c r="S16" s="18">
        <f t="shared" si="0"/>
        <v>3589.9034922851815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251</v>
      </c>
      <c r="B17" s="298">
        <f>Assumptions!C53-Assumptions!C49-Assumptions!C50</f>
        <v>4585.8</v>
      </c>
      <c r="C17" s="299"/>
      <c r="D17" s="296">
        <f>$B$17*D13</f>
        <v>611.44000000000005</v>
      </c>
      <c r="E17" s="296">
        <f t="shared" ref="E17:AH17" si="2">$B$17*E13</f>
        <v>917.16000000000008</v>
      </c>
      <c r="F17" s="296">
        <f t="shared" si="2"/>
        <v>917.16000000000008</v>
      </c>
      <c r="G17" s="296">
        <f t="shared" si="2"/>
        <v>917.16000000000008</v>
      </c>
      <c r="H17" s="296">
        <f t="shared" si="2"/>
        <v>917.16000000000008</v>
      </c>
      <c r="I17" s="296">
        <f t="shared" si="2"/>
        <v>305.72000000000008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317</v>
      </c>
      <c r="B18" s="370">
        <f>Assumptions!$C$59</f>
        <v>1000</v>
      </c>
      <c r="C18" s="299"/>
      <c r="D18" s="371">
        <f>$B$18*D14</f>
        <v>33.333333333333336</v>
      </c>
      <c r="E18" s="371">
        <f t="shared" ref="E18:Y18" si="3">$B$18*E14</f>
        <v>50</v>
      </c>
      <c r="F18" s="371">
        <f t="shared" si="3"/>
        <v>50</v>
      </c>
      <c r="G18" s="371">
        <f t="shared" si="3"/>
        <v>50</v>
      </c>
      <c r="H18" s="371">
        <f t="shared" si="3"/>
        <v>50</v>
      </c>
      <c r="I18" s="371">
        <f t="shared" si="3"/>
        <v>50</v>
      </c>
      <c r="J18" s="371">
        <f t="shared" si="3"/>
        <v>50</v>
      </c>
      <c r="K18" s="371">
        <f t="shared" si="3"/>
        <v>50</v>
      </c>
      <c r="L18" s="371">
        <f t="shared" si="3"/>
        <v>50</v>
      </c>
      <c r="M18" s="371">
        <f t="shared" si="3"/>
        <v>50</v>
      </c>
      <c r="N18" s="371">
        <f t="shared" si="3"/>
        <v>50</v>
      </c>
      <c r="O18" s="371">
        <f t="shared" si="3"/>
        <v>50</v>
      </c>
      <c r="P18" s="371">
        <f t="shared" si="3"/>
        <v>50</v>
      </c>
      <c r="Q18" s="371">
        <f t="shared" si="3"/>
        <v>50</v>
      </c>
      <c r="R18" s="371">
        <f t="shared" si="3"/>
        <v>50</v>
      </c>
      <c r="S18" s="371">
        <f t="shared" si="3"/>
        <v>50</v>
      </c>
      <c r="T18" s="371">
        <f t="shared" si="3"/>
        <v>50</v>
      </c>
      <c r="U18" s="371">
        <f t="shared" si="3"/>
        <v>50</v>
      </c>
      <c r="V18" s="371">
        <f t="shared" si="3"/>
        <v>50</v>
      </c>
      <c r="W18" s="371">
        <f t="shared" si="3"/>
        <v>50</v>
      </c>
      <c r="X18" s="371">
        <f t="shared" si="3"/>
        <v>16.666666666666671</v>
      </c>
      <c r="Y18" s="371">
        <f t="shared" si="3"/>
        <v>0</v>
      </c>
      <c r="Z18" s="371">
        <f t="shared" ref="Z18:AH18" si="4">$B$18*Z14</f>
        <v>0</v>
      </c>
      <c r="AA18" s="371">
        <f t="shared" si="4"/>
        <v>0</v>
      </c>
      <c r="AB18" s="371">
        <f t="shared" si="4"/>
        <v>0</v>
      </c>
      <c r="AC18" s="371">
        <f t="shared" si="4"/>
        <v>0</v>
      </c>
      <c r="AD18" s="371">
        <f t="shared" si="4"/>
        <v>0</v>
      </c>
      <c r="AE18" s="371">
        <f t="shared" si="4"/>
        <v>0</v>
      </c>
      <c r="AF18" s="371">
        <f t="shared" si="4"/>
        <v>0</v>
      </c>
      <c r="AG18" s="371">
        <f t="shared" si="4"/>
        <v>0</v>
      </c>
      <c r="AH18" s="371">
        <f t="shared" si="4"/>
        <v>0</v>
      </c>
    </row>
    <row r="19" spans="1:36" s="10" customFormat="1">
      <c r="A19" s="22" t="s">
        <v>62</v>
      </c>
      <c r="B19" s="18">
        <f>SUM(B16:B18)</f>
        <v>127277.44380627736</v>
      </c>
      <c r="C19" s="299"/>
      <c r="D19" s="18">
        <f t="shared" ref="D19:Y19" si="5">SUM(D16:D18)</f>
        <v>6729.3555236472012</v>
      </c>
      <c r="E19" s="18">
        <f t="shared" si="5"/>
        <v>12527.866161596348</v>
      </c>
      <c r="F19" s="18">
        <f t="shared" si="5"/>
        <v>11371.795545436715</v>
      </c>
      <c r="G19" s="18">
        <f t="shared" si="5"/>
        <v>10337.416573083356</v>
      </c>
      <c r="H19" s="18">
        <f t="shared" si="5"/>
        <v>9400.3909157750204</v>
      </c>
      <c r="I19" s="18">
        <f t="shared" si="5"/>
        <v>7937.1094091310797</v>
      </c>
      <c r="J19" s="18">
        <f t="shared" si="5"/>
        <v>7229.8069845703631</v>
      </c>
      <c r="K19" s="18">
        <f t="shared" si="5"/>
        <v>7241.976148950991</v>
      </c>
      <c r="L19" s="18">
        <f t="shared" si="5"/>
        <v>7229.8069845703631</v>
      </c>
      <c r="M19" s="18">
        <f t="shared" si="5"/>
        <v>7241.976148950991</v>
      </c>
      <c r="N19" s="18">
        <f t="shared" si="5"/>
        <v>7229.8069845703631</v>
      </c>
      <c r="O19" s="18">
        <f t="shared" si="5"/>
        <v>7241.976148950991</v>
      </c>
      <c r="P19" s="18">
        <f t="shared" si="5"/>
        <v>7229.8069845703631</v>
      </c>
      <c r="Q19" s="18">
        <f t="shared" si="5"/>
        <v>7241.976148950991</v>
      </c>
      <c r="R19" s="18">
        <f t="shared" si="5"/>
        <v>7229.8069845703631</v>
      </c>
      <c r="S19" s="18">
        <f t="shared" si="5"/>
        <v>3639.9034922851815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0">
        <f>B19</f>
        <v>127277.44380627736</v>
      </c>
      <c r="C21" s="372"/>
      <c r="D21" s="300">
        <f>B19-D19</f>
        <v>120548.08828263015</v>
      </c>
      <c r="E21" s="300">
        <f>D21-E19</f>
        <v>108020.2221210338</v>
      </c>
      <c r="F21" s="300">
        <f t="shared" ref="F21:X21" si="7">E21-F19</f>
        <v>96648.426575597085</v>
      </c>
      <c r="G21" s="300">
        <f t="shared" si="7"/>
        <v>86311.010002513736</v>
      </c>
      <c r="H21" s="300">
        <f t="shared" si="7"/>
        <v>76910.619086738719</v>
      </c>
      <c r="I21" s="300">
        <f t="shared" si="7"/>
        <v>68973.509677607639</v>
      </c>
      <c r="J21" s="300">
        <f t="shared" si="7"/>
        <v>61743.702693037274</v>
      </c>
      <c r="K21" s="300">
        <f t="shared" si="7"/>
        <v>54501.726544086283</v>
      </c>
      <c r="L21" s="300">
        <f t="shared" si="7"/>
        <v>47271.919559515918</v>
      </c>
      <c r="M21" s="300">
        <f t="shared" si="7"/>
        <v>40029.943410564927</v>
      </c>
      <c r="N21" s="300">
        <f t="shared" si="7"/>
        <v>32800.136425994562</v>
      </c>
      <c r="O21" s="300">
        <f t="shared" si="7"/>
        <v>25558.160277043571</v>
      </c>
      <c r="P21" s="300">
        <f t="shared" si="7"/>
        <v>18328.353292473206</v>
      </c>
      <c r="Q21" s="300">
        <f t="shared" si="7"/>
        <v>11086.377143522215</v>
      </c>
      <c r="R21" s="300">
        <f t="shared" si="7"/>
        <v>3856.5701589518521</v>
      </c>
      <c r="S21" s="300">
        <f t="shared" si="7"/>
        <v>216.66666666667061</v>
      </c>
      <c r="T21" s="300">
        <f t="shared" si="7"/>
        <v>166.66666666667061</v>
      </c>
      <c r="U21" s="300">
        <f t="shared" si="7"/>
        <v>116.66666666667061</v>
      </c>
      <c r="V21" s="300">
        <f t="shared" si="7"/>
        <v>66.666666666670608</v>
      </c>
      <c r="W21" s="300">
        <f t="shared" si="7"/>
        <v>16.666666666670608</v>
      </c>
      <c r="X21" s="300">
        <f t="shared" si="7"/>
        <v>3.936406756110955E-12</v>
      </c>
      <c r="Y21" s="300">
        <f>X21-Y19</f>
        <v>3.936406756110955E-12</v>
      </c>
      <c r="Z21" s="300">
        <f t="shared" ref="Z21:AH21" si="8">Y21-Z19</f>
        <v>3.936406756110955E-12</v>
      </c>
      <c r="AA21" s="300">
        <f t="shared" si="8"/>
        <v>3.936406756110955E-12</v>
      </c>
      <c r="AB21" s="300">
        <f t="shared" si="8"/>
        <v>3.936406756110955E-12</v>
      </c>
      <c r="AC21" s="300">
        <f t="shared" si="8"/>
        <v>3.936406756110955E-12</v>
      </c>
      <c r="AD21" s="300">
        <f t="shared" si="8"/>
        <v>3.936406756110955E-12</v>
      </c>
      <c r="AE21" s="300">
        <f t="shared" si="8"/>
        <v>3.936406756110955E-12</v>
      </c>
      <c r="AF21" s="300">
        <f t="shared" si="8"/>
        <v>3.936406756110955E-12</v>
      </c>
      <c r="AG21" s="300">
        <f t="shared" si="8"/>
        <v>3.936406756110955E-12</v>
      </c>
      <c r="AH21" s="300">
        <f t="shared" si="8"/>
        <v>3.936406756110955E-12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251</v>
      </c>
      <c r="B27" s="31">
        <f>Assumptions!$N$40</f>
        <v>5</v>
      </c>
      <c r="C27" s="32"/>
      <c r="D27" s="274">
        <f>D13</f>
        <v>0.13333333333333333</v>
      </c>
      <c r="E27" s="274">
        <f t="shared" ref="E27:AH27" si="11">E13</f>
        <v>0.2</v>
      </c>
      <c r="F27" s="274">
        <f t="shared" si="11"/>
        <v>0.2</v>
      </c>
      <c r="G27" s="274">
        <f t="shared" si="11"/>
        <v>0.2</v>
      </c>
      <c r="H27" s="274">
        <f t="shared" si="11"/>
        <v>0.2</v>
      </c>
      <c r="I27" s="274">
        <f t="shared" si="11"/>
        <v>6.666666666666668E-2</v>
      </c>
      <c r="J27" s="274">
        <f t="shared" si="11"/>
        <v>0</v>
      </c>
      <c r="K27" s="274">
        <f t="shared" si="11"/>
        <v>0</v>
      </c>
      <c r="L27" s="274">
        <f t="shared" si="11"/>
        <v>0</v>
      </c>
      <c r="M27" s="274">
        <f t="shared" si="11"/>
        <v>0</v>
      </c>
      <c r="N27" s="274">
        <f t="shared" si="11"/>
        <v>0</v>
      </c>
      <c r="O27" s="274">
        <f t="shared" si="11"/>
        <v>0</v>
      </c>
      <c r="P27" s="274">
        <f t="shared" si="11"/>
        <v>0</v>
      </c>
      <c r="Q27" s="274">
        <f t="shared" si="11"/>
        <v>0</v>
      </c>
      <c r="R27" s="274">
        <f t="shared" si="11"/>
        <v>0</v>
      </c>
      <c r="S27" s="274">
        <f t="shared" si="11"/>
        <v>0</v>
      </c>
      <c r="T27" s="274">
        <f t="shared" si="11"/>
        <v>0</v>
      </c>
      <c r="U27" s="274">
        <f t="shared" si="11"/>
        <v>0</v>
      </c>
      <c r="V27" s="274">
        <f t="shared" si="11"/>
        <v>0</v>
      </c>
      <c r="W27" s="274">
        <f t="shared" si="11"/>
        <v>0</v>
      </c>
      <c r="X27" s="274">
        <f t="shared" si="11"/>
        <v>0</v>
      </c>
      <c r="Y27" s="274">
        <f t="shared" si="11"/>
        <v>0</v>
      </c>
      <c r="Z27" s="274">
        <f t="shared" si="11"/>
        <v>0</v>
      </c>
      <c r="AA27" s="274">
        <f t="shared" si="11"/>
        <v>0</v>
      </c>
      <c r="AB27" s="274">
        <f t="shared" si="11"/>
        <v>0</v>
      </c>
      <c r="AC27" s="274">
        <f t="shared" si="11"/>
        <v>0</v>
      </c>
      <c r="AD27" s="274">
        <f t="shared" si="11"/>
        <v>0</v>
      </c>
      <c r="AE27" s="274">
        <f t="shared" si="11"/>
        <v>0</v>
      </c>
      <c r="AF27" s="274">
        <f t="shared" si="11"/>
        <v>0</v>
      </c>
      <c r="AG27" s="274">
        <f t="shared" si="11"/>
        <v>0</v>
      </c>
      <c r="AH27" s="274">
        <f t="shared" si="11"/>
        <v>0</v>
      </c>
    </row>
    <row r="28" spans="1:36" s="10" customFormat="1">
      <c r="A28" s="22" t="s">
        <v>317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250</v>
      </c>
      <c r="B31" s="369">
        <f>B16</f>
        <v>121691.64380627735</v>
      </c>
      <c r="C31" s="299"/>
      <c r="D31" s="18">
        <f>$B$31*D26</f>
        <v>6084.5821903138676</v>
      </c>
      <c r="E31" s="18">
        <f t="shared" ref="E31:Y31" si="14">$B$31*E26</f>
        <v>11560.706161596348</v>
      </c>
      <c r="F31" s="18">
        <f t="shared" si="14"/>
        <v>10404.635545436715</v>
      </c>
      <c r="G31" s="18">
        <f t="shared" si="14"/>
        <v>9370.2565730833558</v>
      </c>
      <c r="H31" s="18">
        <f t="shared" si="14"/>
        <v>8433.2309157750205</v>
      </c>
      <c r="I31" s="18">
        <f t="shared" si="14"/>
        <v>7581.3894091310794</v>
      </c>
      <c r="J31" s="18">
        <f t="shared" si="14"/>
        <v>7179.8069845703631</v>
      </c>
      <c r="K31" s="18">
        <f t="shared" si="14"/>
        <v>7191.976148950991</v>
      </c>
      <c r="L31" s="18">
        <f t="shared" si="14"/>
        <v>7179.8069845703631</v>
      </c>
      <c r="M31" s="18">
        <f t="shared" si="14"/>
        <v>7191.976148950991</v>
      </c>
      <c r="N31" s="18">
        <f t="shared" si="14"/>
        <v>7179.8069845703631</v>
      </c>
      <c r="O31" s="18">
        <f t="shared" si="14"/>
        <v>7191.976148950991</v>
      </c>
      <c r="P31" s="18">
        <f t="shared" si="14"/>
        <v>7179.8069845703631</v>
      </c>
      <c r="Q31" s="18">
        <f t="shared" si="14"/>
        <v>7191.976148950991</v>
      </c>
      <c r="R31" s="18">
        <f t="shared" si="14"/>
        <v>7179.8069845703631</v>
      </c>
      <c r="S31" s="18">
        <f t="shared" si="14"/>
        <v>3589.9034922851815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251</v>
      </c>
      <c r="B32" s="298">
        <f>B17</f>
        <v>4585.8</v>
      </c>
      <c r="C32" s="299"/>
      <c r="D32" s="296">
        <f>D27*$B$32</f>
        <v>611.44000000000005</v>
      </c>
      <c r="E32" s="296">
        <f t="shared" ref="E32:AH32" si="16">E27*$B$32</f>
        <v>917.16000000000008</v>
      </c>
      <c r="F32" s="296">
        <f t="shared" si="16"/>
        <v>917.16000000000008</v>
      </c>
      <c r="G32" s="296">
        <f t="shared" si="16"/>
        <v>917.16000000000008</v>
      </c>
      <c r="H32" s="296">
        <f t="shared" si="16"/>
        <v>917.16000000000008</v>
      </c>
      <c r="I32" s="296">
        <f t="shared" si="16"/>
        <v>305.72000000000008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317</v>
      </c>
      <c r="B33" s="370">
        <f>B18</f>
        <v>1000</v>
      </c>
      <c r="C33" s="299"/>
      <c r="D33" s="371">
        <f t="shared" ref="D33:Y33" si="17">$B33*D28</f>
        <v>33.333333333333336</v>
      </c>
      <c r="E33" s="371">
        <f t="shared" si="17"/>
        <v>50</v>
      </c>
      <c r="F33" s="371">
        <f t="shared" si="17"/>
        <v>50</v>
      </c>
      <c r="G33" s="371">
        <f t="shared" si="17"/>
        <v>50</v>
      </c>
      <c r="H33" s="371">
        <f t="shared" si="17"/>
        <v>50</v>
      </c>
      <c r="I33" s="371">
        <f t="shared" si="17"/>
        <v>50</v>
      </c>
      <c r="J33" s="371">
        <f t="shared" si="17"/>
        <v>50</v>
      </c>
      <c r="K33" s="371">
        <f t="shared" si="17"/>
        <v>50</v>
      </c>
      <c r="L33" s="371">
        <f t="shared" si="17"/>
        <v>50</v>
      </c>
      <c r="M33" s="371">
        <f t="shared" si="17"/>
        <v>50</v>
      </c>
      <c r="N33" s="371">
        <f t="shared" si="17"/>
        <v>50</v>
      </c>
      <c r="O33" s="371">
        <f t="shared" si="17"/>
        <v>50</v>
      </c>
      <c r="P33" s="371">
        <f t="shared" si="17"/>
        <v>50</v>
      </c>
      <c r="Q33" s="371">
        <f t="shared" si="17"/>
        <v>50</v>
      </c>
      <c r="R33" s="371">
        <f t="shared" si="17"/>
        <v>50</v>
      </c>
      <c r="S33" s="371">
        <f t="shared" si="17"/>
        <v>50</v>
      </c>
      <c r="T33" s="371">
        <f t="shared" si="17"/>
        <v>50</v>
      </c>
      <c r="U33" s="371">
        <f t="shared" si="17"/>
        <v>50</v>
      </c>
      <c r="V33" s="371">
        <f t="shared" si="17"/>
        <v>50</v>
      </c>
      <c r="W33" s="371">
        <f t="shared" si="17"/>
        <v>50</v>
      </c>
      <c r="X33" s="371">
        <f t="shared" si="17"/>
        <v>16.666666666666671</v>
      </c>
      <c r="Y33" s="371">
        <f t="shared" si="17"/>
        <v>0</v>
      </c>
      <c r="Z33" s="371">
        <f t="shared" ref="Z33:AH33" si="18">$B33*Z28</f>
        <v>0</v>
      </c>
      <c r="AA33" s="371">
        <f t="shared" si="18"/>
        <v>0</v>
      </c>
      <c r="AB33" s="371">
        <f t="shared" si="18"/>
        <v>0</v>
      </c>
      <c r="AC33" s="371">
        <f t="shared" si="18"/>
        <v>0</v>
      </c>
      <c r="AD33" s="371">
        <f t="shared" si="18"/>
        <v>0</v>
      </c>
      <c r="AE33" s="371">
        <f t="shared" si="18"/>
        <v>0</v>
      </c>
      <c r="AF33" s="371">
        <f t="shared" si="18"/>
        <v>0</v>
      </c>
      <c r="AG33" s="371">
        <f t="shared" si="18"/>
        <v>0</v>
      </c>
      <c r="AH33" s="371">
        <f t="shared" si="18"/>
        <v>0</v>
      </c>
    </row>
    <row r="34" spans="1:38" s="10" customFormat="1">
      <c r="A34" s="16" t="s">
        <v>62</v>
      </c>
      <c r="B34" s="18">
        <f>SUM(B31:B33)</f>
        <v>127277.44380627736</v>
      </c>
      <c r="C34" s="299"/>
      <c r="D34" s="18">
        <f t="shared" ref="D34:Y34" si="19">SUM(D31:D33)</f>
        <v>6729.3555236472012</v>
      </c>
      <c r="E34" s="18">
        <f t="shared" si="19"/>
        <v>12527.866161596348</v>
      </c>
      <c r="F34" s="18">
        <f t="shared" si="19"/>
        <v>11371.795545436715</v>
      </c>
      <c r="G34" s="18">
        <f t="shared" si="19"/>
        <v>10337.416573083356</v>
      </c>
      <c r="H34" s="18">
        <f t="shared" si="19"/>
        <v>9400.3909157750204</v>
      </c>
      <c r="I34" s="18">
        <f t="shared" si="19"/>
        <v>7937.1094091310797</v>
      </c>
      <c r="J34" s="18">
        <f t="shared" si="19"/>
        <v>7229.8069845703631</v>
      </c>
      <c r="K34" s="18">
        <f t="shared" si="19"/>
        <v>7241.976148950991</v>
      </c>
      <c r="L34" s="18">
        <f t="shared" si="19"/>
        <v>7229.8069845703631</v>
      </c>
      <c r="M34" s="18">
        <f t="shared" si="19"/>
        <v>7241.976148950991</v>
      </c>
      <c r="N34" s="18">
        <f t="shared" si="19"/>
        <v>7229.8069845703631</v>
      </c>
      <c r="O34" s="18">
        <f t="shared" si="19"/>
        <v>7241.976148950991</v>
      </c>
      <c r="P34" s="18">
        <f t="shared" si="19"/>
        <v>7229.8069845703631</v>
      </c>
      <c r="Q34" s="18">
        <f t="shared" si="19"/>
        <v>7241.976148950991</v>
      </c>
      <c r="R34" s="18">
        <f t="shared" si="19"/>
        <v>7229.8069845703631</v>
      </c>
      <c r="S34" s="18">
        <f t="shared" si="19"/>
        <v>3639.9034922851815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0">
        <f>B34</f>
        <v>127277.44380627736</v>
      </c>
      <c r="C36" s="374"/>
      <c r="D36" s="300">
        <f>B34-D34</f>
        <v>120548.08828263015</v>
      </c>
      <c r="E36" s="300">
        <f>D36-E34</f>
        <v>108020.2221210338</v>
      </c>
      <c r="F36" s="300">
        <f t="shared" ref="F36:W36" si="21">E36-F34</f>
        <v>96648.426575597085</v>
      </c>
      <c r="G36" s="300">
        <f t="shared" si="21"/>
        <v>86311.010002513736</v>
      </c>
      <c r="H36" s="300">
        <f t="shared" si="21"/>
        <v>76910.619086738719</v>
      </c>
      <c r="I36" s="300">
        <f t="shared" si="21"/>
        <v>68973.509677607639</v>
      </c>
      <c r="J36" s="300">
        <f t="shared" si="21"/>
        <v>61743.702693037274</v>
      </c>
      <c r="K36" s="300">
        <f t="shared" si="21"/>
        <v>54501.726544086283</v>
      </c>
      <c r="L36" s="300">
        <f t="shared" si="21"/>
        <v>47271.919559515918</v>
      </c>
      <c r="M36" s="300">
        <f t="shared" si="21"/>
        <v>40029.943410564927</v>
      </c>
      <c r="N36" s="300">
        <f t="shared" si="21"/>
        <v>32800.136425994562</v>
      </c>
      <c r="O36" s="300">
        <f t="shared" si="21"/>
        <v>25558.160277043571</v>
      </c>
      <c r="P36" s="300">
        <f t="shared" si="21"/>
        <v>18328.353292473206</v>
      </c>
      <c r="Q36" s="300">
        <f t="shared" si="21"/>
        <v>11086.377143522215</v>
      </c>
      <c r="R36" s="300">
        <f t="shared" si="21"/>
        <v>3856.5701589518521</v>
      </c>
      <c r="S36" s="300">
        <f t="shared" si="21"/>
        <v>216.66666666667061</v>
      </c>
      <c r="T36" s="300">
        <f t="shared" si="21"/>
        <v>166.66666666667061</v>
      </c>
      <c r="U36" s="300">
        <f t="shared" si="21"/>
        <v>116.66666666667061</v>
      </c>
      <c r="V36" s="300">
        <f t="shared" si="21"/>
        <v>66.666666666670608</v>
      </c>
      <c r="W36" s="300">
        <f t="shared" si="21"/>
        <v>16.666666666670608</v>
      </c>
      <c r="X36" s="300">
        <f>W36-X34</f>
        <v>3.936406756110955E-12</v>
      </c>
      <c r="Y36" s="300">
        <f>X36-Y34</f>
        <v>3.936406756110955E-12</v>
      </c>
      <c r="Z36" s="300">
        <f t="shared" ref="Z36:AH36" si="22">Y36-Z34</f>
        <v>3.936406756110955E-12</v>
      </c>
      <c r="AA36" s="300">
        <f t="shared" si="22"/>
        <v>3.936406756110955E-12</v>
      </c>
      <c r="AB36" s="300">
        <f t="shared" si="22"/>
        <v>3.936406756110955E-12</v>
      </c>
      <c r="AC36" s="300">
        <f t="shared" si="22"/>
        <v>3.936406756110955E-12</v>
      </c>
      <c r="AD36" s="300">
        <f t="shared" si="22"/>
        <v>3.936406756110955E-12</v>
      </c>
      <c r="AE36" s="300">
        <f t="shared" si="22"/>
        <v>3.936406756110955E-12</v>
      </c>
      <c r="AF36" s="300">
        <f t="shared" si="22"/>
        <v>3.936406756110955E-12</v>
      </c>
      <c r="AG36" s="300">
        <f t="shared" si="22"/>
        <v>3.936406756110955E-12</v>
      </c>
      <c r="AH36" s="300">
        <f t="shared" si="22"/>
        <v>3.936406756110955E-12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7" t="s">
        <v>66</v>
      </c>
    </row>
    <row r="41" spans="1:38" s="10" customFormat="1">
      <c r="A41" s="21" t="s">
        <v>372</v>
      </c>
      <c r="B41" s="31">
        <f>Assumptions!$N$44</f>
        <v>30</v>
      </c>
      <c r="C41" s="368">
        <f>Assumptions!P44</f>
        <v>0.1</v>
      </c>
      <c r="D41" s="274">
        <f>1/Assumptions!$N$44*D6*(1-$C$41)</f>
        <v>1.9999999999999997E-2</v>
      </c>
      <c r="E41" s="274">
        <f>IF(AND(E6&gt;=Assumptions!$N$44,D6&lt;Assumptions!$N$44),1/Assumptions!$N$44*(1-$C$41)-Depreciation!$D$41,IF(AND(D6&gt;Assumptions!$N$44,E6&lt;Assumptions!$N$44),0,1/Assumptions!$N$44*(1-$C$41)))</f>
        <v>0.03</v>
      </c>
      <c r="F41" s="274">
        <f>IF(AND(F6&gt;=Assumptions!$N$44,E6&lt;Assumptions!$N$44),1/Assumptions!$N$44*(1-$C$41)-Depreciation!$D$41,IF(AND(E6&gt;Assumptions!$N$44,F6&lt;Assumptions!$N$44),0,1/Assumptions!$N$44*(1-$C$41)))</f>
        <v>0.03</v>
      </c>
      <c r="G41" s="274">
        <f>IF(AND(G6&gt;=Assumptions!$N$44,F6&lt;Assumptions!$N$44),1/Assumptions!$N$44*(1-$C$41)-Depreciation!$D$41,IF(AND(F6&gt;Assumptions!$N$44,G6&lt;Assumptions!$N$44),0,1/Assumptions!$N$44*(1-$C$41)))</f>
        <v>0.03</v>
      </c>
      <c r="H41" s="274">
        <f>IF(AND(H6&gt;=Assumptions!$N$44,G6&lt;Assumptions!$N$44),1/Assumptions!$N$44*(1-$C$41)-Depreciation!$D$41,IF(AND(G6&gt;Assumptions!$N$44,H6&lt;Assumptions!$N$44),0,1/Assumptions!$N$44*(1-$C$41)))</f>
        <v>0.03</v>
      </c>
      <c r="I41" s="274">
        <f>IF(AND(I6&gt;=Assumptions!$N$44,H6&lt;Assumptions!$N$44),1/Assumptions!$N$44*(1-$C$41)-Depreciation!$D$41,IF(AND(H6&gt;Assumptions!$N$44,I6&lt;Assumptions!$N$44),0,1/Assumptions!$N$44*(1-$C$41)))</f>
        <v>0.03</v>
      </c>
      <c r="J41" s="274">
        <f>IF(AND(J6&gt;=Assumptions!$N$44,I6&lt;Assumptions!$N$44),1/Assumptions!$N$44*(1-$C$41)-Depreciation!$D$41,IF(AND(I6&gt;Assumptions!$N$44,J6&lt;Assumptions!$N$44),0,1/Assumptions!$N$44*(1-$C$41)))</f>
        <v>0.03</v>
      </c>
      <c r="K41" s="274">
        <f>IF(AND(K6&gt;=Assumptions!$N$44,J6&lt;Assumptions!$N$44),1/Assumptions!$N$44*(1-$C$41)-Depreciation!$D$41,IF(AND(J6&gt;Assumptions!$N$44,K6&lt;Assumptions!$N$44),0,1/Assumptions!$N$44*(1-$C$41)))</f>
        <v>0.03</v>
      </c>
      <c r="L41" s="274">
        <f>IF(AND(L6&gt;=Assumptions!$N$44,K6&lt;Assumptions!$N$44),1/Assumptions!$N$44*(1-$C$41)-Depreciation!$D$41,IF(AND(K6&gt;Assumptions!$N$44,L6&lt;Assumptions!$N$44),0,1/Assumptions!$N$44*(1-$C$41)))</f>
        <v>0.03</v>
      </c>
      <c r="M41" s="274">
        <f>IF(AND(M6&gt;=Assumptions!$N$44,L6&lt;Assumptions!$N$44),1/Assumptions!$N$44*(1-$C$41)-Depreciation!$D$41,IF(AND(L6&gt;Assumptions!$N$44,M6&lt;Assumptions!$N$44),0,1/Assumptions!$N$44*(1-$C$41)))</f>
        <v>0.03</v>
      </c>
      <c r="N41" s="274">
        <f>IF(AND(N6&gt;=Assumptions!$N$44,M6&lt;Assumptions!$N$44),1/Assumptions!$N$44*(1-$C$41)-Depreciation!$D$41,IF(AND(M6&gt;Assumptions!$N$44,N6&lt;Assumptions!$N$44),0,1/Assumptions!$N$44*(1-$C$41)))</f>
        <v>0.03</v>
      </c>
      <c r="O41" s="274">
        <f>IF(AND(O6&gt;=Assumptions!$N$44,N6&lt;Assumptions!$N$44),1/Assumptions!$N$44*(1-$C$41)-Depreciation!$D$41,IF(AND(N6&gt;Assumptions!$N$44,O6&lt;Assumptions!$N$44),0,1/Assumptions!$N$44*(1-$C$41)))</f>
        <v>0.03</v>
      </c>
      <c r="P41" s="274">
        <f>IF(AND(P6&gt;=Assumptions!$N$44,O6&lt;Assumptions!$N$44),1/Assumptions!$N$44*(1-$C$41)-Depreciation!$D$41,IF(AND(O6&gt;Assumptions!$N$44,P6&lt;Assumptions!$N$44),0,1/Assumptions!$N$44*(1-$C$41)))</f>
        <v>0.03</v>
      </c>
      <c r="Q41" s="274">
        <f>IF(AND(Q6&gt;=Assumptions!$N$44,P6&lt;Assumptions!$N$44),1/Assumptions!$N$44*(1-$C$41)-Depreciation!$D$41,IF(AND(P6&gt;Assumptions!$N$44,Q6&lt;Assumptions!$N$44),0,1/Assumptions!$N$44*(1-$C$41)))</f>
        <v>0.03</v>
      </c>
      <c r="R41" s="274">
        <f>IF(AND(R6&gt;=Assumptions!$N$44,Q6&lt;Assumptions!$N$44),1/Assumptions!$N$44*(1-$C$41)-Depreciation!$D$41,IF(AND(Q6&gt;Assumptions!$N$44,R6&lt;Assumptions!$N$44),0,1/Assumptions!$N$44*(1-$C$41)))</f>
        <v>0.03</v>
      </c>
      <c r="S41" s="274">
        <f>IF(AND(S6&gt;=Assumptions!$N$44,R6&lt;Assumptions!$N$44),1/Assumptions!$N$44*(1-$C$41)-Depreciation!$D$41,IF(AND(R6&gt;Assumptions!$N$44,S6&lt;Assumptions!$N$44),0,1/Assumptions!$N$44*(1-$C$41)))</f>
        <v>0.03</v>
      </c>
      <c r="T41" s="274">
        <f>IF(AND(T6&gt;=Assumptions!$N$44,S6&lt;Assumptions!$N$44),1/Assumptions!$N$44*(1-$C$41)-Depreciation!$D$41,IF(AND(S6&gt;Assumptions!$N$44,T6&lt;Assumptions!$N$44),0,1/Assumptions!$N$44*(1-$C$41)))</f>
        <v>0.03</v>
      </c>
      <c r="U41" s="274">
        <f>IF(AND(U6&gt;=Assumptions!$N$44,T6&lt;Assumptions!$N$44),1/Assumptions!$N$44*(1-$C$41)-Depreciation!$D$41,IF(AND(T6&gt;Assumptions!$N$44,U6&lt;Assumptions!$N$44),0,1/Assumptions!$N$44*(1-$C$41)))</f>
        <v>0.03</v>
      </c>
      <c r="V41" s="274">
        <f>IF(AND(V6&gt;=Assumptions!$N$44,U6&lt;Assumptions!$N$44),1/Assumptions!$N$44*(1-$C$41)-Depreciation!$D$41,IF(AND(U6&gt;Assumptions!$N$44,V6&lt;Assumptions!$N$44),0,1/Assumptions!$N$44*(1-$C$41)))</f>
        <v>0.03</v>
      </c>
      <c r="W41" s="274">
        <f>IF(AND(W6&gt;=Assumptions!$N$44,V6&lt;Assumptions!$N$44),1/Assumptions!$N$44*(1-$C$41)-Depreciation!$D$41,IF(AND(V6&gt;Assumptions!$N$44,W6&lt;Assumptions!$N$44),0,1/Assumptions!$N$44*(1-$C$41)))</f>
        <v>0.03</v>
      </c>
      <c r="X41" s="274">
        <f>IF(AND(X6&gt;=Assumptions!$N$44,W6&lt;Assumptions!$N$44),1/Assumptions!$N$44*(1-$C$41)-Depreciation!$D$41,IF(AND(W6&gt;Assumptions!$N$44,X6&lt;Assumptions!$N$44),0,1/Assumptions!$N$44*(1-$C$41)))</f>
        <v>0.03</v>
      </c>
      <c r="Y41" s="274">
        <f>IF(AND(Y6&gt;=Assumptions!$N$44,X6&lt;Assumptions!$N$44),1/Assumptions!$N$44*(1-$C$41)-Depreciation!$D$41,IF(AND(X6&gt;Assumptions!$N$44,Y6&lt;Assumptions!$N$44),0,1/Assumptions!$N$44*(1-$C$41)))</f>
        <v>0.03</v>
      </c>
      <c r="Z41" s="274">
        <f>IF(AND(Z6&gt;=Assumptions!$N$44,Y6&lt;Assumptions!$N$44),1/Assumptions!$N$44*(1-$C$41)-Depreciation!$D$41,IF(AND(Y6&gt;Assumptions!$N$44,Z6&lt;Assumptions!$N$44),0,1/Assumptions!$N$44*(1-$C$41)))</f>
        <v>0.03</v>
      </c>
      <c r="AA41" s="274">
        <f>IF(AND(AA6&gt;=Assumptions!$N$44,Z6&lt;Assumptions!$N$44),1/Assumptions!$N$44*(1-$C$41)-Depreciation!$D$41,IF(AND(Z6&gt;Assumptions!$N$44,AA6&lt;Assumptions!$N$44),0,1/Assumptions!$N$44*(1-$C$41)))</f>
        <v>0.03</v>
      </c>
      <c r="AB41" s="274">
        <f>IF(AND(AB6&gt;=Assumptions!$N$44,AA6&lt;Assumptions!$N$44),1/Assumptions!$N$44*(1-$C$41)-Depreciation!$D$41,IF(AND(AA6&gt;Assumptions!$N$44,AB6&lt;Assumptions!$N$44),0,1/Assumptions!$N$44*(1-$C$41)))</f>
        <v>0.03</v>
      </c>
      <c r="AC41" s="274">
        <f>IF(AND(AC6&gt;=Assumptions!$N$44,AB6&lt;Assumptions!$N$44),1/Assumptions!$N$44*(1-$C$41)-Depreciation!$D$41,IF(AND(AB6&gt;Assumptions!$N$44,AC6&lt;Assumptions!$N$44),0,1/Assumptions!$N$44*(1-$C$41)))</f>
        <v>0.03</v>
      </c>
      <c r="AD41" s="274">
        <f>IF(AND(AD6&gt;=Assumptions!$N$44,AC6&lt;Assumptions!$N$44),1/Assumptions!$N$44*(1-$C$41)-Depreciation!$D$41,IF(AND(AC6&gt;Assumptions!$N$44,AD6&lt;Assumptions!$N$44),0,1/Assumptions!$N$44*(1-$C$41)))</f>
        <v>0.03</v>
      </c>
      <c r="AE41" s="274">
        <f>IF(AND(AE6&gt;=Assumptions!$N$44,AD6&lt;Assumptions!$N$44),1/Assumptions!$N$44*(1-$C$41)-Depreciation!$D$41,IF(AND(AD6&gt;Assumptions!$N$44,AE6&lt;Assumptions!$N$44),0,1/Assumptions!$N$44*(1-$C$41)))</f>
        <v>0.03</v>
      </c>
      <c r="AF41" s="274">
        <f>IF(AND(AF6&gt;=Assumptions!$N$44,AE6&lt;Assumptions!$N$44),1/Assumptions!$N$44*(1-$C$41)-Depreciation!$D$41,IF(AND(AE6&gt;Assumptions!$N$44,AF6&lt;Assumptions!$N$44),0,1/Assumptions!$N$44*(1-$C$41)))</f>
        <v>0.03</v>
      </c>
      <c r="AG41" s="274">
        <f>IF(AND(AG6&gt;=Assumptions!$N$44,AF6&lt;Assumptions!$N$44),1/Assumptions!$N$44*(1-$C$41)-Depreciation!$D$41,IF(AND(AF6&gt;Assumptions!$N$44,AG6&lt;Assumptions!$N$44),0,1/Assumptions!$N$44*(1-$C$41)))</f>
        <v>0.03</v>
      </c>
      <c r="AH41" s="274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251</v>
      </c>
      <c r="B42" s="31">
        <f>Assumptions!$N$40</f>
        <v>5</v>
      </c>
      <c r="C42" s="32"/>
      <c r="D42" s="274">
        <f>D13</f>
        <v>0.13333333333333333</v>
      </c>
      <c r="E42" s="274">
        <f t="shared" ref="E42:AH42" si="23">E13</f>
        <v>0.2</v>
      </c>
      <c r="F42" s="274">
        <f t="shared" si="23"/>
        <v>0.2</v>
      </c>
      <c r="G42" s="274">
        <f t="shared" si="23"/>
        <v>0.2</v>
      </c>
      <c r="H42" s="274">
        <f t="shared" si="23"/>
        <v>0.2</v>
      </c>
      <c r="I42" s="274">
        <f t="shared" si="23"/>
        <v>6.666666666666668E-2</v>
      </c>
      <c r="J42" s="274">
        <f t="shared" si="23"/>
        <v>0</v>
      </c>
      <c r="K42" s="274">
        <f t="shared" si="23"/>
        <v>0</v>
      </c>
      <c r="L42" s="274">
        <f t="shared" si="23"/>
        <v>0</v>
      </c>
      <c r="M42" s="274">
        <f t="shared" si="23"/>
        <v>0</v>
      </c>
      <c r="N42" s="274">
        <f t="shared" si="23"/>
        <v>0</v>
      </c>
      <c r="O42" s="274">
        <f t="shared" si="23"/>
        <v>0</v>
      </c>
      <c r="P42" s="274">
        <f t="shared" si="23"/>
        <v>0</v>
      </c>
      <c r="Q42" s="274">
        <f t="shared" si="23"/>
        <v>0</v>
      </c>
      <c r="R42" s="274">
        <f t="shared" si="23"/>
        <v>0</v>
      </c>
      <c r="S42" s="274">
        <f t="shared" si="23"/>
        <v>0</v>
      </c>
      <c r="T42" s="274">
        <f t="shared" si="23"/>
        <v>0</v>
      </c>
      <c r="U42" s="274">
        <f t="shared" si="23"/>
        <v>0</v>
      </c>
      <c r="V42" s="274">
        <f t="shared" si="23"/>
        <v>0</v>
      </c>
      <c r="W42" s="274">
        <f t="shared" si="23"/>
        <v>0</v>
      </c>
      <c r="X42" s="274">
        <f t="shared" si="23"/>
        <v>0</v>
      </c>
      <c r="Y42" s="274">
        <f t="shared" si="23"/>
        <v>0</v>
      </c>
      <c r="Z42" s="274">
        <f t="shared" si="23"/>
        <v>0</v>
      </c>
      <c r="AA42" s="274">
        <f t="shared" si="23"/>
        <v>0</v>
      </c>
      <c r="AB42" s="274">
        <f t="shared" si="23"/>
        <v>0</v>
      </c>
      <c r="AC42" s="274">
        <f t="shared" si="23"/>
        <v>0</v>
      </c>
      <c r="AD42" s="274">
        <f t="shared" si="23"/>
        <v>0</v>
      </c>
      <c r="AE42" s="274">
        <f t="shared" si="23"/>
        <v>0</v>
      </c>
      <c r="AF42" s="274">
        <f t="shared" si="23"/>
        <v>0</v>
      </c>
      <c r="AG42" s="274">
        <f t="shared" si="23"/>
        <v>0</v>
      </c>
      <c r="AH42" s="274">
        <f t="shared" si="23"/>
        <v>0</v>
      </c>
    </row>
    <row r="43" spans="1:38" s="10" customFormat="1">
      <c r="A43" s="22" t="s">
        <v>317</v>
      </c>
      <c r="B43" s="34">
        <f>Assumptions!$N$46</f>
        <v>20</v>
      </c>
      <c r="C43" s="24"/>
      <c r="D43" s="274">
        <f>1/Assumptions!$N$46*D6</f>
        <v>3.3333333333333333E-2</v>
      </c>
      <c r="E43" s="274">
        <f>IF(AND(E6&gt;=Assumptions!$N$46, D6&lt;Assumptions!$N$46),1/Assumptions!$N$46-Depreciation!$D$43,IF(E6&lt;Assumptions!$N$46,1/Assumptions!$N$46,0))</f>
        <v>0.05</v>
      </c>
      <c r="F43" s="274">
        <f>IF(AND(F6&gt;=Assumptions!$N$46, E6&lt;Assumptions!$N$46),1/Assumptions!$N$46-Depreciation!$D$43,IF(F6&lt;Assumptions!$N$46,1/Assumptions!$N$46,0))</f>
        <v>0.05</v>
      </c>
      <c r="G43" s="274">
        <f>IF(AND(G6&gt;=Assumptions!$N$46, F6&lt;Assumptions!$N$46),1/Assumptions!$N$46-Depreciation!$D$43,IF(G6&lt;Assumptions!$N$46,1/Assumptions!$N$46,0))</f>
        <v>0.05</v>
      </c>
      <c r="H43" s="274">
        <f>IF(AND(H6&gt;=Assumptions!$N$46, G6&lt;Assumptions!$N$46),1/Assumptions!$N$46-Depreciation!$D$43,IF(H6&lt;Assumptions!$N$46,1/Assumptions!$N$46,0))</f>
        <v>0.05</v>
      </c>
      <c r="I43" s="274">
        <f>IF(AND(I6&gt;=Assumptions!$N$46, H6&lt;Assumptions!$N$46),1/Assumptions!$N$46-Depreciation!$D$43,IF(I6&lt;Assumptions!$N$46,1/Assumptions!$N$46,0))</f>
        <v>0.05</v>
      </c>
      <c r="J43" s="274">
        <f>IF(AND(J6&gt;=Assumptions!$N$46, I6&lt;Assumptions!$N$46),1/Assumptions!$N$46-Depreciation!$D$43,IF(J6&lt;Assumptions!$N$46,1/Assumptions!$N$46,0))</f>
        <v>0.05</v>
      </c>
      <c r="K43" s="274">
        <f>IF(AND(K6&gt;=Assumptions!$N$46, J6&lt;Assumptions!$N$46),1/Assumptions!$N$46-Depreciation!$D$43,IF(K6&lt;Assumptions!$N$46,1/Assumptions!$N$46,0))</f>
        <v>0.05</v>
      </c>
      <c r="L43" s="274">
        <f>IF(AND(L6&gt;=Assumptions!$N$46, K6&lt;Assumptions!$N$46),1/Assumptions!$N$46-Depreciation!$D$43,IF(L6&lt;Assumptions!$N$46,1/Assumptions!$N$46,0))</f>
        <v>0.05</v>
      </c>
      <c r="M43" s="274">
        <f>IF(AND(M6&gt;=Assumptions!$N$46, L6&lt;Assumptions!$N$46),1/Assumptions!$N$46-Depreciation!$D$43,IF(M6&lt;Assumptions!$N$46,1/Assumptions!$N$46,0))</f>
        <v>0.05</v>
      </c>
      <c r="N43" s="274">
        <f>IF(AND(N6&gt;=Assumptions!$N$46, M6&lt;Assumptions!$N$46),1/Assumptions!$N$46-Depreciation!$D$43,IF(N6&lt;Assumptions!$N$46,1/Assumptions!$N$46,0))</f>
        <v>0.05</v>
      </c>
      <c r="O43" s="274">
        <f>IF(AND(O6&gt;=Assumptions!$N$46, N6&lt;Assumptions!$N$46),1/Assumptions!$N$46-Depreciation!$D$43,IF(O6&lt;Assumptions!$N$46,1/Assumptions!$N$46,0))</f>
        <v>0.05</v>
      </c>
      <c r="P43" s="274">
        <f>IF(AND(P6&gt;=Assumptions!$N$46, O6&lt;Assumptions!$N$46),1/Assumptions!$N$46-Depreciation!$D$43,IF(P6&lt;Assumptions!$N$46,1/Assumptions!$N$46,0))</f>
        <v>0.05</v>
      </c>
      <c r="Q43" s="274">
        <f>IF(AND(Q6&gt;=Assumptions!$N$46, P6&lt;Assumptions!$N$46),1/Assumptions!$N$46-Depreciation!$D$43,IF(Q6&lt;Assumptions!$N$46,1/Assumptions!$N$46,0))</f>
        <v>0.05</v>
      </c>
      <c r="R43" s="274">
        <f>IF(AND(R6&gt;=Assumptions!$N$46, Q6&lt;Assumptions!$N$46),1/Assumptions!$N$46-Depreciation!$D$43,IF(R6&lt;Assumptions!$N$46,1/Assumptions!$N$46,0))</f>
        <v>0.05</v>
      </c>
      <c r="S43" s="274">
        <f>IF(AND(S6&gt;=Assumptions!$N$46, R6&lt;Assumptions!$N$46),1/Assumptions!$N$46-Depreciation!$D$43,IF(S6&lt;Assumptions!$N$46,1/Assumptions!$N$46,0))</f>
        <v>0.05</v>
      </c>
      <c r="T43" s="274">
        <f>IF(AND(T6&gt;=Assumptions!$N$46, S6&lt;Assumptions!$N$46),1/Assumptions!$N$46-Depreciation!$D$43,IF(T6&lt;Assumptions!$N$46,1/Assumptions!$N$46,0))</f>
        <v>0.05</v>
      </c>
      <c r="U43" s="274">
        <f>IF(AND(U6&gt;=Assumptions!$N$46, T6&lt;Assumptions!$N$46),1/Assumptions!$N$46-Depreciation!$D$43,IF(U6&lt;Assumptions!$N$46,1/Assumptions!$N$46,0))</f>
        <v>0.05</v>
      </c>
      <c r="V43" s="274">
        <f>IF(AND(V6&gt;=Assumptions!$N$46, U6&lt;Assumptions!$N$46),1/Assumptions!$N$46-Depreciation!$D$43,IF(V6&lt;Assumptions!$N$46,1/Assumptions!$N$46,0))</f>
        <v>0.05</v>
      </c>
      <c r="W43" s="274">
        <f>IF(AND(W6&gt;=Assumptions!$N$46, V6&lt;Assumptions!$N$46),1/Assumptions!$N$46-Depreciation!$D$43,IF(W6&lt;Assumptions!$N$46,1/Assumptions!$N$46,0))</f>
        <v>0.05</v>
      </c>
      <c r="X43" s="274">
        <f>IF(AND(X6&gt;=Assumptions!$N$46, W6&lt;Assumptions!$N$46),1/Assumptions!$N$46-Depreciation!$D$43,IF(X6&lt;Assumptions!$N$46,1/Assumptions!$N$46,0))</f>
        <v>1.666666666666667E-2</v>
      </c>
      <c r="Y43" s="274">
        <f>IF(AND(Y6&gt;=Assumptions!$N$46, X6&lt;Assumptions!$N$46),1/Assumptions!$N$46-Depreciation!$D$43,IF(Y6&lt;Assumptions!$N$46,1/Assumptions!$N$46,0))</f>
        <v>0</v>
      </c>
      <c r="Z43" s="274">
        <f>IF(AND(Z6&gt;=Assumptions!$N$46, Y6&lt;Assumptions!$N$46),1/Assumptions!$N$46-Depreciation!$D$43,IF(Z6&lt;Assumptions!$N$46,1/Assumptions!$N$46,0))</f>
        <v>0</v>
      </c>
      <c r="AA43" s="274">
        <f>IF(AND(AA6&gt;=Assumptions!$N$46, Z6&lt;Assumptions!$N$46),1/Assumptions!$N$46-Depreciation!$D$43,IF(AA6&lt;Assumptions!$N$46,1/Assumptions!$N$46,0))</f>
        <v>0</v>
      </c>
      <c r="AB43" s="274">
        <f>IF(AND(AB6&gt;=Assumptions!$N$46, AA6&lt;Assumptions!$N$46),1/Assumptions!$N$46-Depreciation!$D$43,IF(AB6&lt;Assumptions!$N$46,1/Assumptions!$N$46,0))</f>
        <v>0</v>
      </c>
      <c r="AC43" s="274">
        <f>IF(AND(AC6&gt;=Assumptions!$N$46, AB6&lt;Assumptions!$N$46),1/Assumptions!$N$46-Depreciation!$D$43,IF(AC6&lt;Assumptions!$N$46,1/Assumptions!$N$46,0))</f>
        <v>0</v>
      </c>
      <c r="AD43" s="274">
        <f>IF(AND(AD6&gt;=Assumptions!$N$46, AC6&lt;Assumptions!$N$46),1/Assumptions!$N$46-Depreciation!$D$43,IF(AD6&lt;Assumptions!$N$46,1/Assumptions!$N$46,0))</f>
        <v>0</v>
      </c>
      <c r="AE43" s="274">
        <f>IF(AND(AE6&gt;=Assumptions!$N$46, AD6&lt;Assumptions!$N$46),1/Assumptions!$N$46-Depreciation!$D$43,IF(AE6&lt;Assumptions!$N$46,1/Assumptions!$N$46,0))</f>
        <v>0</v>
      </c>
      <c r="AF43" s="274">
        <f>IF(AND(AF6&gt;=Assumptions!$N$46, AE6&lt;Assumptions!$N$46),1/Assumptions!$N$46-Depreciation!$D$43,IF(AF6&lt;Assumptions!$N$46,1/Assumptions!$N$46,0))</f>
        <v>0</v>
      </c>
      <c r="AG43" s="274">
        <f>IF(AND(AG6&gt;=Assumptions!$N$46, AF6&lt;Assumptions!$N$46),1/Assumptions!$N$46-Depreciation!$D$43,IF(AG6&lt;Assumptions!$N$46,1/Assumptions!$N$46,0))</f>
        <v>0</v>
      </c>
      <c r="AH43" s="274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250</v>
      </c>
      <c r="B45" s="369">
        <f>B16</f>
        <v>121691.64380627735</v>
      </c>
      <c r="C45" s="299"/>
      <c r="D45" s="18">
        <f t="shared" ref="D45:Y45" si="24">D41*$B$45</f>
        <v>2433.8328761255466</v>
      </c>
      <c r="E45" s="18">
        <f t="shared" si="24"/>
        <v>3650.7493141883206</v>
      </c>
      <c r="F45" s="18">
        <f t="shared" si="24"/>
        <v>3650.7493141883206</v>
      </c>
      <c r="G45" s="18">
        <f t="shared" si="24"/>
        <v>3650.7493141883206</v>
      </c>
      <c r="H45" s="18">
        <f t="shared" si="24"/>
        <v>3650.7493141883206</v>
      </c>
      <c r="I45" s="18">
        <f t="shared" si="24"/>
        <v>3650.7493141883206</v>
      </c>
      <c r="J45" s="18">
        <f t="shared" si="24"/>
        <v>3650.7493141883206</v>
      </c>
      <c r="K45" s="18">
        <f t="shared" si="24"/>
        <v>3650.7493141883206</v>
      </c>
      <c r="L45" s="18">
        <f t="shared" si="24"/>
        <v>3650.7493141883206</v>
      </c>
      <c r="M45" s="18">
        <f t="shared" si="24"/>
        <v>3650.7493141883206</v>
      </c>
      <c r="N45" s="18">
        <f t="shared" si="24"/>
        <v>3650.7493141883206</v>
      </c>
      <c r="O45" s="18">
        <f t="shared" si="24"/>
        <v>3650.7493141883206</v>
      </c>
      <c r="P45" s="18">
        <f t="shared" si="24"/>
        <v>3650.7493141883206</v>
      </c>
      <c r="Q45" s="18">
        <f t="shared" si="24"/>
        <v>3650.7493141883206</v>
      </c>
      <c r="R45" s="18">
        <f t="shared" si="24"/>
        <v>3650.7493141883206</v>
      </c>
      <c r="S45" s="18">
        <f t="shared" si="24"/>
        <v>3650.7493141883206</v>
      </c>
      <c r="T45" s="18">
        <f t="shared" si="24"/>
        <v>3650.7493141883206</v>
      </c>
      <c r="U45" s="18">
        <f t="shared" si="24"/>
        <v>3650.7493141883206</v>
      </c>
      <c r="V45" s="18">
        <f t="shared" si="24"/>
        <v>3650.7493141883206</v>
      </c>
      <c r="W45" s="18">
        <f t="shared" si="24"/>
        <v>3650.7493141883206</v>
      </c>
      <c r="X45" s="18">
        <f t="shared" si="24"/>
        <v>3650.7493141883206</v>
      </c>
      <c r="Y45" s="18">
        <f t="shared" si="24"/>
        <v>3650.7493141883206</v>
      </c>
      <c r="Z45" s="18">
        <f t="shared" ref="Z45:AH45" si="25">Z41*$B$45</f>
        <v>3650.7493141883206</v>
      </c>
      <c r="AA45" s="18">
        <f t="shared" si="25"/>
        <v>3650.7493141883206</v>
      </c>
      <c r="AB45" s="18">
        <f t="shared" si="25"/>
        <v>3650.7493141883206</v>
      </c>
      <c r="AC45" s="18">
        <f t="shared" si="25"/>
        <v>3650.7493141883206</v>
      </c>
      <c r="AD45" s="18">
        <f t="shared" si="25"/>
        <v>3650.7493141883206</v>
      </c>
      <c r="AE45" s="18">
        <f t="shared" si="25"/>
        <v>3650.7493141883206</v>
      </c>
      <c r="AF45" s="18">
        <f t="shared" si="25"/>
        <v>3650.7493141883206</v>
      </c>
      <c r="AG45" s="18">
        <f t="shared" si="25"/>
        <v>3650.7493141883206</v>
      </c>
      <c r="AH45" s="18">
        <f t="shared" si="25"/>
        <v>1216.9164380627738</v>
      </c>
      <c r="AI45" s="20"/>
      <c r="AJ45" s="20"/>
      <c r="AK45" s="20"/>
      <c r="AL45" s="20"/>
    </row>
    <row r="46" spans="1:38" s="10" customFormat="1">
      <c r="A46" s="21" t="s">
        <v>251</v>
      </c>
      <c r="B46" s="298">
        <f>B17</f>
        <v>4585.8</v>
      </c>
      <c r="C46" s="299"/>
      <c r="D46" s="296">
        <f>D42*$B$46</f>
        <v>611.44000000000005</v>
      </c>
      <c r="E46" s="296">
        <f t="shared" ref="E46:AH46" si="26">E42*$B$46</f>
        <v>917.16000000000008</v>
      </c>
      <c r="F46" s="296">
        <f t="shared" si="26"/>
        <v>917.16000000000008</v>
      </c>
      <c r="G46" s="296">
        <f t="shared" si="26"/>
        <v>917.16000000000008</v>
      </c>
      <c r="H46" s="296">
        <f t="shared" si="26"/>
        <v>917.16000000000008</v>
      </c>
      <c r="I46" s="296">
        <f t="shared" si="26"/>
        <v>305.72000000000008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317</v>
      </c>
      <c r="B47" s="370">
        <f>B18</f>
        <v>1000</v>
      </c>
      <c r="C47" s="299"/>
      <c r="D47" s="371">
        <f t="shared" ref="D47:Y47" si="27">D43*$B$47</f>
        <v>33.333333333333336</v>
      </c>
      <c r="E47" s="371">
        <f t="shared" si="27"/>
        <v>50</v>
      </c>
      <c r="F47" s="371">
        <f t="shared" si="27"/>
        <v>50</v>
      </c>
      <c r="G47" s="371">
        <f t="shared" si="27"/>
        <v>50</v>
      </c>
      <c r="H47" s="371">
        <f t="shared" si="27"/>
        <v>50</v>
      </c>
      <c r="I47" s="371">
        <f t="shared" si="27"/>
        <v>50</v>
      </c>
      <c r="J47" s="371">
        <f t="shared" si="27"/>
        <v>50</v>
      </c>
      <c r="K47" s="371">
        <f t="shared" si="27"/>
        <v>50</v>
      </c>
      <c r="L47" s="371">
        <f t="shared" si="27"/>
        <v>50</v>
      </c>
      <c r="M47" s="371">
        <f t="shared" si="27"/>
        <v>50</v>
      </c>
      <c r="N47" s="371">
        <f t="shared" si="27"/>
        <v>50</v>
      </c>
      <c r="O47" s="371">
        <f t="shared" si="27"/>
        <v>50</v>
      </c>
      <c r="P47" s="371">
        <f t="shared" si="27"/>
        <v>50</v>
      </c>
      <c r="Q47" s="371">
        <f t="shared" si="27"/>
        <v>50</v>
      </c>
      <c r="R47" s="371">
        <f t="shared" si="27"/>
        <v>50</v>
      </c>
      <c r="S47" s="371">
        <f t="shared" si="27"/>
        <v>50</v>
      </c>
      <c r="T47" s="371">
        <f t="shared" si="27"/>
        <v>50</v>
      </c>
      <c r="U47" s="371">
        <f t="shared" si="27"/>
        <v>50</v>
      </c>
      <c r="V47" s="371">
        <f t="shared" si="27"/>
        <v>50</v>
      </c>
      <c r="W47" s="371">
        <f t="shared" si="27"/>
        <v>50</v>
      </c>
      <c r="X47" s="371">
        <f t="shared" si="27"/>
        <v>16.666666666666671</v>
      </c>
      <c r="Y47" s="371">
        <f t="shared" si="27"/>
        <v>0</v>
      </c>
      <c r="Z47" s="371">
        <f t="shared" ref="Z47:AH47" si="28">Z43*$B$47</f>
        <v>0</v>
      </c>
      <c r="AA47" s="371">
        <f t="shared" si="28"/>
        <v>0</v>
      </c>
      <c r="AB47" s="371">
        <f t="shared" si="28"/>
        <v>0</v>
      </c>
      <c r="AC47" s="371">
        <f t="shared" si="28"/>
        <v>0</v>
      </c>
      <c r="AD47" s="371">
        <f t="shared" si="28"/>
        <v>0</v>
      </c>
      <c r="AE47" s="371">
        <f t="shared" si="28"/>
        <v>0</v>
      </c>
      <c r="AF47" s="371">
        <f t="shared" si="28"/>
        <v>0</v>
      </c>
      <c r="AG47" s="371">
        <f t="shared" si="28"/>
        <v>0</v>
      </c>
      <c r="AH47" s="371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127277.44380627736</v>
      </c>
      <c r="C48" s="299"/>
      <c r="D48" s="18">
        <f t="shared" ref="D48:Y48" si="29">SUM(D45:D47)</f>
        <v>3078.6062094588801</v>
      </c>
      <c r="E48" s="18">
        <f t="shared" si="29"/>
        <v>4617.9093141883204</v>
      </c>
      <c r="F48" s="18">
        <f t="shared" si="29"/>
        <v>4617.9093141883204</v>
      </c>
      <c r="G48" s="18">
        <f t="shared" si="29"/>
        <v>4617.9093141883204</v>
      </c>
      <c r="H48" s="18">
        <f t="shared" si="29"/>
        <v>4617.9093141883204</v>
      </c>
      <c r="I48" s="18">
        <f t="shared" si="29"/>
        <v>4006.4693141883208</v>
      </c>
      <c r="J48" s="18">
        <f t="shared" si="29"/>
        <v>3700.7493141883206</v>
      </c>
      <c r="K48" s="18">
        <f t="shared" si="29"/>
        <v>3700.7493141883206</v>
      </c>
      <c r="L48" s="18">
        <f t="shared" si="29"/>
        <v>3700.7493141883206</v>
      </c>
      <c r="M48" s="18">
        <f t="shared" si="29"/>
        <v>3700.7493141883206</v>
      </c>
      <c r="N48" s="18">
        <f t="shared" si="29"/>
        <v>3700.7493141883206</v>
      </c>
      <c r="O48" s="18">
        <f t="shared" si="29"/>
        <v>3700.7493141883206</v>
      </c>
      <c r="P48" s="18">
        <f t="shared" si="29"/>
        <v>3700.7493141883206</v>
      </c>
      <c r="Q48" s="18">
        <f t="shared" si="29"/>
        <v>3700.7493141883206</v>
      </c>
      <c r="R48" s="18">
        <f t="shared" si="29"/>
        <v>3700.7493141883206</v>
      </c>
      <c r="S48" s="18">
        <f t="shared" si="29"/>
        <v>3700.7493141883206</v>
      </c>
      <c r="T48" s="18">
        <f t="shared" si="29"/>
        <v>3700.7493141883206</v>
      </c>
      <c r="U48" s="18">
        <f t="shared" si="29"/>
        <v>3700.7493141883206</v>
      </c>
      <c r="V48" s="18">
        <f t="shared" si="29"/>
        <v>3700.7493141883206</v>
      </c>
      <c r="W48" s="18">
        <f t="shared" si="29"/>
        <v>3700.7493141883206</v>
      </c>
      <c r="X48" s="18">
        <f t="shared" si="29"/>
        <v>3667.4159808549871</v>
      </c>
      <c r="Y48" s="18">
        <f t="shared" si="29"/>
        <v>3650.7493141883206</v>
      </c>
      <c r="Z48" s="18">
        <f t="shared" ref="Z48:AH48" si="30">SUM(Z45:Z47)</f>
        <v>3650.7493141883206</v>
      </c>
      <c r="AA48" s="18">
        <f t="shared" si="30"/>
        <v>3650.7493141883206</v>
      </c>
      <c r="AB48" s="18">
        <f t="shared" si="30"/>
        <v>3650.7493141883206</v>
      </c>
      <c r="AC48" s="18">
        <f t="shared" si="30"/>
        <v>3650.7493141883206</v>
      </c>
      <c r="AD48" s="18">
        <f t="shared" si="30"/>
        <v>3650.7493141883206</v>
      </c>
      <c r="AE48" s="18">
        <f t="shared" si="30"/>
        <v>3650.7493141883206</v>
      </c>
      <c r="AF48" s="18">
        <f t="shared" si="30"/>
        <v>3650.7493141883206</v>
      </c>
      <c r="AG48" s="18">
        <f t="shared" si="30"/>
        <v>3650.7493141883206</v>
      </c>
      <c r="AH48" s="18">
        <f t="shared" si="30"/>
        <v>1216.9164380627738</v>
      </c>
      <c r="AI48" s="20"/>
      <c r="AJ48" s="20"/>
      <c r="AK48" s="20"/>
      <c r="AL48" s="20"/>
    </row>
    <row r="49" spans="1:38">
      <c r="A49" s="22"/>
      <c r="B49" s="18"/>
      <c r="C49" s="37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67</v>
      </c>
      <c r="B50" s="375">
        <f>B48</f>
        <v>127277.44380627736</v>
      </c>
      <c r="C50" s="374"/>
      <c r="D50" s="300">
        <f>B48-D48</f>
        <v>124198.83759681847</v>
      </c>
      <c r="E50" s="300">
        <f>D50-E48</f>
        <v>119580.92828263015</v>
      </c>
      <c r="F50" s="300">
        <f t="shared" ref="F50:Y50" si="31">E50-F48</f>
        <v>114963.01896844183</v>
      </c>
      <c r="G50" s="300">
        <f t="shared" si="31"/>
        <v>110345.10965425351</v>
      </c>
      <c r="H50" s="300">
        <f t="shared" si="31"/>
        <v>105727.20034006519</v>
      </c>
      <c r="I50" s="300">
        <f t="shared" si="31"/>
        <v>101720.73102587687</v>
      </c>
      <c r="J50" s="300">
        <f t="shared" si="31"/>
        <v>98019.981711688553</v>
      </c>
      <c r="K50" s="300">
        <f t="shared" si="31"/>
        <v>94319.232397500236</v>
      </c>
      <c r="L50" s="300">
        <f t="shared" si="31"/>
        <v>90618.483083311919</v>
      </c>
      <c r="M50" s="300">
        <f t="shared" si="31"/>
        <v>86917.733769123603</v>
      </c>
      <c r="N50" s="300">
        <f t="shared" si="31"/>
        <v>83216.984454935286</v>
      </c>
      <c r="O50" s="300">
        <f t="shared" si="31"/>
        <v>79516.235140746969</v>
      </c>
      <c r="P50" s="300">
        <f t="shared" si="31"/>
        <v>75815.485826558652</v>
      </c>
      <c r="Q50" s="300">
        <f t="shared" si="31"/>
        <v>72114.736512370335</v>
      </c>
      <c r="R50" s="300">
        <f t="shared" si="31"/>
        <v>68413.987198182018</v>
      </c>
      <c r="S50" s="300">
        <f t="shared" si="31"/>
        <v>64713.237883993701</v>
      </c>
      <c r="T50" s="300">
        <f t="shared" si="31"/>
        <v>61012.488569805384</v>
      </c>
      <c r="U50" s="300">
        <f t="shared" si="31"/>
        <v>57311.739255617067</v>
      </c>
      <c r="V50" s="300">
        <f t="shared" si="31"/>
        <v>53610.98994142875</v>
      </c>
      <c r="W50" s="300">
        <f t="shared" si="31"/>
        <v>49910.240627240433</v>
      </c>
      <c r="X50" s="300">
        <f t="shared" si="31"/>
        <v>46242.824646385445</v>
      </c>
      <c r="Y50" s="300">
        <f t="shared" si="31"/>
        <v>42592.075332197128</v>
      </c>
      <c r="Z50" s="300">
        <f t="shared" ref="Z50:AH50" si="32">Y50-Z48</f>
        <v>38941.326018008811</v>
      </c>
      <c r="AA50" s="300">
        <f t="shared" si="32"/>
        <v>35290.576703820494</v>
      </c>
      <c r="AB50" s="300">
        <f t="shared" si="32"/>
        <v>31639.827389632173</v>
      </c>
      <c r="AC50" s="300">
        <f t="shared" si="32"/>
        <v>27989.078075443853</v>
      </c>
      <c r="AD50" s="300">
        <f t="shared" si="32"/>
        <v>24338.328761255532</v>
      </c>
      <c r="AE50" s="300">
        <f t="shared" si="32"/>
        <v>20687.579447067212</v>
      </c>
      <c r="AF50" s="300">
        <f t="shared" si="32"/>
        <v>17036.830132878891</v>
      </c>
      <c r="AG50" s="300">
        <f t="shared" si="32"/>
        <v>13386.080818690571</v>
      </c>
      <c r="AH50" s="300">
        <f t="shared" si="32"/>
        <v>12169.164380627797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3476.4646769972333</v>
      </c>
      <c r="C10" s="19">
        <f>IS!D40</f>
        <v>5771.7799492917693</v>
      </c>
      <c r="D10" s="19">
        <f>IS!E40</f>
        <v>6267.4487864404964</v>
      </c>
      <c r="E10" s="19">
        <f>IS!F40</f>
        <v>6805.4457340210038</v>
      </c>
      <c r="F10" s="19">
        <f>IS!G40</f>
        <v>7390.8492693716926</v>
      </c>
      <c r="G10" s="19">
        <f>IS!H40</f>
        <v>8634.9572095596923</v>
      </c>
      <c r="H10" s="19">
        <f>IS!I40</f>
        <v>9626.5633117399211</v>
      </c>
      <c r="I10" s="19">
        <f>IS!J40</f>
        <v>10368.734848596256</v>
      </c>
      <c r="J10" s="19">
        <f>IS!K40</f>
        <v>11175.558642746859</v>
      </c>
      <c r="K10" s="19">
        <f>IS!L40</f>
        <v>12048.141020103227</v>
      </c>
      <c r="L10" s="19">
        <f>IS!M40</f>
        <v>12963.072875373009</v>
      </c>
      <c r="M10" s="19">
        <f>IS!N40</f>
        <v>13342.825472225832</v>
      </c>
      <c r="N10" s="19">
        <f>IS!O40</f>
        <v>13293.863846112305</v>
      </c>
      <c r="O10" s="19">
        <f>IS!P40</f>
        <v>13243.532841160035</v>
      </c>
      <c r="P10" s="19">
        <f>IS!Q40</f>
        <v>13191.793365402787</v>
      </c>
      <c r="Q10" s="19">
        <f>IS!R40</f>
        <v>13138.60519390324</v>
      </c>
      <c r="R10" s="19">
        <f>IS!S40</f>
        <v>13083.926935559761</v>
      </c>
      <c r="S10" s="19">
        <f>IS!T40</f>
        <v>13027.715998933014</v>
      </c>
      <c r="T10" s="19">
        <f>IS!U40</f>
        <v>12969.928557063893</v>
      </c>
      <c r="U10" s="19">
        <f>IS!V40</f>
        <v>12910.519511252245</v>
      </c>
      <c r="V10" s="19">
        <f>IS!W40</f>
        <v>508.61304119181432</v>
      </c>
      <c r="W10" s="19">
        <f>IS!X40</f>
        <v>-6028.0359123628359</v>
      </c>
      <c r="X10" s="19">
        <f>IS!Y40</f>
        <v>-6195.3202599631586</v>
      </c>
      <c r="Y10" s="19">
        <f>IS!Z40</f>
        <v>-6429.8582172026599</v>
      </c>
      <c r="Z10" s="19">
        <f>IS!AA40</f>
        <v>-6685.1481553261283</v>
      </c>
      <c r="AA10" s="19">
        <f>IS!AB40</f>
        <v>-6962.2707278261196</v>
      </c>
      <c r="AB10" s="19">
        <f>IS!AC40</f>
        <v>-7263.4331721577018</v>
      </c>
      <c r="AC10" s="19">
        <f>IS!AD40</f>
        <v>-7590.4197074186422</v>
      </c>
      <c r="AD10" s="19">
        <f>IS!AE40</f>
        <v>-7946.0999996401388</v>
      </c>
      <c r="AE10" s="19">
        <f>IS!AF40</f>
        <v>-8332.0735616562688</v>
      </c>
      <c r="AF10" s="19">
        <f>IS!AG40</f>
        <v>-6378.9646636026418</v>
      </c>
    </row>
    <row r="11" spans="1:32">
      <c r="A11" s="21" t="s">
        <v>69</v>
      </c>
      <c r="B11" s="19">
        <f>IS!C34</f>
        <v>3078.6062094588801</v>
      </c>
      <c r="C11" s="19">
        <f>IS!D34</f>
        <v>4617.9093141883204</v>
      </c>
      <c r="D11" s="19">
        <f>IS!E34</f>
        <v>4617.9093141883204</v>
      </c>
      <c r="E11" s="19">
        <f>IS!F34</f>
        <v>4617.9093141883204</v>
      </c>
      <c r="F11" s="19">
        <f>IS!G34</f>
        <v>4617.9093141883204</v>
      </c>
      <c r="G11" s="19">
        <f>IS!H34</f>
        <v>4006.4693141883208</v>
      </c>
      <c r="H11" s="19">
        <f>IS!I34</f>
        <v>3700.7493141883206</v>
      </c>
      <c r="I11" s="19">
        <f>IS!J34</f>
        <v>3700.7493141883206</v>
      </c>
      <c r="J11" s="19">
        <f>IS!K34</f>
        <v>3700.7493141883206</v>
      </c>
      <c r="K11" s="19">
        <f>IS!L34</f>
        <v>3700.7493141883206</v>
      </c>
      <c r="L11" s="19">
        <f>IS!M34</f>
        <v>3700.7493141883206</v>
      </c>
      <c r="M11" s="19">
        <f>IS!N34</f>
        <v>3700.7493141883206</v>
      </c>
      <c r="N11" s="19">
        <f>IS!O34</f>
        <v>3700.7493141883206</v>
      </c>
      <c r="O11" s="19">
        <f>IS!P34</f>
        <v>3700.7493141883206</v>
      </c>
      <c r="P11" s="19">
        <f>IS!Q34</f>
        <v>3700.7493141883206</v>
      </c>
      <c r="Q11" s="19">
        <f>IS!R34</f>
        <v>3700.7493141883206</v>
      </c>
      <c r="R11" s="19">
        <f>IS!S34</f>
        <v>3700.7493141883206</v>
      </c>
      <c r="S11" s="19">
        <f>IS!T34</f>
        <v>3700.7493141883206</v>
      </c>
      <c r="T11" s="19">
        <f>IS!U34</f>
        <v>3700.7493141883206</v>
      </c>
      <c r="U11" s="19">
        <f>IS!V34</f>
        <v>3700.7493141883206</v>
      </c>
      <c r="V11" s="19">
        <f>IS!W34</f>
        <v>3667.4159808549871</v>
      </c>
      <c r="W11" s="19">
        <f>IS!X34</f>
        <v>3650.7493141883206</v>
      </c>
      <c r="X11" s="19">
        <f>IS!Y34</f>
        <v>3650.7493141883206</v>
      </c>
      <c r="Y11" s="19">
        <f>IS!Z34</f>
        <v>3650.7493141883206</v>
      </c>
      <c r="Z11" s="19">
        <f>IS!AA34</f>
        <v>3650.7493141883206</v>
      </c>
      <c r="AA11" s="19">
        <f>IS!AB34</f>
        <v>3650.7493141883206</v>
      </c>
      <c r="AB11" s="19">
        <f>IS!AC34</f>
        <v>3650.7493141883206</v>
      </c>
      <c r="AC11" s="19">
        <f>IS!AD34</f>
        <v>3650.7493141883206</v>
      </c>
      <c r="AD11" s="19">
        <f>IS!AE34</f>
        <v>3650.7493141883206</v>
      </c>
      <c r="AE11" s="19">
        <f>IS!AF34</f>
        <v>3650.7493141883206</v>
      </c>
      <c r="AF11" s="19">
        <f>IS!AG34</f>
        <v>1216.9164380627738</v>
      </c>
    </row>
    <row r="12" spans="1:32" ht="15">
      <c r="A12" s="21" t="s">
        <v>70</v>
      </c>
      <c r="B12" s="129">
        <f>-Depreciation!D34</f>
        <v>-6729.3555236472012</v>
      </c>
      <c r="C12" s="129">
        <f>-Depreciation!E34</f>
        <v>-12527.866161596348</v>
      </c>
      <c r="D12" s="129">
        <f>-Depreciation!F34</f>
        <v>-11371.795545436715</v>
      </c>
      <c r="E12" s="129">
        <f>-Depreciation!G34</f>
        <v>-10337.416573083356</v>
      </c>
      <c r="F12" s="129">
        <f>-Depreciation!H34</f>
        <v>-9400.3909157750204</v>
      </c>
      <c r="G12" s="129">
        <f>-Depreciation!I34</f>
        <v>-7937.1094091310797</v>
      </c>
      <c r="H12" s="129">
        <f>-Depreciation!J34</f>
        <v>-7229.8069845703631</v>
      </c>
      <c r="I12" s="129">
        <f>-Depreciation!K34</f>
        <v>-7241.976148950991</v>
      </c>
      <c r="J12" s="129">
        <f>-Depreciation!L34</f>
        <v>-7229.8069845703631</v>
      </c>
      <c r="K12" s="129">
        <f>-Depreciation!M34</f>
        <v>-7241.976148950991</v>
      </c>
      <c r="L12" s="129">
        <f>-Depreciation!N34</f>
        <v>-7229.8069845703631</v>
      </c>
      <c r="M12" s="129">
        <f>-Depreciation!O34</f>
        <v>-7241.976148950991</v>
      </c>
      <c r="N12" s="129">
        <f>-Depreciation!P34</f>
        <v>-7229.8069845703631</v>
      </c>
      <c r="O12" s="129">
        <f>-Depreciation!Q34</f>
        <v>-7241.976148950991</v>
      </c>
      <c r="P12" s="129">
        <f>-Depreciation!R34</f>
        <v>-7229.8069845703631</v>
      </c>
      <c r="Q12" s="129">
        <f>-Depreciation!S34</f>
        <v>-3639.9034922851815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-174.28463719108822</v>
      </c>
      <c r="C13" s="23">
        <f t="shared" ref="C13:W13" si="0">SUM(C10:C12)</f>
        <v>-2138.1768981162586</v>
      </c>
      <c r="D13" s="23">
        <f t="shared" si="0"/>
        <v>-486.43744480789792</v>
      </c>
      <c r="E13" s="23">
        <f t="shared" si="0"/>
        <v>1085.9384751259677</v>
      </c>
      <c r="F13" s="23">
        <f t="shared" si="0"/>
        <v>2608.3676677849926</v>
      </c>
      <c r="G13" s="23">
        <f t="shared" si="0"/>
        <v>4704.3171146169343</v>
      </c>
      <c r="H13" s="23">
        <f t="shared" si="0"/>
        <v>6097.5056413578786</v>
      </c>
      <c r="I13" s="23">
        <f t="shared" si="0"/>
        <v>6827.5080138335852</v>
      </c>
      <c r="J13" s="23">
        <f t="shared" si="0"/>
        <v>7646.5009723648163</v>
      </c>
      <c r="K13" s="23">
        <f t="shared" si="0"/>
        <v>8506.9141853405563</v>
      </c>
      <c r="L13" s="23">
        <f t="shared" si="0"/>
        <v>9434.0152049909684</v>
      </c>
      <c r="M13" s="23">
        <f t="shared" si="0"/>
        <v>9801.5986374631611</v>
      </c>
      <c r="N13" s="23">
        <f t="shared" si="0"/>
        <v>9764.8061757302621</v>
      </c>
      <c r="O13" s="23">
        <f t="shared" si="0"/>
        <v>9702.3060063973644</v>
      </c>
      <c r="P13" s="23">
        <f t="shared" si="0"/>
        <v>9662.735695020745</v>
      </c>
      <c r="Q13" s="23">
        <f t="shared" si="0"/>
        <v>13199.451015806379</v>
      </c>
      <c r="R13" s="23">
        <f t="shared" si="0"/>
        <v>16734.676249748081</v>
      </c>
      <c r="S13" s="23">
        <f t="shared" si="0"/>
        <v>16678.465313121334</v>
      </c>
      <c r="T13" s="23">
        <f t="shared" si="0"/>
        <v>16620.677871252214</v>
      </c>
      <c r="U13" s="23">
        <f t="shared" si="0"/>
        <v>16561.268825440566</v>
      </c>
      <c r="V13" s="23">
        <f t="shared" si="0"/>
        <v>4159.3623553801344</v>
      </c>
      <c r="W13" s="23">
        <f t="shared" si="0"/>
        <v>-2377.2865981745153</v>
      </c>
      <c r="X13" s="23">
        <f t="shared" ref="X13:AF13" si="1">SUM(X10:X12)</f>
        <v>-2544.570945774838</v>
      </c>
      <c r="Y13" s="23">
        <f t="shared" si="1"/>
        <v>-2779.1089030143394</v>
      </c>
      <c r="Z13" s="23">
        <f t="shared" si="1"/>
        <v>-3034.3988411378077</v>
      </c>
      <c r="AA13" s="23">
        <f t="shared" si="1"/>
        <v>-3311.521413637799</v>
      </c>
      <c r="AB13" s="23">
        <f t="shared" si="1"/>
        <v>-3612.6838579693813</v>
      </c>
      <c r="AC13" s="23">
        <f t="shared" si="1"/>
        <v>-3939.6703932303217</v>
      </c>
      <c r="AD13" s="23">
        <f t="shared" si="1"/>
        <v>-4295.3506854518182</v>
      </c>
      <c r="AE13" s="23">
        <f t="shared" si="1"/>
        <v>-4681.3242474679482</v>
      </c>
      <c r="AF13" s="23">
        <f t="shared" si="1"/>
        <v>-5162.0482255398683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-12.199924603376177</v>
      </c>
      <c r="C16" s="19">
        <f t="shared" si="2"/>
        <v>-149.67238286813813</v>
      </c>
      <c r="D16" s="19">
        <f t="shared" si="2"/>
        <v>-34.050621136552856</v>
      </c>
      <c r="E16" s="19">
        <f t="shared" si="2"/>
        <v>76.015693258817748</v>
      </c>
      <c r="F16" s="19">
        <f t="shared" si="2"/>
        <v>182.58573674494949</v>
      </c>
      <c r="G16" s="19">
        <f t="shared" si="2"/>
        <v>329.30219802318544</v>
      </c>
      <c r="H16" s="19">
        <f t="shared" si="2"/>
        <v>426.82539489505155</v>
      </c>
      <c r="I16" s="19">
        <f t="shared" si="2"/>
        <v>477.92556096835102</v>
      </c>
      <c r="J16" s="19">
        <f t="shared" si="2"/>
        <v>535.25506806553722</v>
      </c>
      <c r="K16" s="19">
        <f t="shared" si="2"/>
        <v>595.48399297383901</v>
      </c>
      <c r="L16" s="19">
        <f t="shared" si="2"/>
        <v>660.38106434936788</v>
      </c>
      <c r="M16" s="19">
        <f t="shared" si="2"/>
        <v>686.11190462242132</v>
      </c>
      <c r="N16" s="19">
        <f t="shared" si="2"/>
        <v>683.53643230111845</v>
      </c>
      <c r="O16" s="19">
        <f t="shared" si="2"/>
        <v>679.16142044781554</v>
      </c>
      <c r="P16" s="19">
        <f t="shared" si="2"/>
        <v>676.39149865145225</v>
      </c>
      <c r="Q16" s="19">
        <f t="shared" si="2"/>
        <v>923.96157110644663</v>
      </c>
      <c r="R16" s="19">
        <f t="shared" si="2"/>
        <v>1171.4273374823658</v>
      </c>
      <c r="S16" s="19">
        <f t="shared" si="2"/>
        <v>1167.4925719184935</v>
      </c>
      <c r="T16" s="19">
        <f t="shared" si="2"/>
        <v>1163.447450987655</v>
      </c>
      <c r="U16" s="19">
        <f t="shared" si="2"/>
        <v>1159.2888177808397</v>
      </c>
      <c r="V16" s="19">
        <f t="shared" si="2"/>
        <v>291.15536487660944</v>
      </c>
      <c r="W16" s="19">
        <f t="shared" si="2"/>
        <v>-166.41006187221609</v>
      </c>
      <c r="X16" s="19">
        <f t="shared" si="2"/>
        <v>-178.11996620423869</v>
      </c>
      <c r="Y16" s="19">
        <f t="shared" si="2"/>
        <v>-194.53762321100376</v>
      </c>
      <c r="Z16" s="19">
        <f t="shared" si="2"/>
        <v>-212.40791887964656</v>
      </c>
      <c r="AA16" s="19">
        <f t="shared" si="2"/>
        <v>-231.80649895464595</v>
      </c>
      <c r="AB16" s="19">
        <f t="shared" si="2"/>
        <v>-252.8878700578567</v>
      </c>
      <c r="AC16" s="19">
        <f t="shared" si="2"/>
        <v>-275.77692752612256</v>
      </c>
      <c r="AD16" s="19">
        <f t="shared" si="2"/>
        <v>-300.67454798162731</v>
      </c>
      <c r="AE16" s="19">
        <f t="shared" si="2"/>
        <v>-327.69269732275643</v>
      </c>
      <c r="AF16" s="19">
        <f t="shared" si="2"/>
        <v>-361.34337578779082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12.199924603376177</v>
      </c>
      <c r="D18" s="19">
        <f t="shared" ref="D18:W18" si="3">C22</f>
        <v>161.87230747151432</v>
      </c>
      <c r="E18" s="19">
        <f t="shared" si="3"/>
        <v>195.92292860806717</v>
      </c>
      <c r="F18" s="19">
        <f t="shared" si="3"/>
        <v>119.90723534924942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166.41006187221609</v>
      </c>
      <c r="Y18" s="19">
        <f t="shared" si="4"/>
        <v>344.53002807645476</v>
      </c>
      <c r="Z18" s="19">
        <f t="shared" si="4"/>
        <v>539.06765128745849</v>
      </c>
      <c r="AA18" s="19">
        <f t="shared" si="4"/>
        <v>751.47557016710505</v>
      </c>
      <c r="AB18" s="19">
        <f t="shared" si="4"/>
        <v>983.28206912175096</v>
      </c>
      <c r="AC18" s="19">
        <f t="shared" si="4"/>
        <v>1236.1699391796076</v>
      </c>
      <c r="AD18" s="19">
        <f t="shared" si="4"/>
        <v>1511.9468667057301</v>
      </c>
      <c r="AE18" s="19">
        <f t="shared" si="4"/>
        <v>1812.6214146873574</v>
      </c>
      <c r="AF18" s="19">
        <f t="shared" si="4"/>
        <v>1973.9040501378975</v>
      </c>
    </row>
    <row r="19" spans="1:32">
      <c r="A19" s="21" t="s">
        <v>74</v>
      </c>
      <c r="B19" s="138">
        <f>IF(B16&lt;0,-B16,0)</f>
        <v>12.199924603376177</v>
      </c>
      <c r="C19" s="138">
        <f t="shared" ref="C19:W19" si="5">IF(C16&lt;0,-C16,0)</f>
        <v>149.67238286813813</v>
      </c>
      <c r="D19" s="138">
        <f t="shared" si="5"/>
        <v>34.050621136552856</v>
      </c>
      <c r="E19" s="138">
        <f t="shared" si="5"/>
        <v>0</v>
      </c>
      <c r="F19" s="138">
        <f t="shared" si="5"/>
        <v>0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166.41006187221609</v>
      </c>
      <c r="X19" s="138">
        <f t="shared" ref="X19:AF19" si="6">IF(X16&lt;0,-X16,0)</f>
        <v>178.11996620423869</v>
      </c>
      <c r="Y19" s="138">
        <f t="shared" si="6"/>
        <v>194.53762321100376</v>
      </c>
      <c r="Z19" s="138">
        <f t="shared" si="6"/>
        <v>212.40791887964656</v>
      </c>
      <c r="AA19" s="138">
        <f t="shared" si="6"/>
        <v>231.80649895464595</v>
      </c>
      <c r="AB19" s="138">
        <f t="shared" si="6"/>
        <v>252.8878700578567</v>
      </c>
      <c r="AC19" s="138">
        <f t="shared" si="6"/>
        <v>275.77692752612256</v>
      </c>
      <c r="AD19" s="138">
        <f t="shared" si="6"/>
        <v>300.67454798162731</v>
      </c>
      <c r="AE19" s="138">
        <f t="shared" si="6"/>
        <v>327.69269732275643</v>
      </c>
      <c r="AF19" s="138">
        <f t="shared" si="6"/>
        <v>361.34337578779082</v>
      </c>
    </row>
    <row r="20" spans="1:32">
      <c r="A20" s="13" t="s">
        <v>289</v>
      </c>
      <c r="B20" s="460">
        <v>0</v>
      </c>
      <c r="C20" s="461">
        <v>0</v>
      </c>
      <c r="D20" s="461">
        <v>0</v>
      </c>
      <c r="E20" s="461">
        <v>0</v>
      </c>
      <c r="F20" s="461">
        <v>0</v>
      </c>
      <c r="G20" s="461">
        <v>0</v>
      </c>
      <c r="H20" s="461">
        <v>0</v>
      </c>
      <c r="I20" s="462">
        <v>0</v>
      </c>
      <c r="J20" s="463">
        <f>IF(-SUM(B21:I21, B20:I20)&gt;B19,0,-B19-SUM(B21:I21,B20:I20))</f>
        <v>0</v>
      </c>
      <c r="K20" s="463">
        <f t="shared" ref="K20:AF20" si="7">IF(-SUM(C21:J21, C20:J20)&gt;C19,0,-C19-SUM(C21:J21,C20:J20))</f>
        <v>0</v>
      </c>
      <c r="L20" s="463">
        <f t="shared" si="7"/>
        <v>0</v>
      </c>
      <c r="M20" s="463">
        <f t="shared" si="7"/>
        <v>0</v>
      </c>
      <c r="N20" s="463">
        <f t="shared" si="7"/>
        <v>0</v>
      </c>
      <c r="O20" s="463">
        <f t="shared" si="7"/>
        <v>0</v>
      </c>
      <c r="P20" s="463">
        <f t="shared" si="7"/>
        <v>0</v>
      </c>
      <c r="Q20" s="463">
        <f t="shared" si="7"/>
        <v>0</v>
      </c>
      <c r="R20" s="463">
        <f t="shared" si="7"/>
        <v>0</v>
      </c>
      <c r="S20" s="463">
        <f t="shared" si="7"/>
        <v>0</v>
      </c>
      <c r="T20" s="463">
        <f t="shared" si="7"/>
        <v>0</v>
      </c>
      <c r="U20" s="463">
        <f t="shared" si="7"/>
        <v>0</v>
      </c>
      <c r="V20" s="463">
        <f t="shared" si="7"/>
        <v>0</v>
      </c>
      <c r="W20" s="463">
        <f t="shared" si="7"/>
        <v>0</v>
      </c>
      <c r="X20" s="463">
        <f t="shared" si="7"/>
        <v>0</v>
      </c>
      <c r="Y20" s="463">
        <f t="shared" si="7"/>
        <v>0</v>
      </c>
      <c r="Z20" s="463">
        <f t="shared" si="7"/>
        <v>0</v>
      </c>
      <c r="AA20" s="463">
        <f t="shared" si="7"/>
        <v>0</v>
      </c>
      <c r="AB20" s="463">
        <f t="shared" si="7"/>
        <v>0</v>
      </c>
      <c r="AC20" s="463">
        <f t="shared" si="7"/>
        <v>0</v>
      </c>
      <c r="AD20" s="463">
        <f t="shared" si="7"/>
        <v>0</v>
      </c>
      <c r="AE20" s="463">
        <f t="shared" si="7"/>
        <v>-166.41006187221609</v>
      </c>
      <c r="AF20" s="463">
        <f t="shared" si="7"/>
        <v>-11.709904332022603</v>
      </c>
    </row>
    <row r="21" spans="1:32">
      <c r="A21" s="13" t="s">
        <v>288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-76.015693258817748</v>
      </c>
      <c r="F21" s="131">
        <f t="shared" si="8"/>
        <v>-119.90723534924942</v>
      </c>
      <c r="G21" s="131">
        <f t="shared" si="8"/>
        <v>0</v>
      </c>
      <c r="H21" s="131">
        <f t="shared" si="8"/>
        <v>0</v>
      </c>
      <c r="I21" s="131">
        <f t="shared" si="8"/>
        <v>0</v>
      </c>
      <c r="J21" s="131">
        <f t="shared" si="8"/>
        <v>0</v>
      </c>
      <c r="K21" s="131">
        <f t="shared" si="8"/>
        <v>0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12.199924603376177</v>
      </c>
      <c r="C22" s="131">
        <f t="shared" si="10"/>
        <v>161.87230747151432</v>
      </c>
      <c r="D22" s="131">
        <f t="shared" si="10"/>
        <v>195.92292860806717</v>
      </c>
      <c r="E22" s="131">
        <f t="shared" si="10"/>
        <v>119.90723534924942</v>
      </c>
      <c r="F22" s="131">
        <f t="shared" si="10"/>
        <v>0</v>
      </c>
      <c r="G22" s="131">
        <f t="shared" si="10"/>
        <v>0</v>
      </c>
      <c r="H22" s="131">
        <f t="shared" si="10"/>
        <v>0</v>
      </c>
      <c r="I22" s="131">
        <f t="shared" si="10"/>
        <v>0</v>
      </c>
      <c r="J22" s="131">
        <f t="shared" si="10"/>
        <v>0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166.41006187221609</v>
      </c>
      <c r="X22" s="131">
        <f t="shared" si="10"/>
        <v>344.53002807645476</v>
      </c>
      <c r="Y22" s="131">
        <f t="shared" si="10"/>
        <v>539.06765128745849</v>
      </c>
      <c r="Z22" s="131">
        <f t="shared" si="10"/>
        <v>751.47557016710505</v>
      </c>
      <c r="AA22" s="131">
        <f t="shared" si="10"/>
        <v>983.28206912175096</v>
      </c>
      <c r="AB22" s="131">
        <f t="shared" si="10"/>
        <v>1236.1699391796076</v>
      </c>
      <c r="AC22" s="131">
        <f t="shared" si="10"/>
        <v>1511.9468667057301</v>
      </c>
      <c r="AD22" s="131">
        <f t="shared" si="10"/>
        <v>1812.6214146873574</v>
      </c>
      <c r="AE22" s="131">
        <f t="shared" si="10"/>
        <v>1973.9040501378975</v>
      </c>
      <c r="AF22" s="131">
        <f t="shared" si="10"/>
        <v>2323.5375215936656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62.678501395700067</v>
      </c>
      <c r="G24" s="135">
        <f t="shared" si="11"/>
        <v>329.30219802318544</v>
      </c>
      <c r="H24" s="135">
        <f t="shared" si="11"/>
        <v>426.82539489505155</v>
      </c>
      <c r="I24" s="135">
        <f t="shared" si="11"/>
        <v>477.92556096835102</v>
      </c>
      <c r="J24" s="135">
        <f t="shared" si="11"/>
        <v>535.25506806553722</v>
      </c>
      <c r="K24" s="135">
        <f t="shared" si="11"/>
        <v>595.48399297383901</v>
      </c>
      <c r="L24" s="135">
        <f t="shared" si="11"/>
        <v>660.38106434936788</v>
      </c>
      <c r="M24" s="135">
        <f t="shared" si="11"/>
        <v>686.11190462242132</v>
      </c>
      <c r="N24" s="135">
        <f t="shared" si="11"/>
        <v>683.53643230111845</v>
      </c>
      <c r="O24" s="135">
        <f t="shared" si="11"/>
        <v>679.16142044781554</v>
      </c>
      <c r="P24" s="135">
        <f t="shared" si="11"/>
        <v>676.39149865145225</v>
      </c>
      <c r="Q24" s="135">
        <f t="shared" si="11"/>
        <v>923.96157110644663</v>
      </c>
      <c r="R24" s="135">
        <f t="shared" si="11"/>
        <v>1171.4273374823658</v>
      </c>
      <c r="S24" s="135">
        <f t="shared" si="11"/>
        <v>1167.4925719184935</v>
      </c>
      <c r="T24" s="135">
        <f t="shared" si="11"/>
        <v>1163.447450987655</v>
      </c>
      <c r="U24" s="135">
        <f t="shared" si="11"/>
        <v>1159.2888177808397</v>
      </c>
      <c r="V24" s="135">
        <f t="shared" si="11"/>
        <v>291.15536487660944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-174.28463719108822</v>
      </c>
      <c r="C28" s="19">
        <f t="shared" ref="C28:AF28" si="12">C13</f>
        <v>-2138.1768981162586</v>
      </c>
      <c r="D28" s="19">
        <f t="shared" si="12"/>
        <v>-486.43744480789792</v>
      </c>
      <c r="E28" s="19">
        <f t="shared" si="12"/>
        <v>1085.9384751259677</v>
      </c>
      <c r="F28" s="19">
        <f t="shared" si="12"/>
        <v>2608.3676677849926</v>
      </c>
      <c r="G28" s="19">
        <f t="shared" si="12"/>
        <v>4704.3171146169343</v>
      </c>
      <c r="H28" s="19">
        <f t="shared" si="12"/>
        <v>6097.5056413578786</v>
      </c>
      <c r="I28" s="19">
        <f t="shared" si="12"/>
        <v>6827.5080138335852</v>
      </c>
      <c r="J28" s="19">
        <f t="shared" si="12"/>
        <v>7646.5009723648163</v>
      </c>
      <c r="K28" s="19">
        <f t="shared" si="12"/>
        <v>8506.9141853405563</v>
      </c>
      <c r="L28" s="19">
        <f t="shared" si="12"/>
        <v>9434.0152049909684</v>
      </c>
      <c r="M28" s="19">
        <f t="shared" si="12"/>
        <v>9801.5986374631611</v>
      </c>
      <c r="N28" s="19">
        <f t="shared" si="12"/>
        <v>9764.8061757302621</v>
      </c>
      <c r="O28" s="19">
        <f t="shared" si="12"/>
        <v>9702.3060063973644</v>
      </c>
      <c r="P28" s="19">
        <f t="shared" si="12"/>
        <v>9662.735695020745</v>
      </c>
      <c r="Q28" s="19">
        <f t="shared" si="12"/>
        <v>13199.451015806379</v>
      </c>
      <c r="R28" s="19">
        <f t="shared" si="12"/>
        <v>16734.676249748081</v>
      </c>
      <c r="S28" s="19">
        <f t="shared" si="12"/>
        <v>16678.465313121334</v>
      </c>
      <c r="T28" s="19">
        <f t="shared" si="12"/>
        <v>16620.677871252214</v>
      </c>
      <c r="U28" s="19">
        <f t="shared" si="12"/>
        <v>16561.268825440566</v>
      </c>
      <c r="V28" s="19">
        <f t="shared" si="12"/>
        <v>4159.3623553801344</v>
      </c>
      <c r="W28" s="19">
        <f t="shared" si="12"/>
        <v>-2377.2865981745153</v>
      </c>
      <c r="X28" s="19">
        <f t="shared" si="12"/>
        <v>-2544.570945774838</v>
      </c>
      <c r="Y28" s="19">
        <f t="shared" si="12"/>
        <v>-2779.1089030143394</v>
      </c>
      <c r="Z28" s="19">
        <f t="shared" si="12"/>
        <v>-3034.3988411378077</v>
      </c>
      <c r="AA28" s="19">
        <f t="shared" si="12"/>
        <v>-3311.521413637799</v>
      </c>
      <c r="AB28" s="19">
        <f t="shared" si="12"/>
        <v>-3612.6838579693813</v>
      </c>
      <c r="AC28" s="19">
        <f t="shared" si="12"/>
        <v>-3939.6703932303217</v>
      </c>
      <c r="AD28" s="19">
        <f t="shared" si="12"/>
        <v>-4295.3506854518182</v>
      </c>
      <c r="AE28" s="19">
        <f t="shared" si="12"/>
        <v>-4681.3242474679482</v>
      </c>
      <c r="AF28" s="19">
        <f t="shared" si="12"/>
        <v>-5162.0482255398683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-62.678501395700067</v>
      </c>
      <c r="G29" s="133">
        <f t="shared" si="13"/>
        <v>-329.30219802318544</v>
      </c>
      <c r="H29" s="133">
        <f t="shared" si="13"/>
        <v>-426.82539489505155</v>
      </c>
      <c r="I29" s="133">
        <f t="shared" si="13"/>
        <v>-477.92556096835102</v>
      </c>
      <c r="J29" s="133">
        <f t="shared" si="13"/>
        <v>-535.25506806553722</v>
      </c>
      <c r="K29" s="133">
        <f t="shared" si="13"/>
        <v>-595.48399297383901</v>
      </c>
      <c r="L29" s="133">
        <f t="shared" si="13"/>
        <v>-660.38106434936788</v>
      </c>
      <c r="M29" s="133">
        <f t="shared" si="13"/>
        <v>-686.11190462242132</v>
      </c>
      <c r="N29" s="133">
        <f t="shared" si="13"/>
        <v>-683.53643230111845</v>
      </c>
      <c r="O29" s="133">
        <f t="shared" si="13"/>
        <v>-679.16142044781554</v>
      </c>
      <c r="P29" s="133">
        <f t="shared" si="13"/>
        <v>-676.39149865145225</v>
      </c>
      <c r="Q29" s="133">
        <f t="shared" si="13"/>
        <v>-923.96157110644663</v>
      </c>
      <c r="R29" s="133">
        <f t="shared" si="13"/>
        <v>-1171.4273374823658</v>
      </c>
      <c r="S29" s="133">
        <f t="shared" si="13"/>
        <v>-1167.4925719184935</v>
      </c>
      <c r="T29" s="133">
        <f t="shared" si="13"/>
        <v>-1163.447450987655</v>
      </c>
      <c r="U29" s="133">
        <f t="shared" si="13"/>
        <v>-1159.2888177808397</v>
      </c>
      <c r="V29" s="133">
        <f t="shared" si="13"/>
        <v>-291.15536487660944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-174.28463719108822</v>
      </c>
      <c r="C30" s="44">
        <f t="shared" si="14"/>
        <v>-2138.1768981162586</v>
      </c>
      <c r="D30" s="44">
        <f t="shared" si="14"/>
        <v>-486.43744480789792</v>
      </c>
      <c r="E30" s="44">
        <f t="shared" si="14"/>
        <v>1085.9384751259677</v>
      </c>
      <c r="F30" s="44">
        <f t="shared" si="14"/>
        <v>2545.6891663892925</v>
      </c>
      <c r="G30" s="44">
        <f t="shared" si="14"/>
        <v>4375.0149165937491</v>
      </c>
      <c r="H30" s="44">
        <f t="shared" si="14"/>
        <v>5670.6802464628272</v>
      </c>
      <c r="I30" s="44">
        <f t="shared" si="14"/>
        <v>6349.5824528652338</v>
      </c>
      <c r="J30" s="44">
        <f t="shared" si="14"/>
        <v>7111.2459042992796</v>
      </c>
      <c r="K30" s="44">
        <f t="shared" si="14"/>
        <v>7911.4301923667172</v>
      </c>
      <c r="L30" s="44">
        <f t="shared" si="14"/>
        <v>8773.6341406416013</v>
      </c>
      <c r="M30" s="44">
        <f t="shared" si="14"/>
        <v>9115.4867328407399</v>
      </c>
      <c r="N30" s="44">
        <f t="shared" si="14"/>
        <v>9081.269743429144</v>
      </c>
      <c r="O30" s="44">
        <f t="shared" si="14"/>
        <v>9023.1445859495489</v>
      </c>
      <c r="P30" s="44">
        <f t="shared" si="14"/>
        <v>8986.3441963692931</v>
      </c>
      <c r="Q30" s="44">
        <f t="shared" si="14"/>
        <v>12275.489444699931</v>
      </c>
      <c r="R30" s="44">
        <f t="shared" si="14"/>
        <v>15563.248912265715</v>
      </c>
      <c r="S30" s="44">
        <f t="shared" si="14"/>
        <v>15510.972741202841</v>
      </c>
      <c r="T30" s="44">
        <f t="shared" si="14"/>
        <v>15457.230420264559</v>
      </c>
      <c r="U30" s="44">
        <f t="shared" si="14"/>
        <v>15401.980007659726</v>
      </c>
      <c r="V30" s="44">
        <f t="shared" si="14"/>
        <v>3868.206990503525</v>
      </c>
      <c r="W30" s="44">
        <f t="shared" si="14"/>
        <v>-2377.2865981745153</v>
      </c>
      <c r="X30" s="44">
        <f t="shared" si="14"/>
        <v>-2544.570945774838</v>
      </c>
      <c r="Y30" s="44">
        <f t="shared" si="14"/>
        <v>-2779.1089030143394</v>
      </c>
      <c r="Z30" s="44">
        <f t="shared" si="14"/>
        <v>-3034.3988411378077</v>
      </c>
      <c r="AA30" s="44">
        <f t="shared" si="14"/>
        <v>-3311.521413637799</v>
      </c>
      <c r="AB30" s="44">
        <f t="shared" si="14"/>
        <v>-3612.6838579693813</v>
      </c>
      <c r="AC30" s="44">
        <f t="shared" si="14"/>
        <v>-3939.6703932303217</v>
      </c>
      <c r="AD30" s="44">
        <f t="shared" si="14"/>
        <v>-4295.3506854518182</v>
      </c>
      <c r="AE30" s="44">
        <f t="shared" si="14"/>
        <v>-4681.3242474679482</v>
      </c>
      <c r="AF30" s="44">
        <f t="shared" si="14"/>
        <v>-5162.0482255398683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-60.999623016880875</v>
      </c>
      <c r="C33" s="19">
        <f t="shared" ref="C33:W33" si="15">C30*C32</f>
        <v>-748.36191434069042</v>
      </c>
      <c r="D33" s="19">
        <f t="shared" si="15"/>
        <v>-170.25310568276427</v>
      </c>
      <c r="E33" s="19">
        <f t="shared" si="15"/>
        <v>380.07846629408868</v>
      </c>
      <c r="F33" s="19">
        <f t="shared" si="15"/>
        <v>890.99120823625231</v>
      </c>
      <c r="G33" s="19">
        <f t="shared" si="15"/>
        <v>1531.2552208078121</v>
      </c>
      <c r="H33" s="19">
        <f t="shared" si="15"/>
        <v>1984.7380862619893</v>
      </c>
      <c r="I33" s="19">
        <f t="shared" si="15"/>
        <v>2222.3538585028318</v>
      </c>
      <c r="J33" s="19">
        <f t="shared" si="15"/>
        <v>2488.9360665047475</v>
      </c>
      <c r="K33" s="19">
        <f t="shared" si="15"/>
        <v>2769.0005673283508</v>
      </c>
      <c r="L33" s="19">
        <f t="shared" si="15"/>
        <v>3070.7719492245601</v>
      </c>
      <c r="M33" s="19">
        <f t="shared" si="15"/>
        <v>3190.4203564942586</v>
      </c>
      <c r="N33" s="19">
        <f t="shared" si="15"/>
        <v>3178.4444102002003</v>
      </c>
      <c r="O33" s="19">
        <f t="shared" si="15"/>
        <v>3158.1006050823421</v>
      </c>
      <c r="P33" s="19">
        <f t="shared" si="15"/>
        <v>3145.2204687292524</v>
      </c>
      <c r="Q33" s="19">
        <f t="shared" si="15"/>
        <v>4296.4213056449762</v>
      </c>
      <c r="R33" s="19">
        <f t="shared" si="15"/>
        <v>5447.1371192930001</v>
      </c>
      <c r="S33" s="19">
        <f t="shared" si="15"/>
        <v>5428.8404594209942</v>
      </c>
      <c r="T33" s="19">
        <f t="shared" si="15"/>
        <v>5410.0306470925952</v>
      </c>
      <c r="U33" s="19">
        <f t="shared" si="15"/>
        <v>5390.6930026809041</v>
      </c>
      <c r="V33" s="19">
        <f t="shared" si="15"/>
        <v>1353.8724466762337</v>
      </c>
      <c r="W33" s="19">
        <f t="shared" si="15"/>
        <v>-832.05030936108028</v>
      </c>
      <c r="X33" s="19">
        <f t="shared" ref="X33:AF33" si="16">X30*X32</f>
        <v>-890.59983102119327</v>
      </c>
      <c r="Y33" s="19">
        <f t="shared" si="16"/>
        <v>-972.68811605501867</v>
      </c>
      <c r="Z33" s="19">
        <f t="shared" si="16"/>
        <v>-1062.0395943982326</v>
      </c>
      <c r="AA33" s="19">
        <f t="shared" si="16"/>
        <v>-1159.0324947732295</v>
      </c>
      <c r="AB33" s="19">
        <f t="shared" si="16"/>
        <v>-1264.4393502892833</v>
      </c>
      <c r="AC33" s="19">
        <f t="shared" si="16"/>
        <v>-1378.8846376306126</v>
      </c>
      <c r="AD33" s="19">
        <f t="shared" si="16"/>
        <v>-1503.3727399081363</v>
      </c>
      <c r="AE33" s="19">
        <f t="shared" si="16"/>
        <v>-1638.4634866137817</v>
      </c>
      <c r="AF33" s="19">
        <f t="shared" si="16"/>
        <v>-1806.7168789389539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60.999623016880875</v>
      </c>
      <c r="D35" s="19">
        <f t="shared" si="17"/>
        <v>809.36153735757125</v>
      </c>
      <c r="E35" s="19">
        <f t="shared" si="17"/>
        <v>979.61464304033552</v>
      </c>
      <c r="F35" s="19">
        <f t="shared" si="17"/>
        <v>599.53617674624684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832.05030936108028</v>
      </c>
      <c r="Y35" s="19">
        <f t="shared" si="18"/>
        <v>1722.6501403822735</v>
      </c>
      <c r="Z35" s="19">
        <f t="shared" si="18"/>
        <v>2695.3382564372923</v>
      </c>
      <c r="AA35" s="19">
        <f t="shared" si="18"/>
        <v>3757.3778508355249</v>
      </c>
      <c r="AB35" s="19">
        <f t="shared" si="18"/>
        <v>4916.4103456087541</v>
      </c>
      <c r="AC35" s="19">
        <f t="shared" si="18"/>
        <v>6180.8496958980377</v>
      </c>
      <c r="AD35" s="19">
        <f t="shared" si="18"/>
        <v>7559.7343335286505</v>
      </c>
      <c r="AE35" s="19">
        <f t="shared" si="18"/>
        <v>9063.1070734367859</v>
      </c>
      <c r="AF35" s="19">
        <f t="shared" si="18"/>
        <v>10701.570560050568</v>
      </c>
    </row>
    <row r="36" spans="1:32">
      <c r="A36" s="21" t="s">
        <v>74</v>
      </c>
      <c r="B36" s="138">
        <f>IF(B33&lt;0,-B33,0)</f>
        <v>60.999623016880875</v>
      </c>
      <c r="C36" s="138">
        <f t="shared" ref="C36:AF36" si="19">IF(C33&lt;0,-C33,0)</f>
        <v>748.36191434069042</v>
      </c>
      <c r="D36" s="138">
        <f t="shared" si="19"/>
        <v>170.25310568276427</v>
      </c>
      <c r="E36" s="138">
        <f t="shared" si="19"/>
        <v>0</v>
      </c>
      <c r="F36" s="138">
        <f t="shared" si="19"/>
        <v>0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832.05030936108028</v>
      </c>
      <c r="X36" s="138">
        <f t="shared" si="19"/>
        <v>890.59983102119327</v>
      </c>
      <c r="Y36" s="138">
        <f t="shared" si="19"/>
        <v>972.68811605501867</v>
      </c>
      <c r="Z36" s="138">
        <f t="shared" si="19"/>
        <v>1062.0395943982326</v>
      </c>
      <c r="AA36" s="138">
        <f t="shared" si="19"/>
        <v>1159.0324947732295</v>
      </c>
      <c r="AB36" s="138">
        <f t="shared" si="19"/>
        <v>1264.4393502892833</v>
      </c>
      <c r="AC36" s="138">
        <f t="shared" si="19"/>
        <v>1378.8846376306126</v>
      </c>
      <c r="AD36" s="138">
        <f t="shared" si="19"/>
        <v>1503.3727399081363</v>
      </c>
      <c r="AE36" s="138">
        <f t="shared" si="19"/>
        <v>1638.4634866137817</v>
      </c>
      <c r="AF36" s="138">
        <f t="shared" si="19"/>
        <v>1806.7168789389539</v>
      </c>
    </row>
    <row r="37" spans="1:32">
      <c r="A37" s="13" t="s">
        <v>289</v>
      </c>
      <c r="B37" s="460">
        <v>0</v>
      </c>
      <c r="C37" s="461">
        <v>0</v>
      </c>
      <c r="D37" s="461">
        <v>0</v>
      </c>
      <c r="E37" s="461">
        <v>0</v>
      </c>
      <c r="F37" s="461">
        <v>0</v>
      </c>
      <c r="G37" s="461">
        <v>0</v>
      </c>
      <c r="H37" s="461">
        <v>0</v>
      </c>
      <c r="I37" s="461">
        <v>0</v>
      </c>
      <c r="J37" s="461">
        <v>0</v>
      </c>
      <c r="K37" s="461">
        <v>0</v>
      </c>
      <c r="L37" s="461">
        <v>0</v>
      </c>
      <c r="M37" s="461">
        <v>0</v>
      </c>
      <c r="N37" s="461">
        <v>0</v>
      </c>
      <c r="O37" s="461">
        <v>0</v>
      </c>
      <c r="P37" s="462">
        <v>0</v>
      </c>
      <c r="Q37" s="463">
        <f>IF(-SUM(B38:P38, B37:P37)&gt;B36,0,-B36-SUM(B38:P38,B37:P37))</f>
        <v>0</v>
      </c>
      <c r="R37" s="463">
        <f t="shared" ref="R37:AF37" si="20">IF(-SUM(C38:Q38, C37:Q37)&gt;C36,0,-C36-SUM(C38:Q38,C37:Q37))</f>
        <v>0</v>
      </c>
      <c r="S37" s="463">
        <f t="shared" si="20"/>
        <v>0</v>
      </c>
      <c r="T37" s="463">
        <f t="shared" si="20"/>
        <v>0</v>
      </c>
      <c r="U37" s="463">
        <f t="shared" si="20"/>
        <v>0</v>
      </c>
      <c r="V37" s="463">
        <f t="shared" si="20"/>
        <v>0</v>
      </c>
      <c r="W37" s="463">
        <f t="shared" si="20"/>
        <v>0</v>
      </c>
      <c r="X37" s="463">
        <f t="shared" si="20"/>
        <v>0</v>
      </c>
      <c r="Y37" s="463">
        <f t="shared" si="20"/>
        <v>0</v>
      </c>
      <c r="Z37" s="463">
        <f t="shared" si="20"/>
        <v>0</v>
      </c>
      <c r="AA37" s="463">
        <f t="shared" si="20"/>
        <v>0</v>
      </c>
      <c r="AB37" s="463">
        <f t="shared" si="20"/>
        <v>0</v>
      </c>
      <c r="AC37" s="463">
        <f t="shared" si="20"/>
        <v>0</v>
      </c>
      <c r="AD37" s="463">
        <f t="shared" si="20"/>
        <v>0</v>
      </c>
      <c r="AE37" s="463">
        <f t="shared" si="20"/>
        <v>0</v>
      </c>
      <c r="AF37" s="463">
        <f t="shared" si="20"/>
        <v>0</v>
      </c>
    </row>
    <row r="38" spans="1:32">
      <c r="A38" s="13" t="s">
        <v>290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-380.07846629408868</v>
      </c>
      <c r="F38" s="131">
        <f t="shared" si="21"/>
        <v>-599.53617674624684</v>
      </c>
      <c r="G38" s="131">
        <f t="shared" si="21"/>
        <v>0</v>
      </c>
      <c r="H38" s="131">
        <f t="shared" si="21"/>
        <v>0</v>
      </c>
      <c r="I38" s="131">
        <f t="shared" si="21"/>
        <v>0</v>
      </c>
      <c r="J38" s="131">
        <f t="shared" si="21"/>
        <v>0</v>
      </c>
      <c r="K38" s="131">
        <f t="shared" si="21"/>
        <v>0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60.999623016880875</v>
      </c>
      <c r="C39" s="131">
        <f t="shared" si="23"/>
        <v>809.36153735757125</v>
      </c>
      <c r="D39" s="131">
        <f t="shared" si="23"/>
        <v>979.61464304033552</v>
      </c>
      <c r="E39" s="131">
        <f t="shared" si="23"/>
        <v>599.53617674624684</v>
      </c>
      <c r="F39" s="131">
        <f t="shared" si="23"/>
        <v>0</v>
      </c>
      <c r="G39" s="131">
        <f t="shared" si="23"/>
        <v>0</v>
      </c>
      <c r="H39" s="131">
        <f t="shared" si="23"/>
        <v>0</v>
      </c>
      <c r="I39" s="131">
        <f t="shared" si="23"/>
        <v>0</v>
      </c>
      <c r="J39" s="131">
        <f t="shared" si="23"/>
        <v>0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832.05030936108028</v>
      </c>
      <c r="X39" s="131">
        <f t="shared" si="23"/>
        <v>1722.6501403822735</v>
      </c>
      <c r="Y39" s="131">
        <f t="shared" si="23"/>
        <v>2695.3382564372923</v>
      </c>
      <c r="Z39" s="131">
        <f t="shared" si="23"/>
        <v>3757.3778508355249</v>
      </c>
      <c r="AA39" s="131">
        <f t="shared" si="23"/>
        <v>4916.4103456087541</v>
      </c>
      <c r="AB39" s="131">
        <f t="shared" si="23"/>
        <v>6180.8496958980377</v>
      </c>
      <c r="AC39" s="131">
        <f t="shared" si="23"/>
        <v>7559.7343335286505</v>
      </c>
      <c r="AD39" s="131">
        <f t="shared" si="23"/>
        <v>9063.1070734367859</v>
      </c>
      <c r="AE39" s="131">
        <f t="shared" si="23"/>
        <v>10701.570560050568</v>
      </c>
      <c r="AF39" s="131">
        <f t="shared" si="23"/>
        <v>12508.287438989522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291.45503149000547</v>
      </c>
      <c r="G41" s="135">
        <f t="shared" si="24"/>
        <v>1531.2552208078121</v>
      </c>
      <c r="H41" s="135">
        <f t="shared" si="24"/>
        <v>1984.7380862619893</v>
      </c>
      <c r="I41" s="135">
        <f t="shared" si="24"/>
        <v>2222.3538585028318</v>
      </c>
      <c r="J41" s="135">
        <f t="shared" si="24"/>
        <v>2488.9360665047475</v>
      </c>
      <c r="K41" s="135">
        <f t="shared" si="24"/>
        <v>2769.0005673283508</v>
      </c>
      <c r="L41" s="135">
        <f t="shared" si="24"/>
        <v>3070.7719492245601</v>
      </c>
      <c r="M41" s="135">
        <f t="shared" si="24"/>
        <v>3190.4203564942586</v>
      </c>
      <c r="N41" s="135">
        <f t="shared" si="24"/>
        <v>3178.4444102002003</v>
      </c>
      <c r="O41" s="135">
        <f t="shared" si="24"/>
        <v>3158.1006050823421</v>
      </c>
      <c r="P41" s="135">
        <f t="shared" si="24"/>
        <v>3145.2204687292524</v>
      </c>
      <c r="Q41" s="135">
        <f t="shared" si="24"/>
        <v>4296.4213056449762</v>
      </c>
      <c r="R41" s="135">
        <f t="shared" si="24"/>
        <v>5447.1371192930001</v>
      </c>
      <c r="S41" s="135">
        <f t="shared" si="24"/>
        <v>5428.8404594209942</v>
      </c>
      <c r="T41" s="135">
        <f t="shared" si="24"/>
        <v>5410.0306470925952</v>
      </c>
      <c r="U41" s="135">
        <f t="shared" si="24"/>
        <v>5390.6930026809041</v>
      </c>
      <c r="V41" s="135">
        <f t="shared" si="24"/>
        <v>1353.8724466762337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191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350</v>
      </c>
      <c r="B6" s="230"/>
      <c r="C6" s="437">
        <f>Assumptions!C21</f>
        <v>25570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198</v>
      </c>
      <c r="B7" s="230"/>
      <c r="C7" s="446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196</v>
      </c>
      <c r="B8" s="230"/>
      <c r="C8" s="519">
        <f>Assumptions!H39</f>
        <v>8.2500000000000004E-2</v>
      </c>
      <c r="D8" s="239">
        <f>C8/360</f>
        <v>2.2916666666666669E-4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197</v>
      </c>
      <c r="D9" s="238" t="s">
        <v>232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185</v>
      </c>
      <c r="E12" s="226" t="s">
        <v>192</v>
      </c>
      <c r="F12" s="227"/>
      <c r="G12" s="227"/>
      <c r="H12" s="227"/>
      <c r="I12" s="227"/>
      <c r="J12" s="222"/>
    </row>
    <row r="13" spans="1:25">
      <c r="A13" s="226" t="s">
        <v>182</v>
      </c>
      <c r="B13" s="5"/>
      <c r="C13" s="5"/>
      <c r="D13" s="228" t="s">
        <v>193</v>
      </c>
      <c r="E13" s="228" t="s">
        <v>186</v>
      </c>
      <c r="F13" s="228" t="s">
        <v>187</v>
      </c>
      <c r="G13" s="233" t="s">
        <v>188</v>
      </c>
      <c r="H13" s="228" t="s">
        <v>189</v>
      </c>
      <c r="I13" s="228" t="s">
        <v>190</v>
      </c>
      <c r="J13" s="66"/>
    </row>
    <row r="14" spans="1:25">
      <c r="A14" s="223" t="s">
        <v>183</v>
      </c>
      <c r="B14" s="223" t="s">
        <v>133</v>
      </c>
      <c r="C14" s="223" t="s">
        <v>184</v>
      </c>
      <c r="D14" s="223" t="s">
        <v>195</v>
      </c>
      <c r="E14" s="223" t="s">
        <v>195</v>
      </c>
      <c r="F14" s="223" t="s">
        <v>195</v>
      </c>
      <c r="G14" s="223" t="s">
        <v>195</v>
      </c>
      <c r="H14" s="223" t="s">
        <v>195</v>
      </c>
      <c r="I14" s="223" t="s">
        <v>195</v>
      </c>
      <c r="J14" s="66"/>
    </row>
    <row r="15" spans="1:25">
      <c r="A15" s="224">
        <v>1</v>
      </c>
      <c r="B15" s="225">
        <v>36617</v>
      </c>
      <c r="C15" s="264">
        <f>HLOOKUP(Assumptions!$H$12,IDC!$I$40:$M$56,2+F42)</f>
        <v>0.17</v>
      </c>
      <c r="D15" s="235">
        <f>D59*Assumptions!H12</f>
        <v>71302.248036658537</v>
      </c>
      <c r="E15" s="236">
        <f t="shared" ref="E15:E33" si="0">C15*$C$6</f>
        <v>4346.9000000000005</v>
      </c>
      <c r="F15" s="236">
        <f t="shared" ref="F15:F33" si="1">+E15+D15</f>
        <v>75649.148036658531</v>
      </c>
      <c r="G15" s="236">
        <f>F15+H15</f>
        <v>75649.148036658531</v>
      </c>
      <c r="H15" s="236">
        <v>0</v>
      </c>
      <c r="I15" s="236">
        <v>0</v>
      </c>
      <c r="K15" s="435"/>
    </row>
    <row r="16" spans="1:25">
      <c r="A16" s="224">
        <f t="shared" ref="A16:A33" si="2">A15+1</f>
        <v>2</v>
      </c>
      <c r="B16" s="225">
        <v>36647</v>
      </c>
      <c r="C16" s="264">
        <f>HLOOKUP(Assumptions!$H$12,IDC!$I$40:$M$56,2+F43)</f>
        <v>0.12</v>
      </c>
      <c r="D16" s="235">
        <v>0</v>
      </c>
      <c r="E16" s="236">
        <f t="shared" si="0"/>
        <v>3068.4</v>
      </c>
      <c r="F16" s="236">
        <f t="shared" si="1"/>
        <v>3068.4</v>
      </c>
      <c r="G16" s="236">
        <f t="shared" ref="G16:G33" si="3">F16+G15+H16</f>
        <v>79237.63592941055</v>
      </c>
      <c r="H16" s="236">
        <f>IF(A16&gt;$C$7+1,0,G15*(B16-B15)*$D$8)</f>
        <v>520.08789275202741</v>
      </c>
      <c r="I16" s="236">
        <f>IF(A16&lt;=$C$7+1,H16+I15,I15)</f>
        <v>520.08789275202741</v>
      </c>
      <c r="K16" s="435"/>
    </row>
    <row r="17" spans="1:11">
      <c r="A17" s="224">
        <f t="shared" si="2"/>
        <v>3</v>
      </c>
      <c r="B17" s="225">
        <v>36678</v>
      </c>
      <c r="C17" s="264">
        <f>HLOOKUP(Assumptions!$H$12,IDC!$I$40:$M$56,2+F44)</f>
        <v>0.12</v>
      </c>
      <c r="D17" s="235">
        <v>0</v>
      </c>
      <c r="E17" s="236">
        <f t="shared" si="0"/>
        <v>3068.4</v>
      </c>
      <c r="F17" s="236">
        <f t="shared" si="1"/>
        <v>3068.4</v>
      </c>
      <c r="G17" s="236">
        <f t="shared" si="3"/>
        <v>82868.953301325731</v>
      </c>
      <c r="H17" s="236">
        <f t="shared" ref="H17:H33" si="4">IF(A17&gt;$C$7+1,0,G16*(B17-B16)*$D$8)</f>
        <v>562.91737191518757</v>
      </c>
      <c r="I17" s="236">
        <f t="shared" ref="I17:I33" si="5">IF(A17&lt;=$C$7+1,H17+I16,I16)</f>
        <v>1083.005264667215</v>
      </c>
      <c r="K17" s="435"/>
    </row>
    <row r="18" spans="1:11">
      <c r="A18" s="224">
        <f t="shared" si="2"/>
        <v>4</v>
      </c>
      <c r="B18" s="225">
        <v>36708</v>
      </c>
      <c r="C18" s="264">
        <f>HLOOKUP(Assumptions!$H$12,IDC!$I$40:$M$56,2+F45)</f>
        <v>0.14000000000000001</v>
      </c>
      <c r="D18" s="235">
        <v>0</v>
      </c>
      <c r="E18" s="236">
        <f t="shared" si="0"/>
        <v>3579.8</v>
      </c>
      <c r="F18" s="236">
        <f t="shared" si="1"/>
        <v>3579.8</v>
      </c>
      <c r="G18" s="236">
        <f t="shared" si="3"/>
        <v>87018.477355272349</v>
      </c>
      <c r="H18" s="236">
        <f t="shared" si="4"/>
        <v>569.7240539466145</v>
      </c>
      <c r="I18" s="236">
        <f t="shared" si="5"/>
        <v>1652.7293186138295</v>
      </c>
      <c r="K18" s="435"/>
    </row>
    <row r="19" spans="1:11">
      <c r="A19" s="224">
        <f t="shared" si="2"/>
        <v>5</v>
      </c>
      <c r="B19" s="225">
        <v>36739</v>
      </c>
      <c r="C19" s="264">
        <f>HLOOKUP(Assumptions!$H$12,IDC!$I$40:$M$56,2+F46)</f>
        <v>0.13</v>
      </c>
      <c r="D19" s="235">
        <v>0</v>
      </c>
      <c r="E19" s="236">
        <f t="shared" si="0"/>
        <v>3324.1</v>
      </c>
      <c r="F19" s="236">
        <f t="shared" si="1"/>
        <v>3324.1</v>
      </c>
      <c r="G19" s="236">
        <f t="shared" si="3"/>
        <v>90960.771121483762</v>
      </c>
      <c r="H19" s="236">
        <f t="shared" si="4"/>
        <v>618.19376621141396</v>
      </c>
      <c r="I19" s="236">
        <f t="shared" si="5"/>
        <v>2270.9230848252437</v>
      </c>
      <c r="K19" s="435"/>
    </row>
    <row r="20" spans="1:11">
      <c r="A20" s="224">
        <f t="shared" si="2"/>
        <v>6</v>
      </c>
      <c r="B20" s="225">
        <v>36770</v>
      </c>
      <c r="C20" s="264">
        <f>HLOOKUP(Assumptions!$H$12,IDC!$I$40:$M$56,2+F47)</f>
        <v>0.12</v>
      </c>
      <c r="D20" s="235">
        <v>0</v>
      </c>
      <c r="E20" s="236">
        <f t="shared" si="0"/>
        <v>3068.4</v>
      </c>
      <c r="F20" s="236">
        <f t="shared" si="1"/>
        <v>3068.4</v>
      </c>
      <c r="G20" s="236">
        <f t="shared" si="3"/>
        <v>94675.371599659295</v>
      </c>
      <c r="H20" s="236">
        <f t="shared" si="4"/>
        <v>646.20047817554098</v>
      </c>
      <c r="I20" s="236">
        <f t="shared" si="5"/>
        <v>2917.1235630007845</v>
      </c>
      <c r="K20" s="435"/>
    </row>
    <row r="21" spans="1:11">
      <c r="A21" s="224">
        <f t="shared" si="2"/>
        <v>7</v>
      </c>
      <c r="B21" s="225">
        <v>36800</v>
      </c>
      <c r="C21" s="264">
        <f>HLOOKUP(Assumptions!$H$12,IDC!$I$40:$M$56,2+F48)</f>
        <v>0.1</v>
      </c>
      <c r="D21" s="235">
        <v>0</v>
      </c>
      <c r="E21" s="236">
        <f t="shared" si="0"/>
        <v>2557</v>
      </c>
      <c r="F21" s="236">
        <f t="shared" si="1"/>
        <v>2557</v>
      </c>
      <c r="G21" s="236">
        <f t="shared" si="3"/>
        <v>97883.264779406949</v>
      </c>
      <c r="H21" s="236">
        <f t="shared" si="4"/>
        <v>650.89317974765765</v>
      </c>
      <c r="I21" s="236">
        <f t="shared" si="5"/>
        <v>3568.0167427484421</v>
      </c>
      <c r="K21" s="435"/>
    </row>
    <row r="22" spans="1:11">
      <c r="A22" s="224">
        <f t="shared" si="2"/>
        <v>8</v>
      </c>
      <c r="B22" s="225">
        <v>36831</v>
      </c>
      <c r="C22" s="264">
        <f>HLOOKUP(Assumptions!$H$12,IDC!$I$40:$M$56,2+F49)</f>
        <v>0.1</v>
      </c>
      <c r="D22" s="235">
        <v>0</v>
      </c>
      <c r="E22" s="236">
        <f t="shared" si="0"/>
        <v>2557</v>
      </c>
      <c r="F22" s="236">
        <f t="shared" si="1"/>
        <v>2557</v>
      </c>
      <c r="G22" s="236">
        <f t="shared" si="3"/>
        <v>101135.64380627732</v>
      </c>
      <c r="H22" s="236">
        <f t="shared" si="4"/>
        <v>695.37902687037024</v>
      </c>
      <c r="I22" s="236">
        <f t="shared" si="5"/>
        <v>4263.3957696188127</v>
      </c>
      <c r="K22" s="435"/>
    </row>
    <row r="23" spans="1:11">
      <c r="A23" s="224">
        <f t="shared" si="2"/>
        <v>9</v>
      </c>
      <c r="B23" s="225">
        <v>36861</v>
      </c>
      <c r="C23" s="264">
        <f>HLOOKUP(Assumptions!$H$12,IDC!$I$40:$M$56,2+F50)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101135.64380627732</v>
      </c>
      <c r="H23" s="236">
        <f t="shared" si="4"/>
        <v>0</v>
      </c>
      <c r="I23" s="236">
        <f t="shared" si="5"/>
        <v>4263.3957696188127</v>
      </c>
      <c r="K23" s="435"/>
    </row>
    <row r="24" spans="1:11">
      <c r="A24" s="224">
        <f t="shared" si="2"/>
        <v>10</v>
      </c>
      <c r="B24" s="225">
        <v>36892</v>
      </c>
      <c r="C24" s="264">
        <f>HLOOKUP(Assumptions!$H$12,IDC!$I$40:$M$56,2+F51)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101135.64380627732</v>
      </c>
      <c r="H24" s="236">
        <f t="shared" si="4"/>
        <v>0</v>
      </c>
      <c r="I24" s="236">
        <f t="shared" si="5"/>
        <v>4263.3957696188127</v>
      </c>
      <c r="K24" s="435"/>
    </row>
    <row r="25" spans="1:11">
      <c r="A25" s="224">
        <f t="shared" si="2"/>
        <v>11</v>
      </c>
      <c r="B25" s="225">
        <v>36923</v>
      </c>
      <c r="C25" s="264">
        <f>HLOOKUP(Assumptions!$H$12,IDC!$I$40:$M$56,2+F52)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101135.64380627732</v>
      </c>
      <c r="H25" s="236">
        <f t="shared" si="4"/>
        <v>0</v>
      </c>
      <c r="I25" s="236">
        <f t="shared" si="5"/>
        <v>4263.3957696188127</v>
      </c>
      <c r="K25" s="435"/>
    </row>
    <row r="26" spans="1:11">
      <c r="A26" s="224">
        <f t="shared" si="2"/>
        <v>12</v>
      </c>
      <c r="B26" s="225">
        <v>36951</v>
      </c>
      <c r="C26" s="264">
        <f>HLOOKUP(Assumptions!$H$12,IDC!$I$40:$M$56,2+F53)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101135.64380627732</v>
      </c>
      <c r="H26" s="236">
        <f t="shared" si="4"/>
        <v>0</v>
      </c>
      <c r="I26" s="236">
        <f t="shared" si="5"/>
        <v>4263.3957696188127</v>
      </c>
      <c r="K26" s="435"/>
    </row>
    <row r="27" spans="1:11">
      <c r="A27" s="224">
        <f t="shared" si="2"/>
        <v>13</v>
      </c>
      <c r="B27" s="225">
        <v>36982</v>
      </c>
      <c r="C27" s="264">
        <f>HLOOKUP(Assumptions!$H$12,IDC!$I$40:$M$56,2+F54)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101135.64380627732</v>
      </c>
      <c r="H27" s="236">
        <f t="shared" si="4"/>
        <v>0</v>
      </c>
      <c r="I27" s="236">
        <f t="shared" si="5"/>
        <v>4263.3957696188127</v>
      </c>
      <c r="K27" s="435"/>
    </row>
    <row r="28" spans="1:11">
      <c r="A28" s="224">
        <f t="shared" si="2"/>
        <v>14</v>
      </c>
      <c r="B28" s="225">
        <v>37012</v>
      </c>
      <c r="C28" s="264">
        <f>HLOOKUP(Assumptions!$H$12,IDC!$I$40:$M$56,2+F55)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101135.64380627732</v>
      </c>
      <c r="H28" s="236">
        <f t="shared" si="4"/>
        <v>0</v>
      </c>
      <c r="I28" s="236">
        <f t="shared" si="5"/>
        <v>4263.3957696188127</v>
      </c>
      <c r="K28" s="435"/>
    </row>
    <row r="29" spans="1:11">
      <c r="A29" s="224">
        <f t="shared" si="2"/>
        <v>15</v>
      </c>
      <c r="B29" s="225">
        <v>37043</v>
      </c>
      <c r="C29" s="264">
        <f>HLOOKUP(Assumptions!$H$12,IDC!$I$40:$M$56,2+F56)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101135.64380627732</v>
      </c>
      <c r="H29" s="236">
        <f t="shared" si="4"/>
        <v>0</v>
      </c>
      <c r="I29" s="236">
        <f t="shared" si="5"/>
        <v>4263.3957696188127</v>
      </c>
      <c r="K29" s="435"/>
    </row>
    <row r="30" spans="1:11">
      <c r="A30" s="224">
        <f t="shared" si="2"/>
        <v>16</v>
      </c>
      <c r="B30" s="225">
        <v>37073</v>
      </c>
      <c r="C30" s="264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101135.64380627732</v>
      </c>
      <c r="H30" s="236">
        <f t="shared" si="4"/>
        <v>0</v>
      </c>
      <c r="I30" s="236">
        <f t="shared" si="5"/>
        <v>4263.3957696188127</v>
      </c>
      <c r="K30" s="435"/>
    </row>
    <row r="31" spans="1:11">
      <c r="A31" s="224">
        <f t="shared" si="2"/>
        <v>17</v>
      </c>
      <c r="B31" s="225">
        <v>37104</v>
      </c>
      <c r="C31" s="264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101135.64380627732</v>
      </c>
      <c r="H31" s="236">
        <f t="shared" si="4"/>
        <v>0</v>
      </c>
      <c r="I31" s="236">
        <f t="shared" si="5"/>
        <v>4263.3957696188127</v>
      </c>
      <c r="K31" s="435"/>
    </row>
    <row r="32" spans="1:11">
      <c r="A32" s="224">
        <f t="shared" si="2"/>
        <v>18</v>
      </c>
      <c r="B32" s="225">
        <v>37135</v>
      </c>
      <c r="C32" s="264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101135.64380627732</v>
      </c>
      <c r="H32" s="236">
        <f t="shared" si="4"/>
        <v>0</v>
      </c>
      <c r="I32" s="236">
        <f t="shared" si="5"/>
        <v>4263.3957696188127</v>
      </c>
      <c r="K32" s="435"/>
    </row>
    <row r="33" spans="1:13">
      <c r="A33" s="224">
        <f t="shared" si="2"/>
        <v>19</v>
      </c>
      <c r="B33" s="225">
        <v>37165</v>
      </c>
      <c r="C33" s="434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101135.64380627732</v>
      </c>
      <c r="H33" s="241">
        <f t="shared" si="4"/>
        <v>0</v>
      </c>
      <c r="I33" s="241">
        <f t="shared" si="5"/>
        <v>4263.3957696188127</v>
      </c>
      <c r="K33" s="435"/>
    </row>
    <row r="34" spans="1:13">
      <c r="C34" s="229">
        <f>SUM(C15:C33)</f>
        <v>1</v>
      </c>
      <c r="D34" s="237">
        <f>SUM(D15:D33)</f>
        <v>71302.248036658537</v>
      </c>
      <c r="E34" s="237">
        <f>SUM(E15:E33)</f>
        <v>25570</v>
      </c>
      <c r="F34" s="237">
        <f>SUM(F15:F33)</f>
        <v>96872.248036658522</v>
      </c>
      <c r="G34" s="18"/>
      <c r="H34" s="237">
        <f>SUM(H15:H33)</f>
        <v>4263.3957696188127</v>
      </c>
      <c r="I34" s="237"/>
    </row>
    <row r="38" spans="1:13" ht="18.75">
      <c r="A38" s="61" t="s">
        <v>229</v>
      </c>
      <c r="B38" s="279"/>
      <c r="F38"/>
      <c r="G38"/>
      <c r="H38"/>
      <c r="I38"/>
      <c r="J38"/>
      <c r="K38"/>
      <c r="L38"/>
    </row>
    <row r="39" spans="1:13" ht="13.5" thickBot="1">
      <c r="F39" s="400" t="s">
        <v>427</v>
      </c>
    </row>
    <row r="40" spans="1:13">
      <c r="F40" s="417"/>
      <c r="G40" s="414" t="s">
        <v>336</v>
      </c>
      <c r="H40" s="414">
        <v>1</v>
      </c>
      <c r="I40" s="414">
        <v>2</v>
      </c>
      <c r="J40" s="414">
        <v>3</v>
      </c>
      <c r="K40" s="414">
        <v>4</v>
      </c>
      <c r="L40" s="414">
        <v>5</v>
      </c>
      <c r="M40" s="415">
        <v>6</v>
      </c>
    </row>
    <row r="41" spans="1:13" ht="13.5" thickBot="1">
      <c r="A41" s="226" t="s">
        <v>337</v>
      </c>
      <c r="B41" s="226" t="s">
        <v>339</v>
      </c>
      <c r="C41" s="226" t="s">
        <v>341</v>
      </c>
      <c r="D41" s="226" t="s">
        <v>228</v>
      </c>
      <c r="F41" s="418" t="s">
        <v>183</v>
      </c>
      <c r="G41" s="416" t="s">
        <v>346</v>
      </c>
      <c r="H41" s="553">
        <v>5.5</v>
      </c>
      <c r="I41" s="553">
        <v>6</v>
      </c>
      <c r="J41" s="553">
        <v>6.5</v>
      </c>
      <c r="K41" s="553">
        <v>7</v>
      </c>
      <c r="L41" s="553">
        <v>7.5</v>
      </c>
      <c r="M41" s="554">
        <v>8</v>
      </c>
    </row>
    <row r="42" spans="1:13" ht="13.5" thickBot="1">
      <c r="A42" s="226" t="s">
        <v>338</v>
      </c>
      <c r="B42" s="226" t="s">
        <v>340</v>
      </c>
      <c r="C42" s="226" t="s">
        <v>342</v>
      </c>
      <c r="D42" s="226" t="s">
        <v>343</v>
      </c>
      <c r="F42" s="419">
        <v>1</v>
      </c>
      <c r="G42" s="406"/>
      <c r="H42" s="516">
        <v>0.17</v>
      </c>
      <c r="I42" s="516">
        <v>0.17</v>
      </c>
      <c r="J42" s="516">
        <v>0.17</v>
      </c>
      <c r="K42" s="407">
        <v>0.17</v>
      </c>
      <c r="L42" s="407">
        <v>0.17</v>
      </c>
      <c r="M42" s="408">
        <v>0.17</v>
      </c>
    </row>
    <row r="43" spans="1:13">
      <c r="A43" s="423" t="s">
        <v>227</v>
      </c>
      <c r="B43" s="424">
        <v>3</v>
      </c>
      <c r="C43" s="425">
        <v>36737</v>
      </c>
      <c r="D43" s="426">
        <v>36829</v>
      </c>
      <c r="F43" s="420">
        <v>2</v>
      </c>
      <c r="G43" s="177"/>
      <c r="H43" s="517">
        <v>0.16</v>
      </c>
      <c r="I43" s="517">
        <v>0.16</v>
      </c>
      <c r="J43" s="517">
        <v>0.16</v>
      </c>
      <c r="K43" s="409">
        <v>0.12</v>
      </c>
      <c r="L43" s="409">
        <v>0.12</v>
      </c>
      <c r="M43" s="410">
        <v>0.12</v>
      </c>
    </row>
    <row r="44" spans="1:13">
      <c r="A44" s="427" t="s">
        <v>226</v>
      </c>
      <c r="B44" s="421">
        <v>3</v>
      </c>
      <c r="C44" s="422">
        <v>36768</v>
      </c>
      <c r="D44" s="428">
        <v>36829</v>
      </c>
      <c r="F44" s="420">
        <v>3</v>
      </c>
      <c r="G44" s="177"/>
      <c r="H44" s="517">
        <v>0.16</v>
      </c>
      <c r="I44" s="517">
        <v>0.16</v>
      </c>
      <c r="J44" s="517">
        <v>0.13</v>
      </c>
      <c r="K44" s="409">
        <v>0.12</v>
      </c>
      <c r="L44" s="409">
        <v>0.12</v>
      </c>
      <c r="M44" s="410">
        <v>0.12</v>
      </c>
    </row>
    <row r="45" spans="1:13">
      <c r="A45" s="427" t="s">
        <v>225</v>
      </c>
      <c r="B45" s="421">
        <v>2</v>
      </c>
      <c r="C45" s="422">
        <v>36799</v>
      </c>
      <c r="D45" s="428">
        <v>36829</v>
      </c>
      <c r="F45" s="420">
        <v>4</v>
      </c>
      <c r="G45" s="177"/>
      <c r="H45" s="517">
        <v>0.16</v>
      </c>
      <c r="I45" s="517">
        <v>0.16</v>
      </c>
      <c r="J45" s="517">
        <v>0.16</v>
      </c>
      <c r="K45" s="409">
        <v>0.14000000000000001</v>
      </c>
      <c r="L45" s="409">
        <v>0.14000000000000001</v>
      </c>
      <c r="M45" s="410">
        <v>0.14000000000000001</v>
      </c>
    </row>
    <row r="46" spans="1:13">
      <c r="A46" s="427" t="s">
        <v>224</v>
      </c>
      <c r="B46" s="421">
        <v>3</v>
      </c>
      <c r="C46" s="422">
        <v>36829</v>
      </c>
      <c r="D46" s="428">
        <v>36829</v>
      </c>
      <c r="F46" s="420">
        <v>5</v>
      </c>
      <c r="G46" s="177"/>
      <c r="H46" s="517">
        <v>0.17</v>
      </c>
      <c r="I46" s="517">
        <v>0.17</v>
      </c>
      <c r="J46" s="517">
        <v>0.16</v>
      </c>
      <c r="K46" s="409">
        <v>0.18</v>
      </c>
      <c r="L46" s="409">
        <v>0.13</v>
      </c>
      <c r="M46" s="410">
        <v>0.13</v>
      </c>
    </row>
    <row r="47" spans="1:13">
      <c r="A47" s="427" t="s">
        <v>223</v>
      </c>
      <c r="B47" s="421">
        <v>2</v>
      </c>
      <c r="C47" s="422">
        <v>36860</v>
      </c>
      <c r="D47" s="428">
        <v>36860</v>
      </c>
      <c r="F47" s="420">
        <v>6</v>
      </c>
      <c r="G47" s="177"/>
      <c r="H47" s="517">
        <v>0.18</v>
      </c>
      <c r="I47" s="517">
        <v>0.18</v>
      </c>
      <c r="J47" s="517">
        <v>0.12</v>
      </c>
      <c r="K47" s="409">
        <v>0.12</v>
      </c>
      <c r="L47" s="409">
        <v>0.12</v>
      </c>
      <c r="M47" s="410">
        <v>0.12</v>
      </c>
    </row>
    <row r="48" spans="1:13">
      <c r="A48" s="429" t="s">
        <v>222</v>
      </c>
      <c r="B48" s="421">
        <v>2</v>
      </c>
      <c r="C48" s="422">
        <v>36890</v>
      </c>
      <c r="D48" s="428">
        <v>36890</v>
      </c>
      <c r="F48" s="420">
        <v>7</v>
      </c>
      <c r="G48" s="177"/>
      <c r="H48" s="517">
        <v>0</v>
      </c>
      <c r="I48" s="517">
        <v>0</v>
      </c>
      <c r="J48" s="517">
        <v>0.1</v>
      </c>
      <c r="K48" s="409">
        <v>0.15</v>
      </c>
      <c r="L48" s="409">
        <v>0.1</v>
      </c>
      <c r="M48" s="410">
        <v>0.1</v>
      </c>
    </row>
    <row r="49" spans="1:13">
      <c r="A49" s="429" t="s">
        <v>221</v>
      </c>
      <c r="B49" s="421">
        <v>3</v>
      </c>
      <c r="C49" s="422">
        <v>36555</v>
      </c>
      <c r="D49" s="428">
        <v>36555</v>
      </c>
      <c r="F49" s="420">
        <v>8</v>
      </c>
      <c r="G49" s="177"/>
      <c r="H49" s="517">
        <v>0</v>
      </c>
      <c r="I49" s="517">
        <v>0</v>
      </c>
      <c r="J49" s="517">
        <v>0</v>
      </c>
      <c r="K49" s="409">
        <v>0</v>
      </c>
      <c r="L49" s="409">
        <v>0.1</v>
      </c>
      <c r="M49" s="410">
        <v>0.1</v>
      </c>
    </row>
    <row r="50" spans="1:13">
      <c r="A50" s="429" t="s">
        <v>220</v>
      </c>
      <c r="B50" s="421">
        <v>2</v>
      </c>
      <c r="C50" s="422">
        <v>36950</v>
      </c>
      <c r="D50" s="428">
        <v>36950</v>
      </c>
      <c r="F50" s="420">
        <v>9</v>
      </c>
      <c r="G50" s="177"/>
      <c r="H50" s="517">
        <v>0</v>
      </c>
      <c r="I50" s="517">
        <v>0</v>
      </c>
      <c r="J50" s="517">
        <v>0</v>
      </c>
      <c r="K50" s="409">
        <v>0</v>
      </c>
      <c r="L50" s="409">
        <v>0</v>
      </c>
      <c r="M50" s="410">
        <v>0</v>
      </c>
    </row>
    <row r="51" spans="1:13">
      <c r="A51" s="429" t="s">
        <v>219</v>
      </c>
      <c r="B51" s="421">
        <v>2</v>
      </c>
      <c r="C51" s="422">
        <v>36980</v>
      </c>
      <c r="D51" s="428">
        <v>36980</v>
      </c>
      <c r="F51" s="420">
        <v>10</v>
      </c>
      <c r="G51" s="177"/>
      <c r="H51" s="517">
        <v>0</v>
      </c>
      <c r="I51" s="517">
        <v>0</v>
      </c>
      <c r="J51" s="517">
        <v>0</v>
      </c>
      <c r="K51" s="409">
        <v>0</v>
      </c>
      <c r="L51" s="409">
        <v>0</v>
      </c>
      <c r="M51" s="410">
        <v>0</v>
      </c>
    </row>
    <row r="52" spans="1:13" ht="13.5" thickBot="1">
      <c r="A52" s="430" t="s">
        <v>218</v>
      </c>
      <c r="B52" s="431">
        <v>2</v>
      </c>
      <c r="C52" s="432">
        <v>37011</v>
      </c>
      <c r="D52" s="433">
        <v>37011</v>
      </c>
      <c r="F52" s="420">
        <v>11</v>
      </c>
      <c r="G52" s="177"/>
      <c r="H52" s="517">
        <v>0</v>
      </c>
      <c r="I52" s="517">
        <v>0</v>
      </c>
      <c r="J52" s="517">
        <v>0</v>
      </c>
      <c r="K52" s="409">
        <v>0</v>
      </c>
      <c r="L52" s="409">
        <v>0</v>
      </c>
      <c r="M52" s="410">
        <v>0</v>
      </c>
    </row>
    <row r="53" spans="1:13">
      <c r="F53" s="420">
        <v>12</v>
      </c>
      <c r="G53" s="177"/>
      <c r="H53" s="517">
        <v>0</v>
      </c>
      <c r="I53" s="517">
        <v>0</v>
      </c>
      <c r="J53" s="517">
        <v>0</v>
      </c>
      <c r="K53" s="409">
        <v>0</v>
      </c>
      <c r="L53" s="409">
        <v>0</v>
      </c>
      <c r="M53" s="410">
        <v>0</v>
      </c>
    </row>
    <row r="54" spans="1:13" ht="13.5" thickBot="1">
      <c r="F54" s="420">
        <v>13</v>
      </c>
      <c r="G54" s="177"/>
      <c r="H54" s="517">
        <v>0</v>
      </c>
      <c r="I54" s="517">
        <v>0</v>
      </c>
      <c r="J54" s="517">
        <v>0</v>
      </c>
      <c r="K54" s="409">
        <v>0</v>
      </c>
      <c r="L54" s="409">
        <v>0</v>
      </c>
      <c r="M54" s="410">
        <v>0</v>
      </c>
    </row>
    <row r="55" spans="1:13">
      <c r="A55" s="283" t="s">
        <v>344</v>
      </c>
      <c r="B55" s="38"/>
      <c r="C55" s="38"/>
      <c r="D55" s="280"/>
      <c r="F55" s="420">
        <v>14</v>
      </c>
      <c r="G55" s="177"/>
      <c r="H55" s="409">
        <v>0</v>
      </c>
      <c r="I55" s="409">
        <v>0</v>
      </c>
      <c r="J55" s="409">
        <v>0</v>
      </c>
      <c r="K55" s="409">
        <v>0</v>
      </c>
      <c r="L55" s="409">
        <v>0</v>
      </c>
      <c r="M55" s="410">
        <v>0</v>
      </c>
    </row>
    <row r="56" spans="1:13" ht="13.5" thickBot="1">
      <c r="A56" s="41" t="s">
        <v>470</v>
      </c>
      <c r="B56" s="13"/>
      <c r="C56" s="13"/>
      <c r="D56" s="281">
        <v>13950</v>
      </c>
      <c r="F56" s="464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2">
        <v>0</v>
      </c>
      <c r="M56" s="413">
        <v>0</v>
      </c>
    </row>
    <row r="57" spans="1:13" ht="13.5" thickBot="1">
      <c r="A57" s="41" t="s">
        <v>231</v>
      </c>
      <c r="B57" s="13"/>
      <c r="C57" s="13"/>
      <c r="D57" s="281">
        <v>289.6162739983738</v>
      </c>
      <c r="F57" s="436" t="s">
        <v>347</v>
      </c>
      <c r="G57" s="411"/>
      <c r="H57" s="412">
        <f t="shared" ref="H57:M57" si="6">SUM(H42:H56)</f>
        <v>1</v>
      </c>
      <c r="I57" s="412">
        <f t="shared" si="6"/>
        <v>1</v>
      </c>
      <c r="J57" s="412">
        <f t="shared" si="6"/>
        <v>1</v>
      </c>
      <c r="K57" s="412">
        <f t="shared" si="6"/>
        <v>1</v>
      </c>
      <c r="L57" s="412">
        <f t="shared" si="6"/>
        <v>1</v>
      </c>
      <c r="M57" s="413">
        <f t="shared" si="6"/>
        <v>1</v>
      </c>
    </row>
    <row r="58" spans="1:13" ht="13.5" thickBot="1">
      <c r="A58" s="170" t="s">
        <v>230</v>
      </c>
      <c r="B58" s="42"/>
      <c r="C58" s="42"/>
      <c r="D58" s="282">
        <v>20.833333333333314</v>
      </c>
      <c r="E58" s="66"/>
    </row>
    <row r="59" spans="1:13" ht="13.5" thickBot="1">
      <c r="A59" s="284" t="s">
        <v>345</v>
      </c>
      <c r="B59" s="285"/>
      <c r="C59" s="285"/>
      <c r="D59" s="286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8" t="s">
        <v>124</v>
      </c>
    </row>
    <row r="6" spans="1:4" ht="13.5" thickBot="1"/>
    <row r="7" spans="1:4" ht="13.5" thickBot="1">
      <c r="A7" s="514"/>
      <c r="B7" s="470" t="s">
        <v>409</v>
      </c>
      <c r="C7" s="471" t="s">
        <v>0</v>
      </c>
      <c r="D7" s="472"/>
    </row>
    <row r="8" spans="1:4">
      <c r="A8" s="473"/>
      <c r="B8" s="289" t="s">
        <v>126</v>
      </c>
      <c r="C8" s="289" t="s">
        <v>2</v>
      </c>
      <c r="D8" s="474" t="s">
        <v>416</v>
      </c>
    </row>
    <row r="9" spans="1:4" ht="13.5" thickBot="1">
      <c r="A9" s="475" t="s">
        <v>123</v>
      </c>
      <c r="B9" s="476">
        <f>'Returns Analysis'!C39</f>
        <v>0.11325476765632631</v>
      </c>
      <c r="C9" s="477">
        <f>Debt!E69</f>
        <v>1.2999999999999978</v>
      </c>
      <c r="D9" s="478">
        <f>Debt!E68</f>
        <v>1.3080281603609187</v>
      </c>
    </row>
    <row r="10" spans="1:4">
      <c r="A10" s="63"/>
      <c r="C10" s="479"/>
      <c r="D10" s="479"/>
    </row>
    <row r="11" spans="1:4" ht="13.5" thickBot="1"/>
    <row r="12" spans="1:4">
      <c r="A12" s="480" t="s">
        <v>375</v>
      </c>
      <c r="B12" s="481">
        <f>B9</f>
        <v>0.11325476765632631</v>
      </c>
      <c r="C12" s="482">
        <f>C9</f>
        <v>1.2999999999999978</v>
      </c>
      <c r="D12" s="483">
        <f>D9</f>
        <v>1.3080281603609187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C21" sqref="C2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551" t="s">
        <v>428</v>
      </c>
      <c r="I3" s="80"/>
      <c r="AL3" s="80"/>
    </row>
    <row r="4" spans="1:38" s="5" customFormat="1" ht="19.5" customHeight="1" thickBot="1">
      <c r="A4" s="552" t="s">
        <v>472</v>
      </c>
      <c r="I4" s="175"/>
      <c r="AL4" s="175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2"/>
      <c r="E8" s="13"/>
      <c r="F8" s="93" t="s">
        <v>91</v>
      </c>
      <c r="G8" s="112"/>
      <c r="H8" s="113"/>
      <c r="I8" s="197"/>
      <c r="J8" s="39"/>
      <c r="L8" s="94" t="s">
        <v>204</v>
      </c>
      <c r="M8" s="118"/>
      <c r="N8" s="38"/>
      <c r="O8" s="38"/>
      <c r="P8" s="39"/>
      <c r="U8" s="332" t="s">
        <v>236</v>
      </c>
      <c r="V8" s="333" t="s">
        <v>241</v>
      </c>
      <c r="W8" s="333" t="s">
        <v>245</v>
      </c>
      <c r="X8" s="333" t="s">
        <v>125</v>
      </c>
      <c r="Y8" s="333" t="s">
        <v>260</v>
      </c>
      <c r="Z8" s="333" t="s">
        <v>261</v>
      </c>
      <c r="AA8" s="333" t="s">
        <v>262</v>
      </c>
      <c r="AB8" s="354" t="s">
        <v>320</v>
      </c>
    </row>
    <row r="9" spans="1:38" ht="15.75">
      <c r="A9" s="95" t="s">
        <v>6</v>
      </c>
      <c r="B9" s="96" t="s">
        <v>7</v>
      </c>
      <c r="C9" s="191" t="s">
        <v>8</v>
      </c>
      <c r="D9" s="549" t="s">
        <v>199</v>
      </c>
      <c r="E9" s="13"/>
      <c r="F9" s="115"/>
      <c r="G9" s="174"/>
      <c r="H9" s="174"/>
      <c r="I9" s="13"/>
      <c r="J9" s="40"/>
      <c r="L9" s="117" t="s">
        <v>308</v>
      </c>
      <c r="M9" s="13"/>
      <c r="N9" s="13"/>
      <c r="O9" s="13"/>
      <c r="P9" s="40"/>
      <c r="U9" s="322" t="s">
        <v>240</v>
      </c>
      <c r="V9" s="323" t="s">
        <v>242</v>
      </c>
      <c r="W9" s="323" t="s">
        <v>314</v>
      </c>
      <c r="X9" s="323" t="s">
        <v>256</v>
      </c>
      <c r="Y9" s="323" t="s">
        <v>265</v>
      </c>
      <c r="Z9" s="323" t="s">
        <v>263</v>
      </c>
      <c r="AA9" s="323" t="s">
        <v>263</v>
      </c>
      <c r="AB9" s="355" t="s">
        <v>323</v>
      </c>
    </row>
    <row r="10" spans="1:38" ht="15.75">
      <c r="A10" s="98" t="s">
        <v>9</v>
      </c>
      <c r="B10" s="265">
        <f>C10/C13</f>
        <v>0.28864815725649728</v>
      </c>
      <c r="C10" s="192">
        <f>C61-C11</f>
        <v>37027.047772255843</v>
      </c>
      <c r="D10" s="341">
        <f>C10/$H$69</f>
        <v>160.98716422719932</v>
      </c>
      <c r="E10" s="13"/>
      <c r="F10" s="115" t="s">
        <v>104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87" t="s">
        <v>237</v>
      </c>
      <c r="V10" s="202" t="s">
        <v>243</v>
      </c>
      <c r="W10" s="202" t="s">
        <v>315</v>
      </c>
      <c r="X10" s="202" t="s">
        <v>255</v>
      </c>
      <c r="Y10" s="202" t="s">
        <v>329</v>
      </c>
      <c r="Z10" s="202" t="s">
        <v>264</v>
      </c>
      <c r="AA10" s="202" t="s">
        <v>264</v>
      </c>
      <c r="AB10" s="356" t="s">
        <v>321</v>
      </c>
    </row>
    <row r="11" spans="1:38" ht="15.75">
      <c r="A11" s="98" t="s">
        <v>86</v>
      </c>
      <c r="B11" s="150">
        <f>C11/C13</f>
        <v>0.71135184274350272</v>
      </c>
      <c r="C11" s="192">
        <f>Debt!B19</f>
        <v>91250.396034021513</v>
      </c>
      <c r="D11" s="341">
        <f>C11/$H$69</f>
        <v>396.74085232183268</v>
      </c>
      <c r="E11" s="13"/>
      <c r="F11" s="115" t="s">
        <v>216</v>
      </c>
      <c r="G11" s="13"/>
      <c r="H11" s="278">
        <v>14260.449607331708</v>
      </c>
      <c r="I11" s="13"/>
      <c r="J11" s="40"/>
      <c r="L11" s="117" t="s">
        <v>131</v>
      </c>
      <c r="M11" s="13"/>
      <c r="N11" s="256">
        <v>0.03</v>
      </c>
      <c r="O11" s="218"/>
      <c r="P11" s="40"/>
      <c r="U11" s="287" t="s">
        <v>38</v>
      </c>
      <c r="V11" s="202" t="s">
        <v>240</v>
      </c>
      <c r="W11" s="202"/>
      <c r="X11" s="202" t="s">
        <v>316</v>
      </c>
      <c r="Y11" s="202"/>
      <c r="Z11" s="202"/>
      <c r="AA11" s="202"/>
      <c r="AB11" s="356" t="s">
        <v>322</v>
      </c>
    </row>
    <row r="12" spans="1:38" ht="15.75">
      <c r="A12" s="41"/>
      <c r="B12" s="13"/>
      <c r="C12" s="13"/>
      <c r="D12" s="40"/>
      <c r="E12" s="13"/>
      <c r="F12" s="115" t="s">
        <v>11</v>
      </c>
      <c r="G12" s="174"/>
      <c r="H12" s="246">
        <v>5</v>
      </c>
      <c r="I12" s="109"/>
      <c r="J12" s="40"/>
      <c r="L12" s="100"/>
      <c r="M12" s="13"/>
      <c r="N12" s="13"/>
      <c r="O12" s="218"/>
      <c r="P12" s="40"/>
      <c r="U12" s="334"/>
      <c r="V12" s="202" t="s">
        <v>38</v>
      </c>
      <c r="W12" s="13"/>
      <c r="X12" s="202" t="s">
        <v>259</v>
      </c>
      <c r="Y12" s="13"/>
      <c r="Z12" s="13"/>
      <c r="AA12" s="13"/>
      <c r="AB12" s="328"/>
    </row>
    <row r="13" spans="1:38" ht="15.75">
      <c r="A13" s="99" t="s">
        <v>10</v>
      </c>
      <c r="B13" s="147">
        <f>C13/$C$13</f>
        <v>1</v>
      </c>
      <c r="C13" s="193">
        <f>SUM(C10:C11)</f>
        <v>128277.44380627736</v>
      </c>
      <c r="D13" s="550">
        <f>C13/$H$69</f>
        <v>557.72801654903196</v>
      </c>
      <c r="E13" s="13"/>
      <c r="F13" s="115" t="s">
        <v>268</v>
      </c>
      <c r="G13" s="174"/>
      <c r="H13" s="247">
        <v>46</v>
      </c>
      <c r="I13" s="109"/>
      <c r="J13" s="40"/>
      <c r="L13" s="117" t="s">
        <v>88</v>
      </c>
      <c r="M13" s="13"/>
      <c r="N13" s="97"/>
      <c r="O13" s="218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IF(C27&gt;0,1,2)</f>
        <v>1</v>
      </c>
      <c r="AB13" s="355">
        <v>1</v>
      </c>
    </row>
    <row r="14" spans="1:38" ht="15.75">
      <c r="A14" s="534" t="s">
        <v>446</v>
      </c>
      <c r="B14" s="535" t="s">
        <v>264</v>
      </c>
      <c r="C14" s="13"/>
      <c r="D14" s="40"/>
      <c r="E14" s="13"/>
      <c r="F14" s="115" t="s">
        <v>377</v>
      </c>
      <c r="G14" s="174"/>
      <c r="H14" s="246">
        <v>10100</v>
      </c>
      <c r="I14" s="13"/>
      <c r="J14" s="40"/>
      <c r="L14" s="41"/>
      <c r="M14" s="13"/>
      <c r="N14" s="267" t="s">
        <v>201</v>
      </c>
      <c r="O14" s="201" t="s">
        <v>175</v>
      </c>
      <c r="P14" s="198" t="s">
        <v>424</v>
      </c>
      <c r="U14" s="288" t="str">
        <f>CHOOSE(U13,U9,U10,U11)</f>
        <v>Index</v>
      </c>
      <c r="V14" s="289" t="str">
        <f>CHOOSE(V13,V9,V10,V11,V12)</f>
        <v>Base</v>
      </c>
      <c r="W14" s="289" t="str">
        <f>CHOOSE(W13,W9,W10,W11,W12)</f>
        <v>Pass-through</v>
      </c>
      <c r="X14" s="289" t="str">
        <f>CHOOSE(X13,X9,X10,X11,X12)</f>
        <v>EBITDA Exit Multiple</v>
      </c>
      <c r="Y14" s="289">
        <f>IF(Y13=1,1,2)</f>
        <v>2</v>
      </c>
      <c r="Z14" s="289">
        <f>IF(C34&gt;0,10,20)</f>
        <v>10</v>
      </c>
      <c r="AA14" s="289" t="str">
        <f>CHOOSE(AA13,AA9,AA10,AA11,AA12)</f>
        <v>Yes</v>
      </c>
      <c r="AB14" s="324" t="str">
        <f>CHOOSE(AB13,AB9,AB10,AB11,AB12)</f>
        <v>Bank LT Debt</v>
      </c>
    </row>
    <row r="15" spans="1:38" ht="15.75">
      <c r="A15" s="41"/>
      <c r="B15" s="13"/>
      <c r="C15" s="13"/>
      <c r="D15" s="343"/>
      <c r="E15" s="13"/>
      <c r="F15" s="115" t="s">
        <v>378</v>
      </c>
      <c r="G15" s="174"/>
      <c r="H15" s="246">
        <v>10200</v>
      </c>
      <c r="I15" s="109"/>
      <c r="J15" s="40"/>
      <c r="L15" s="100" t="s">
        <v>202</v>
      </c>
      <c r="M15" s="13"/>
      <c r="N15" s="524"/>
      <c r="O15" s="219"/>
      <c r="P15" s="257">
        <v>0.58399999999999996</v>
      </c>
    </row>
    <row r="16" spans="1:38" ht="15.75">
      <c r="A16" s="95" t="s">
        <v>103</v>
      </c>
      <c r="B16" s="13"/>
      <c r="C16" s="13"/>
      <c r="D16" s="343"/>
      <c r="E16" s="13"/>
      <c r="F16" s="115" t="s">
        <v>194</v>
      </c>
      <c r="G16" s="13"/>
      <c r="H16" s="526">
        <v>7</v>
      </c>
      <c r="I16" s="13"/>
      <c r="J16" s="40"/>
      <c r="L16" s="103" t="s">
        <v>249</v>
      </c>
      <c r="M16" s="13"/>
      <c r="N16" s="525"/>
      <c r="O16" s="292"/>
      <c r="P16" s="293">
        <v>0.54</v>
      </c>
      <c r="U16" s="326"/>
      <c r="V16" s="57" t="s">
        <v>269</v>
      </c>
      <c r="W16" s="327" t="s">
        <v>270</v>
      </c>
    </row>
    <row r="17" spans="1:23" ht="15.75">
      <c r="A17" s="98" t="s">
        <v>418</v>
      </c>
      <c r="B17" s="13"/>
      <c r="C17" s="548"/>
      <c r="D17" s="343"/>
      <c r="E17" s="13"/>
      <c r="F17" s="115" t="s">
        <v>106</v>
      </c>
      <c r="G17" s="174"/>
      <c r="H17" s="249">
        <v>37012</v>
      </c>
      <c r="I17" s="13"/>
      <c r="J17" s="40"/>
      <c r="L17" s="115" t="s">
        <v>246</v>
      </c>
      <c r="M17" s="6"/>
      <c r="N17" s="270">
        <f>SUM(N15:N16)</f>
        <v>0</v>
      </c>
      <c r="O17" s="220"/>
      <c r="P17" s="294">
        <f>SUM(P15:P16)</f>
        <v>1.1240000000000001</v>
      </c>
      <c r="U17" s="55" t="s">
        <v>265</v>
      </c>
      <c r="V17" s="13">
        <v>11</v>
      </c>
      <c r="W17" s="328">
        <v>21</v>
      </c>
    </row>
    <row r="18" spans="1:23" ht="15.75">
      <c r="A18" s="100" t="s">
        <v>419</v>
      </c>
      <c r="B18" s="166">
        <f t="shared" ref="B18:B34" si="0">C18/$C$61</f>
        <v>0.55584400437802695</v>
      </c>
      <c r="C18" s="194">
        <f>H11*H12</f>
        <v>71302.248036658537</v>
      </c>
      <c r="D18" s="341">
        <f t="shared" ref="D18:D34" si="1">C18/$H$69</f>
        <v>310.0097740724284</v>
      </c>
      <c r="E18" s="13"/>
      <c r="F18" s="100" t="s">
        <v>134</v>
      </c>
      <c r="G18" s="97"/>
      <c r="H18" s="270">
        <v>8</v>
      </c>
      <c r="I18" s="109"/>
      <c r="J18" s="40"/>
      <c r="L18" s="41"/>
      <c r="M18" s="13"/>
      <c r="N18" s="13"/>
      <c r="O18" s="13"/>
      <c r="P18" s="185" t="s">
        <v>431</v>
      </c>
      <c r="U18" s="329" t="s">
        <v>266</v>
      </c>
      <c r="V18" s="58">
        <v>12</v>
      </c>
      <c r="W18" s="290">
        <v>22</v>
      </c>
    </row>
    <row r="19" spans="1:23" ht="15.75">
      <c r="A19" s="100" t="s">
        <v>257</v>
      </c>
      <c r="B19" s="166">
        <f t="shared" si="0"/>
        <v>2.4166368677267787E-3</v>
      </c>
      <c r="C19" s="194">
        <f>62*H12</f>
        <v>310</v>
      </c>
      <c r="D19" s="341">
        <f t="shared" si="1"/>
        <v>1.3478260869565217</v>
      </c>
      <c r="E19" s="13"/>
      <c r="F19" s="115" t="s">
        <v>105</v>
      </c>
      <c r="G19" s="13"/>
      <c r="H19" s="246">
        <v>20</v>
      </c>
      <c r="I19" s="109"/>
      <c r="J19" s="40"/>
      <c r="L19" s="100" t="s">
        <v>203</v>
      </c>
      <c r="M19" s="13"/>
      <c r="N19" s="248">
        <v>102</v>
      </c>
      <c r="O19" s="555">
        <f t="shared" ref="O19:O25" si="2">N19/$H$69</f>
        <v>0.44347826086956521</v>
      </c>
      <c r="P19" s="40"/>
    </row>
    <row r="20" spans="1:23" ht="15.75">
      <c r="A20" s="100" t="s">
        <v>443</v>
      </c>
      <c r="B20" s="166">
        <f t="shared" si="0"/>
        <v>0</v>
      </c>
      <c r="C20" s="194">
        <v>0</v>
      </c>
      <c r="D20" s="341">
        <f t="shared" si="1"/>
        <v>0</v>
      </c>
      <c r="E20" s="13"/>
      <c r="F20" s="115" t="s">
        <v>302</v>
      </c>
      <c r="G20" s="13"/>
      <c r="H20" s="331" t="s">
        <v>429</v>
      </c>
      <c r="I20" s="109"/>
      <c r="J20" s="40"/>
      <c r="L20" s="100" t="s">
        <v>35</v>
      </c>
      <c r="M20" s="13"/>
      <c r="N20" s="248">
        <v>150</v>
      </c>
      <c r="O20" s="555">
        <f t="shared" si="2"/>
        <v>0.65217391304347827</v>
      </c>
      <c r="P20" s="40"/>
    </row>
    <row r="21" spans="1:23" ht="15.75">
      <c r="A21" s="100" t="s">
        <v>177</v>
      </c>
      <c r="B21" s="166">
        <f t="shared" si="0"/>
        <v>0.19933356357346366</v>
      </c>
      <c r="C21" s="244">
        <v>25570</v>
      </c>
      <c r="D21" s="341">
        <f t="shared" si="1"/>
        <v>111.17391304347827</v>
      </c>
      <c r="E21" s="13"/>
      <c r="F21" s="41"/>
      <c r="G21" s="13"/>
      <c r="H21" s="13"/>
      <c r="I21" s="13"/>
      <c r="J21" s="40"/>
      <c r="L21" s="100" t="s">
        <v>471</v>
      </c>
      <c r="M21" s="13"/>
      <c r="N21" s="248">
        <v>521.5</v>
      </c>
      <c r="O21" s="555">
        <f t="shared" si="2"/>
        <v>2.267391304347826</v>
      </c>
      <c r="P21" s="40"/>
    </row>
    <row r="22" spans="1:23" ht="15.75">
      <c r="A22" s="100" t="s">
        <v>108</v>
      </c>
      <c r="B22" s="166">
        <f t="shared" si="0"/>
        <v>1.1693404198677962E-2</v>
      </c>
      <c r="C22" s="244">
        <v>1500</v>
      </c>
      <c r="D22" s="341">
        <f t="shared" si="1"/>
        <v>6.5217391304347823</v>
      </c>
      <c r="E22" s="13"/>
      <c r="F22" s="114" t="s">
        <v>432</v>
      </c>
      <c r="G22" s="13"/>
      <c r="H22" s="321"/>
      <c r="I22" s="13"/>
      <c r="J22" s="40"/>
      <c r="L22" s="100" t="s">
        <v>351</v>
      </c>
      <c r="M22" s="13"/>
      <c r="N22" s="248"/>
      <c r="O22" s="555">
        <f t="shared" si="2"/>
        <v>0</v>
      </c>
      <c r="P22" s="40"/>
    </row>
    <row r="23" spans="1:23" ht="15.75">
      <c r="A23" s="100" t="s">
        <v>109</v>
      </c>
      <c r="B23" s="166">
        <f t="shared" si="0"/>
        <v>8.8480091769996584E-3</v>
      </c>
      <c r="C23" s="244">
        <v>1135</v>
      </c>
      <c r="D23" s="341">
        <f t="shared" si="1"/>
        <v>4.9347826086956523</v>
      </c>
      <c r="E23" s="13"/>
      <c r="F23" s="320" t="s">
        <v>256</v>
      </c>
      <c r="G23" s="174"/>
      <c r="H23" s="319">
        <v>5</v>
      </c>
      <c r="I23" s="352"/>
      <c r="J23" s="40"/>
      <c r="L23" s="100" t="s">
        <v>44</v>
      </c>
      <c r="M23" s="13"/>
      <c r="N23" s="248">
        <v>0</v>
      </c>
      <c r="O23" s="555">
        <f t="shared" si="2"/>
        <v>0</v>
      </c>
      <c r="P23" s="40"/>
    </row>
    <row r="24" spans="1:23" ht="15.75">
      <c r="A24" s="100" t="s">
        <v>110</v>
      </c>
      <c r="B24" s="166">
        <f t="shared" si="0"/>
        <v>6.2364822392949132E-2</v>
      </c>
      <c r="C24" s="244">
        <v>8000</v>
      </c>
      <c r="D24" s="341">
        <f t="shared" si="1"/>
        <v>34.782608695652172</v>
      </c>
      <c r="E24" s="13"/>
      <c r="F24" s="320" t="s">
        <v>376</v>
      </c>
      <c r="G24" s="13"/>
      <c r="H24" s="351">
        <v>0.2</v>
      </c>
      <c r="I24" s="109"/>
      <c r="J24" s="40"/>
      <c r="L24" s="100" t="s">
        <v>37</v>
      </c>
      <c r="M24" s="13"/>
      <c r="N24" s="248">
        <v>66</v>
      </c>
      <c r="O24" s="555">
        <f t="shared" si="2"/>
        <v>0.28695652173913044</v>
      </c>
      <c r="P24" s="40"/>
    </row>
    <row r="25" spans="1:23" ht="16.5" thickBot="1">
      <c r="A25" s="100" t="s">
        <v>111</v>
      </c>
      <c r="B25" s="166">
        <f t="shared" si="0"/>
        <v>0</v>
      </c>
      <c r="C25" s="244">
        <v>0</v>
      </c>
      <c r="D25" s="341">
        <f t="shared" si="1"/>
        <v>0</v>
      </c>
      <c r="E25" s="13"/>
      <c r="F25" s="243" t="s">
        <v>199</v>
      </c>
      <c r="G25" s="42"/>
      <c r="H25" s="350">
        <v>200</v>
      </c>
      <c r="I25" s="42"/>
      <c r="J25" s="81"/>
      <c r="L25" s="103" t="s">
        <v>434</v>
      </c>
      <c r="M25" s="214"/>
      <c r="N25" s="291">
        <v>100</v>
      </c>
      <c r="O25" s="556">
        <f t="shared" si="2"/>
        <v>0.43478260869565216</v>
      </c>
      <c r="P25" s="40"/>
    </row>
    <row r="26" spans="1:23" ht="16.5" thickBot="1">
      <c r="A26" s="100" t="s">
        <v>112</v>
      </c>
      <c r="B26" s="166">
        <f t="shared" si="0"/>
        <v>0</v>
      </c>
      <c r="C26" s="244">
        <v>0</v>
      </c>
      <c r="D26" s="341">
        <f t="shared" si="1"/>
        <v>0</v>
      </c>
      <c r="E26" s="13"/>
      <c r="L26" s="115" t="s">
        <v>247</v>
      </c>
      <c r="M26" s="6"/>
      <c r="N26" s="270">
        <f>SUM(N19:N25)</f>
        <v>939.5</v>
      </c>
      <c r="O26" s="295">
        <f>SUM(O19:O25)</f>
        <v>4.0847826086956518</v>
      </c>
      <c r="P26" s="357"/>
    </row>
    <row r="27" spans="1:23" ht="15.75">
      <c r="A27" s="100" t="s">
        <v>334</v>
      </c>
      <c r="B27" s="166">
        <f t="shared" si="0"/>
        <v>1.1693404198677962E-2</v>
      </c>
      <c r="C27" s="244">
        <v>1500</v>
      </c>
      <c r="D27" s="341">
        <f t="shared" si="1"/>
        <v>6.5217391304347823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0" t="s">
        <v>113</v>
      </c>
      <c r="B28" s="166">
        <f t="shared" si="0"/>
        <v>0</v>
      </c>
      <c r="C28" s="244">
        <v>0</v>
      </c>
      <c r="D28" s="341">
        <f t="shared" si="1"/>
        <v>0</v>
      </c>
      <c r="E28" s="13"/>
      <c r="F28" s="348" t="s">
        <v>115</v>
      </c>
      <c r="G28" s="349"/>
      <c r="H28" s="349" t="s">
        <v>319</v>
      </c>
      <c r="I28" s="177"/>
      <c r="J28" s="325"/>
      <c r="L28" s="117" t="s">
        <v>89</v>
      </c>
      <c r="M28" s="13"/>
      <c r="N28" s="160"/>
      <c r="O28" s="220"/>
      <c r="P28" s="40"/>
      <c r="R28" s="3"/>
    </row>
    <row r="29" spans="1:23" ht="15.75">
      <c r="A29" s="100" t="s">
        <v>444</v>
      </c>
      <c r="B29" s="166">
        <f t="shared" si="0"/>
        <v>1.8319666577928807E-2</v>
      </c>
      <c r="C29" s="244">
        <v>2350</v>
      </c>
      <c r="D29" s="341">
        <f t="shared" si="1"/>
        <v>10.217391304347826</v>
      </c>
      <c r="E29" s="13"/>
      <c r="F29" s="320" t="s">
        <v>84</v>
      </c>
      <c r="G29" s="249">
        <v>36800</v>
      </c>
      <c r="H29" s="347"/>
      <c r="I29" s="177"/>
      <c r="J29" s="325"/>
      <c r="L29" s="100" t="s">
        <v>236</v>
      </c>
      <c r="M29" s="13"/>
      <c r="N29" s="270">
        <f>IS!C16</f>
        <v>19109.994784781247</v>
      </c>
      <c r="O29" s="220">
        <f>N29/$H$69</f>
        <v>83.086933846874985</v>
      </c>
      <c r="P29" s="40"/>
      <c r="R29" s="336"/>
    </row>
    <row r="30" spans="1:23" ht="15.75">
      <c r="A30" s="41" t="s">
        <v>445</v>
      </c>
      <c r="B30" s="166">
        <f t="shared" si="0"/>
        <v>1.1693404198677962E-2</v>
      </c>
      <c r="C30" s="244">
        <v>1500</v>
      </c>
      <c r="D30" s="341">
        <f t="shared" si="1"/>
        <v>6.5217391304347823</v>
      </c>
      <c r="E30" s="13"/>
      <c r="F30" s="320" t="s">
        <v>127</v>
      </c>
      <c r="G30" s="249">
        <v>36571</v>
      </c>
      <c r="H30" s="347"/>
      <c r="I30" s="177"/>
      <c r="J30" s="325"/>
      <c r="L30" s="100" t="s">
        <v>215</v>
      </c>
      <c r="M30" s="13"/>
      <c r="N30" s="270">
        <f>IS!C23/IS!C6</f>
        <v>600</v>
      </c>
      <c r="O30" s="220">
        <f>N30/$H$69</f>
        <v>2.6086956521739131</v>
      </c>
      <c r="P30" s="523">
        <v>0.02</v>
      </c>
      <c r="R30" s="3"/>
    </row>
    <row r="31" spans="1:23" ht="15.75">
      <c r="A31" s="100" t="s">
        <v>178</v>
      </c>
      <c r="B31" s="166">
        <f t="shared" si="0"/>
        <v>0</v>
      </c>
      <c r="C31" s="244">
        <v>0</v>
      </c>
      <c r="D31" s="341">
        <f t="shared" si="1"/>
        <v>0</v>
      </c>
      <c r="E31" s="13"/>
      <c r="F31" s="41"/>
      <c r="G31" s="13"/>
      <c r="H31" s="6"/>
      <c r="I31" s="177"/>
      <c r="J31" s="325"/>
      <c r="L31" s="100" t="s">
        <v>205</v>
      </c>
      <c r="M31" s="13"/>
      <c r="N31" s="270">
        <f>IS!C24/IS!C6</f>
        <v>0</v>
      </c>
      <c r="O31" s="220">
        <f>N31/$H$69</f>
        <v>0</v>
      </c>
      <c r="P31" s="40"/>
      <c r="R31" s="3"/>
    </row>
    <row r="32" spans="1:23" ht="15.75">
      <c r="A32" s="100" t="s">
        <v>179</v>
      </c>
      <c r="B32" s="166">
        <f t="shared" si="0"/>
        <v>1.5591205598237284E-3</v>
      </c>
      <c r="C32" s="244">
        <v>200</v>
      </c>
      <c r="D32" s="341">
        <f t="shared" si="1"/>
        <v>0.86956521739130432</v>
      </c>
      <c r="E32" s="13"/>
      <c r="F32" s="104" t="s">
        <v>14</v>
      </c>
      <c r="G32" s="105">
        <f>Debt!B19</f>
        <v>91250.396034021513</v>
      </c>
      <c r="H32" s="105"/>
      <c r="I32" s="177"/>
      <c r="J32" s="325"/>
      <c r="L32" s="100" t="s">
        <v>209</v>
      </c>
      <c r="M32" s="13"/>
      <c r="N32" s="270">
        <f>IS!C25/IS!C6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0" t="s">
        <v>468</v>
      </c>
      <c r="B33" s="166">
        <f t="shared" si="0"/>
        <v>0</v>
      </c>
      <c r="C33" s="244">
        <f>IF(B14="Yes",Turbo!F15,0)</f>
        <v>0</v>
      </c>
      <c r="D33" s="341">
        <f t="shared" si="1"/>
        <v>0</v>
      </c>
      <c r="E33" s="13"/>
      <c r="F33" s="104" t="s">
        <v>15</v>
      </c>
      <c r="G33" s="250">
        <v>20</v>
      </c>
      <c r="H33" s="105"/>
      <c r="I33" s="177"/>
      <c r="J33" s="325"/>
      <c r="L33" s="102" t="s">
        <v>426</v>
      </c>
      <c r="M33" s="42"/>
      <c r="N33" s="273">
        <f>IS!C26/IS!C6</f>
        <v>0</v>
      </c>
      <c r="O33" s="221">
        <f>N33/$H$69</f>
        <v>0</v>
      </c>
      <c r="P33" s="81"/>
      <c r="R33" s="3"/>
    </row>
    <row r="34" spans="1:18" ht="16.5" thickBot="1">
      <c r="A34" s="100" t="s">
        <v>425</v>
      </c>
      <c r="B34" s="181">
        <f t="shared" si="0"/>
        <v>3.1657942967220805E-2</v>
      </c>
      <c r="C34" s="245">
        <f>IF(B14="Yes",0,4061)</f>
        <v>4061</v>
      </c>
      <c r="D34" s="342">
        <f t="shared" si="1"/>
        <v>17.656521739130437</v>
      </c>
      <c r="E34" s="13"/>
      <c r="F34" s="104" t="s">
        <v>16</v>
      </c>
      <c r="G34" s="347">
        <v>42826</v>
      </c>
      <c r="H34" s="347"/>
      <c r="I34" s="177"/>
      <c r="J34" s="325"/>
      <c r="N34" s="196"/>
      <c r="R34" s="3"/>
    </row>
    <row r="35" spans="1:18" ht="15.75">
      <c r="A35" s="100" t="s">
        <v>107</v>
      </c>
      <c r="B35" s="166">
        <f>SUM(B18:B34)</f>
        <v>0.91542397909017337</v>
      </c>
      <c r="C35" s="194">
        <f>SUM(C18:C34)</f>
        <v>117428.24803665854</v>
      </c>
      <c r="D35" s="341">
        <f>SUM(D18:D34)</f>
        <v>510.55760015938495</v>
      </c>
      <c r="E35" s="13"/>
      <c r="F35" s="104" t="s">
        <v>17</v>
      </c>
      <c r="G35" s="120">
        <f>Debt!E66</f>
        <v>-1.8152285194550333</v>
      </c>
      <c r="H35" s="376" t="str">
        <f>IF(H32,Debt!#REF!," ")</f>
        <v xml:space="preserve"> </v>
      </c>
      <c r="I35" s="177"/>
      <c r="J35" s="325"/>
      <c r="L35" s="93" t="s">
        <v>22</v>
      </c>
      <c r="M35" s="113"/>
      <c r="N35" s="258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/>
      <c r="G36" s="13"/>
      <c r="H36" s="13"/>
      <c r="I36" s="177"/>
      <c r="J36" s="325"/>
      <c r="L36" s="41"/>
      <c r="M36" s="167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0" t="s">
        <v>18</v>
      </c>
      <c r="G37" s="251">
        <v>6.5000000000000002E-2</v>
      </c>
      <c r="H37" s="251">
        <v>6.5000000000000002E-2</v>
      </c>
      <c r="I37" s="177"/>
      <c r="J37" s="325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379</v>
      </c>
      <c r="B38" s="13"/>
      <c r="C38" s="13"/>
      <c r="D38" s="344"/>
      <c r="E38" s="13"/>
      <c r="F38" s="100" t="s">
        <v>19</v>
      </c>
      <c r="G38" s="252">
        <v>1.7500000000000002E-2</v>
      </c>
      <c r="H38" s="252">
        <v>1.7500000000000002E-2</v>
      </c>
      <c r="I38" s="177"/>
      <c r="J38" s="325"/>
      <c r="L38" s="114" t="s">
        <v>26</v>
      </c>
      <c r="M38" s="13"/>
      <c r="N38" s="259"/>
      <c r="O38" s="259"/>
      <c r="P38" s="101"/>
      <c r="R38" s="13"/>
    </row>
    <row r="39" spans="1:18" ht="15.75">
      <c r="A39" s="100" t="s">
        <v>114</v>
      </c>
      <c r="B39" s="166">
        <f t="shared" ref="B39:B52" si="3">C39/$C$61</f>
        <v>1.0134283638854234E-2</v>
      </c>
      <c r="C39" s="244">
        <v>1300</v>
      </c>
      <c r="D39" s="341">
        <f t="shared" ref="D39:D53" si="4">C39/$H$69</f>
        <v>5.6521739130434785</v>
      </c>
      <c r="E39" s="13"/>
      <c r="F39" s="104" t="s">
        <v>324</v>
      </c>
      <c r="G39" s="106">
        <f>Debt!E64</f>
        <v>8.2500000000000004E-2</v>
      </c>
      <c r="H39" s="106">
        <f>SUM(H37:H38)</f>
        <v>8.2500000000000004E-2</v>
      </c>
      <c r="I39" s="177"/>
      <c r="J39" s="325"/>
      <c r="L39" s="115" t="s">
        <v>27</v>
      </c>
      <c r="M39" s="13"/>
      <c r="N39" s="268">
        <v>15</v>
      </c>
      <c r="O39" s="260" t="s">
        <v>28</v>
      </c>
      <c r="P39" s="186">
        <v>0</v>
      </c>
      <c r="R39" s="3"/>
    </row>
    <row r="40" spans="1:18" ht="15.75">
      <c r="A40" s="98" t="s">
        <v>440</v>
      </c>
      <c r="B40" s="166">
        <f t="shared" si="3"/>
        <v>1.7540106298016944E-3</v>
      </c>
      <c r="C40" s="244">
        <v>225</v>
      </c>
      <c r="D40" s="341">
        <f t="shared" si="4"/>
        <v>0.97826086956521741</v>
      </c>
      <c r="E40" s="13"/>
      <c r="F40" s="100"/>
      <c r="G40" s="97"/>
      <c r="H40" s="97"/>
      <c r="I40" s="97"/>
      <c r="J40" s="184"/>
      <c r="L40" s="115" t="s">
        <v>252</v>
      </c>
      <c r="M40" s="13"/>
      <c r="N40" s="268">
        <v>5</v>
      </c>
      <c r="O40" s="260" t="s">
        <v>30</v>
      </c>
      <c r="P40" s="186">
        <v>0</v>
      </c>
      <c r="R40" s="3"/>
    </row>
    <row r="41" spans="1:18" ht="15.75">
      <c r="A41" s="98" t="s">
        <v>172</v>
      </c>
      <c r="B41" s="166">
        <f t="shared" si="3"/>
        <v>0</v>
      </c>
      <c r="C41" s="244">
        <v>0</v>
      </c>
      <c r="D41" s="341">
        <f t="shared" si="4"/>
        <v>0</v>
      </c>
      <c r="E41" s="13"/>
      <c r="F41" s="100" t="s">
        <v>128</v>
      </c>
      <c r="G41" s="250">
        <v>0</v>
      </c>
      <c r="H41" s="250">
        <v>0</v>
      </c>
      <c r="I41" s="97" t="s">
        <v>129</v>
      </c>
      <c r="J41" s="185"/>
      <c r="L41" s="115" t="s">
        <v>29</v>
      </c>
      <c r="M41" s="13"/>
      <c r="N41" s="268">
        <v>20</v>
      </c>
      <c r="O41" s="260" t="s">
        <v>30</v>
      </c>
      <c r="P41" s="186">
        <v>0</v>
      </c>
      <c r="R41" s="336"/>
    </row>
    <row r="42" spans="1:18" ht="15.75">
      <c r="A42" s="98" t="s">
        <v>166</v>
      </c>
      <c r="B42" s="166">
        <f t="shared" si="3"/>
        <v>4.6773616794711847E-3</v>
      </c>
      <c r="C42" s="244">
        <v>600</v>
      </c>
      <c r="D42" s="341">
        <f t="shared" si="4"/>
        <v>2.6086956521739131</v>
      </c>
      <c r="E42" s="13"/>
      <c r="F42" s="100" t="s">
        <v>20</v>
      </c>
      <c r="G42" s="253">
        <v>0.02</v>
      </c>
      <c r="H42" s="97"/>
      <c r="I42" s="97"/>
      <c r="J42" s="185"/>
      <c r="L42" s="115"/>
      <c r="M42" s="13"/>
      <c r="N42" s="261"/>
      <c r="O42" s="261"/>
      <c r="P42" s="262"/>
      <c r="R42" s="222"/>
    </row>
    <row r="43" spans="1:18" ht="15.75">
      <c r="A43" s="100" t="s">
        <v>435</v>
      </c>
      <c r="B43" s="166">
        <f t="shared" si="3"/>
        <v>0</v>
      </c>
      <c r="C43" s="244">
        <v>0</v>
      </c>
      <c r="D43" s="341">
        <f t="shared" si="4"/>
        <v>0</v>
      </c>
      <c r="E43" s="13"/>
      <c r="F43" s="100" t="s">
        <v>21</v>
      </c>
      <c r="G43" s="253">
        <v>0</v>
      </c>
      <c r="H43" s="13"/>
      <c r="I43" s="13"/>
      <c r="J43" s="40"/>
      <c r="L43" s="114" t="s">
        <v>31</v>
      </c>
      <c r="M43" s="13"/>
      <c r="N43" s="261"/>
      <c r="O43" s="261"/>
      <c r="P43" s="187"/>
    </row>
    <row r="44" spans="1:18" ht="15.75">
      <c r="A44" s="98" t="s">
        <v>167</v>
      </c>
      <c r="B44" s="166">
        <f t="shared" si="3"/>
        <v>0</v>
      </c>
      <c r="C44" s="244">
        <v>0</v>
      </c>
      <c r="D44" s="341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68">
        <v>30</v>
      </c>
      <c r="O44" s="260" t="s">
        <v>30</v>
      </c>
      <c r="P44" s="187">
        <v>0.1</v>
      </c>
    </row>
    <row r="45" spans="1:18" ht="15.75">
      <c r="A45" s="98" t="s">
        <v>176</v>
      </c>
      <c r="B45" s="166">
        <f t="shared" si="3"/>
        <v>0</v>
      </c>
      <c r="C45" s="244">
        <v>0</v>
      </c>
      <c r="D45" s="341">
        <f t="shared" si="4"/>
        <v>0</v>
      </c>
      <c r="E45" s="13"/>
      <c r="F45" s="348" t="s">
        <v>116</v>
      </c>
      <c r="G45" s="13"/>
      <c r="H45" s="13"/>
      <c r="I45" s="13"/>
      <c r="J45" s="40"/>
      <c r="L45" s="115" t="s">
        <v>252</v>
      </c>
      <c r="M45" s="13"/>
      <c r="N45" s="268">
        <v>5</v>
      </c>
      <c r="O45" s="260" t="s">
        <v>30</v>
      </c>
      <c r="P45" s="186">
        <v>0</v>
      </c>
    </row>
    <row r="46" spans="1:18" ht="16.5" thickBot="1">
      <c r="A46" s="98" t="s">
        <v>168</v>
      </c>
      <c r="B46" s="166">
        <f t="shared" si="3"/>
        <v>0</v>
      </c>
      <c r="C46" s="244">
        <v>0</v>
      </c>
      <c r="D46" s="341">
        <f t="shared" si="4"/>
        <v>0</v>
      </c>
      <c r="E46" s="13"/>
      <c r="F46" s="320" t="s">
        <v>85</v>
      </c>
      <c r="G46" s="249">
        <v>36617</v>
      </c>
      <c r="H46" s="13"/>
      <c r="I46" s="13"/>
      <c r="J46" s="40"/>
      <c r="L46" s="116" t="s">
        <v>29</v>
      </c>
      <c r="M46" s="42"/>
      <c r="N46" s="269">
        <v>20</v>
      </c>
      <c r="O46" s="263" t="s">
        <v>30</v>
      </c>
      <c r="P46" s="188">
        <v>0</v>
      </c>
    </row>
    <row r="47" spans="1:18" ht="16.5" thickBot="1">
      <c r="A47" s="98" t="s">
        <v>169</v>
      </c>
      <c r="B47" s="166">
        <f t="shared" si="3"/>
        <v>1.1693404198677962E-3</v>
      </c>
      <c r="C47" s="244">
        <v>150</v>
      </c>
      <c r="D47" s="341">
        <f t="shared" si="4"/>
        <v>0.65217391304347827</v>
      </c>
      <c r="E47" s="13"/>
      <c r="F47" s="100" t="s">
        <v>12</v>
      </c>
      <c r="G47" s="254">
        <v>0</v>
      </c>
      <c r="H47" s="143">
        <f>G47*C10</f>
        <v>0</v>
      </c>
      <c r="I47" s="13"/>
      <c r="J47" s="40"/>
    </row>
    <row r="48" spans="1:18" ht="16.5" thickBot="1">
      <c r="A48" s="98" t="s">
        <v>173</v>
      </c>
      <c r="B48" s="166">
        <f t="shared" si="3"/>
        <v>1.5591205598237284E-4</v>
      </c>
      <c r="C48" s="244">
        <v>20</v>
      </c>
      <c r="D48" s="341">
        <f t="shared" si="4"/>
        <v>8.6956521739130432E-2</v>
      </c>
      <c r="E48" s="64"/>
      <c r="F48" s="102" t="s">
        <v>13</v>
      </c>
      <c r="G48" s="266">
        <f>1-G47</f>
        <v>1</v>
      </c>
      <c r="H48" s="144">
        <f>G48*C10</f>
        <v>37027.047772255843</v>
      </c>
      <c r="I48" s="42"/>
      <c r="J48" s="81"/>
      <c r="L48" s="93" t="s">
        <v>380</v>
      </c>
      <c r="M48" s="113"/>
      <c r="N48" s="275"/>
      <c r="O48" s="276"/>
      <c r="P48" s="358"/>
    </row>
    <row r="49" spans="1:16" ht="16.5" thickBot="1">
      <c r="A49" s="100" t="s">
        <v>217</v>
      </c>
      <c r="B49" s="166">
        <f t="shared" si="3"/>
        <v>3.3235739995390992E-2</v>
      </c>
      <c r="C49" s="194">
        <f>IDC!$H$34</f>
        <v>4263.3957696188127</v>
      </c>
      <c r="D49" s="341">
        <f t="shared" si="4"/>
        <v>18.53650334616875</v>
      </c>
      <c r="E49" s="43"/>
      <c r="L49" s="179"/>
      <c r="M49" s="174"/>
      <c r="N49" s="156"/>
      <c r="O49" s="6"/>
      <c r="P49" s="357"/>
    </row>
    <row r="50" spans="1:16" ht="15.75">
      <c r="A50" s="100" t="s">
        <v>180</v>
      </c>
      <c r="B50" s="166">
        <f t="shared" si="3"/>
        <v>7.7956027991186415E-3</v>
      </c>
      <c r="C50" s="244">
        <v>1000</v>
      </c>
      <c r="D50" s="341">
        <f t="shared" si="4"/>
        <v>4.3478260869565215</v>
      </c>
      <c r="E50" s="13"/>
      <c r="F50" s="93" t="s">
        <v>200</v>
      </c>
      <c r="G50" s="112"/>
      <c r="H50" s="118"/>
      <c r="I50" s="199"/>
      <c r="J50" s="39"/>
      <c r="L50" s="115" t="s">
        <v>132</v>
      </c>
      <c r="M50" s="6"/>
      <c r="N50" s="259">
        <v>0.35</v>
      </c>
      <c r="O50" s="6"/>
      <c r="P50" s="357"/>
    </row>
    <row r="51" spans="1:16" ht="15.75">
      <c r="A51" s="100" t="s">
        <v>273</v>
      </c>
      <c r="B51" s="166">
        <f t="shared" si="3"/>
        <v>1.7858166892220986E-2</v>
      </c>
      <c r="C51" s="194">
        <f>SUM(C21:C34)*N55</f>
        <v>2290.8000000000002</v>
      </c>
      <c r="D51" s="341">
        <f t="shared" si="4"/>
        <v>9.9600000000000009</v>
      </c>
      <c r="E51" s="84"/>
      <c r="F51" s="41"/>
      <c r="G51" s="13"/>
      <c r="H51" s="13"/>
      <c r="I51" s="109"/>
      <c r="J51" s="40"/>
      <c r="L51" s="115" t="s">
        <v>287</v>
      </c>
      <c r="M51" s="6"/>
      <c r="N51" s="256">
        <v>7.0000000000000007E-2</v>
      </c>
      <c r="O51" s="359" t="s">
        <v>234</v>
      </c>
      <c r="P51" s="357"/>
    </row>
    <row r="52" spans="1:16" ht="15.75">
      <c r="A52" s="95" t="s">
        <v>181</v>
      </c>
      <c r="B52" s="181">
        <f t="shared" si="3"/>
        <v>0</v>
      </c>
      <c r="C52" s="245">
        <v>0</v>
      </c>
      <c r="D52" s="342">
        <f t="shared" si="4"/>
        <v>0</v>
      </c>
      <c r="E52" s="84"/>
      <c r="F52" s="103" t="s">
        <v>303</v>
      </c>
      <c r="G52" s="13"/>
      <c r="H52" s="547"/>
      <c r="I52" s="547"/>
      <c r="J52" s="40"/>
      <c r="L52" s="115" t="s">
        <v>254</v>
      </c>
      <c r="M52" s="6"/>
      <c r="N52" s="256">
        <v>0</v>
      </c>
      <c r="O52" s="359" t="s">
        <v>234</v>
      </c>
      <c r="P52" s="357"/>
    </row>
    <row r="53" spans="1:16" ht="15.75">
      <c r="A53" s="100" t="s">
        <v>107</v>
      </c>
      <c r="B53" s="166">
        <f>SUM(B39:B52)</f>
        <v>7.6780418110707904E-2</v>
      </c>
      <c r="C53" s="194">
        <f>SUM(C39:C52)</f>
        <v>9849.1957696188128</v>
      </c>
      <c r="D53" s="341">
        <f t="shared" si="4"/>
        <v>42.822590302690493</v>
      </c>
      <c r="E53" s="13"/>
      <c r="F53" s="100" t="s">
        <v>305</v>
      </c>
      <c r="G53" s="13"/>
      <c r="H53" s="248">
        <v>20</v>
      </c>
      <c r="I53" s="270"/>
      <c r="J53" s="40"/>
      <c r="L53" s="115" t="s">
        <v>210</v>
      </c>
      <c r="M53" s="6"/>
      <c r="N53" s="256">
        <v>0</v>
      </c>
      <c r="O53" s="359" t="s">
        <v>234</v>
      </c>
      <c r="P53" s="357"/>
    </row>
    <row r="54" spans="1:16" ht="15.75">
      <c r="A54" s="41"/>
      <c r="B54" s="13"/>
      <c r="C54" s="13"/>
      <c r="D54" s="40"/>
      <c r="E54" s="13"/>
      <c r="F54" s="100" t="s">
        <v>415</v>
      </c>
      <c r="G54" s="13"/>
      <c r="H54" s="247">
        <v>6.8265986345353697</v>
      </c>
      <c r="I54" s="153"/>
      <c r="J54" s="40"/>
      <c r="L54" s="115" t="s">
        <v>239</v>
      </c>
      <c r="M54" s="13"/>
      <c r="N54" s="256">
        <v>1.4999999999999999E-2</v>
      </c>
      <c r="O54" s="359" t="s">
        <v>234</v>
      </c>
      <c r="P54" s="40"/>
    </row>
    <row r="55" spans="1:16" ht="16.5" thickBot="1">
      <c r="A55" s="98" t="s">
        <v>101</v>
      </c>
      <c r="B55" s="13"/>
      <c r="C55" s="194"/>
      <c r="D55" s="343"/>
      <c r="E55" s="13"/>
      <c r="F55" s="41"/>
      <c r="G55" s="13"/>
      <c r="H55" s="13"/>
      <c r="I55" s="6"/>
      <c r="J55" s="40"/>
      <c r="L55" s="116" t="s">
        <v>274</v>
      </c>
      <c r="M55" s="42"/>
      <c r="N55" s="271">
        <v>0.05</v>
      </c>
      <c r="O55" s="360" t="s">
        <v>234</v>
      </c>
      <c r="P55" s="81"/>
    </row>
    <row r="56" spans="1:16" ht="15.75">
      <c r="A56" s="98" t="s">
        <v>170</v>
      </c>
      <c r="B56" s="166">
        <f>C56/$C$61</f>
        <v>0</v>
      </c>
      <c r="C56" s="244">
        <v>0</v>
      </c>
      <c r="D56" s="341">
        <f>C56/$H$69</f>
        <v>0</v>
      </c>
      <c r="E56" s="13"/>
      <c r="F56" s="103" t="s">
        <v>306</v>
      </c>
      <c r="G56" s="13"/>
      <c r="H56" s="13"/>
      <c r="I56" s="13"/>
      <c r="J56" s="40"/>
    </row>
    <row r="57" spans="1:16" ht="15.75">
      <c r="A57" s="98" t="s">
        <v>171</v>
      </c>
      <c r="B57" s="166">
        <f>C57/$C$61</f>
        <v>0</v>
      </c>
      <c r="C57" s="244">
        <v>0</v>
      </c>
      <c r="D57" s="341">
        <f>C57/$H$69</f>
        <v>0</v>
      </c>
      <c r="E57" s="13"/>
      <c r="F57" s="100" t="s">
        <v>305</v>
      </c>
      <c r="G57" s="13"/>
      <c r="H57" s="270">
        <f>H19-H53</f>
        <v>0</v>
      </c>
      <c r="I57" s="109"/>
      <c r="J57" s="40"/>
    </row>
    <row r="58" spans="1:16" ht="15.75">
      <c r="A58" s="103" t="s">
        <v>433</v>
      </c>
      <c r="B58" s="181">
        <f>C58/$C$61</f>
        <v>7.7956027991186415E-3</v>
      </c>
      <c r="C58" s="245">
        <v>1000</v>
      </c>
      <c r="D58" s="341">
        <f>C58/$H$69</f>
        <v>4.3478260869565215</v>
      </c>
      <c r="E58" s="13"/>
      <c r="F58" s="100" t="s">
        <v>415</v>
      </c>
      <c r="G58" s="97"/>
      <c r="H58" s="153"/>
      <c r="I58" s="109"/>
      <c r="J58" s="40"/>
    </row>
    <row r="59" spans="1:16" ht="15.75">
      <c r="A59" s="100" t="s">
        <v>107</v>
      </c>
      <c r="B59" s="166">
        <f>SUM(B56:B58)</f>
        <v>7.7956027991186415E-3</v>
      </c>
      <c r="C59" s="110">
        <f>SUM(C56:C58)</f>
        <v>1000</v>
      </c>
      <c r="D59" s="341">
        <f>C59/$H$69</f>
        <v>4.3478260869565215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4"/>
      <c r="E60" s="13"/>
      <c r="F60" s="100" t="s">
        <v>423</v>
      </c>
      <c r="G60" s="97"/>
      <c r="H60" s="153">
        <f>P17</f>
        <v>1.1240000000000001</v>
      </c>
      <c r="I60" s="109"/>
      <c r="J60" s="40"/>
    </row>
    <row r="61" spans="1:16" ht="16.5" thickBot="1">
      <c r="A61" s="183" t="s">
        <v>102</v>
      </c>
      <c r="B61" s="180">
        <f>B59+B53+B35</f>
        <v>0.99999999999999989</v>
      </c>
      <c r="C61" s="195">
        <f>C59+C53+C35</f>
        <v>128277.44380627736</v>
      </c>
      <c r="D61" s="345">
        <f>C61/$H$69</f>
        <v>557.72801654903196</v>
      </c>
      <c r="E61" s="13"/>
      <c r="F61" s="100"/>
      <c r="G61" s="13"/>
      <c r="H61" s="259"/>
      <c r="I61" s="109"/>
      <c r="J61" s="40"/>
    </row>
    <row r="62" spans="1:16" ht="16.5" thickBot="1">
      <c r="E62" s="13"/>
      <c r="F62" s="102" t="s">
        <v>430</v>
      </c>
      <c r="G62" s="42"/>
      <c r="H62" s="272">
        <f>H69*H73</f>
        <v>575000</v>
      </c>
      <c r="I62" s="200"/>
      <c r="J62" s="81"/>
    </row>
    <row r="63" spans="1:16" ht="13.5" thickBot="1">
      <c r="E63" s="13"/>
    </row>
    <row r="64" spans="1:16" ht="15.75">
      <c r="A64" s="94" t="s">
        <v>32</v>
      </c>
      <c r="B64" s="118"/>
      <c r="C64" s="199"/>
      <c r="D64" s="119"/>
      <c r="E64" s="13"/>
      <c r="F64" s="93" t="s">
        <v>5</v>
      </c>
      <c r="G64" s="197"/>
      <c r="H64" s="199"/>
      <c r="I64" s="38"/>
      <c r="J64" s="39"/>
    </row>
    <row r="65" spans="1:10" ht="15.75">
      <c r="A65" s="41"/>
      <c r="B65" s="13"/>
      <c r="C65" s="13"/>
      <c r="D65" s="40"/>
      <c r="E65" s="13"/>
      <c r="F65" s="179"/>
      <c r="G65" s="151"/>
      <c r="H65" s="109"/>
      <c r="I65" s="13"/>
      <c r="J65" s="40"/>
    </row>
    <row r="66" spans="1:10" ht="15.75">
      <c r="A66" s="337" t="s">
        <v>271</v>
      </c>
      <c r="B66" s="338"/>
      <c r="C66" s="339">
        <f>D61</f>
        <v>557.72801654903196</v>
      </c>
      <c r="D66" s="40"/>
      <c r="E66" s="13"/>
      <c r="F66" s="100" t="s">
        <v>130</v>
      </c>
      <c r="G66" s="13"/>
      <c r="H66" s="217">
        <f>H12*H13</f>
        <v>230</v>
      </c>
      <c r="I66" s="13"/>
      <c r="J66" s="40"/>
    </row>
    <row r="67" spans="1:10" ht="15.75">
      <c r="A67" s="515"/>
      <c r="B67" s="177"/>
      <c r="C67" s="177"/>
      <c r="D67" s="40"/>
      <c r="E67" s="13"/>
      <c r="F67" s="100" t="s">
        <v>469</v>
      </c>
      <c r="G67" s="13"/>
      <c r="H67" s="174">
        <f>IF(B14="yes",Turbo!F21,0)</f>
        <v>0</v>
      </c>
      <c r="I67" s="13"/>
      <c r="J67" s="40"/>
    </row>
    <row r="68" spans="1:10" ht="15.75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5">
        <v>0</v>
      </c>
      <c r="I68" s="13"/>
      <c r="J68" s="40"/>
    </row>
    <row r="69" spans="1:10" ht="15.75">
      <c r="A69" s="103" t="s">
        <v>0</v>
      </c>
      <c r="B69" s="107"/>
      <c r="C69" s="108">
        <f>Debt!E68</f>
        <v>1.3080281603609187</v>
      </c>
      <c r="D69" s="346">
        <f>Debt!E69</f>
        <v>1.2999999999999978</v>
      </c>
      <c r="E69" s="13"/>
      <c r="F69" s="117" t="s">
        <v>309</v>
      </c>
      <c r="G69" s="43"/>
      <c r="H69" s="353">
        <f>SUM(H66:H68)</f>
        <v>230</v>
      </c>
      <c r="I69" s="13"/>
      <c r="J69" s="40"/>
    </row>
    <row r="70" spans="1:10" ht="15.75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75">
      <c r="A71" s="103" t="s">
        <v>335</v>
      </c>
      <c r="B71" s="13"/>
      <c r="C71" s="13"/>
      <c r="D71" s="40"/>
      <c r="E71" s="13"/>
      <c r="F71" s="100" t="s">
        <v>352</v>
      </c>
      <c r="G71" s="13"/>
      <c r="H71" s="246">
        <v>140</v>
      </c>
      <c r="I71" s="13"/>
      <c r="J71" s="40"/>
    </row>
    <row r="72" spans="1:10" ht="15.75">
      <c r="A72" s="100" t="s">
        <v>442</v>
      </c>
      <c r="B72" s="97"/>
      <c r="C72" s="145">
        <f>'Returns Analysis'!C39</f>
        <v>0.11325476765632631</v>
      </c>
      <c r="D72" s="40"/>
      <c r="E72" s="13"/>
      <c r="F72" s="100" t="s">
        <v>267</v>
      </c>
      <c r="G72" s="13"/>
      <c r="H72" s="246">
        <v>400</v>
      </c>
      <c r="I72" s="13"/>
      <c r="J72" s="40"/>
    </row>
    <row r="73" spans="1:10" ht="16.5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0.1188391625881195</v>
      </c>
      <c r="D73" s="169" t="s">
        <v>441</v>
      </c>
      <c r="F73" s="102" t="s">
        <v>174</v>
      </c>
      <c r="G73" s="42"/>
      <c r="H73" s="255">
        <v>2500</v>
      </c>
      <c r="I73" s="42"/>
      <c r="J73" s="81"/>
    </row>
    <row r="74" spans="1:10" ht="15.75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0.12001377940177915</v>
      </c>
      <c r="D74" s="533">
        <v>0.12</v>
      </c>
      <c r="E74" s="97"/>
    </row>
    <row r="75" spans="1:10" ht="15.75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0.12467008233070373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75">
      <c r="A78" s="100" t="s">
        <v>98</v>
      </c>
      <c r="B78" s="110">
        <f>IS!C32</f>
        <v>11534.608154211739</v>
      </c>
      <c r="C78" s="110">
        <f>IS!D32</f>
        <v>17465.727231317618</v>
      </c>
      <c r="D78" s="165">
        <f>IS!E32</f>
        <v>17428.536681317626</v>
      </c>
      <c r="E78" s="13"/>
    </row>
    <row r="79" spans="1:10" ht="15.75">
      <c r="A79" s="100" t="s">
        <v>99</v>
      </c>
      <c r="B79" s="110">
        <f>IS!C45</f>
        <v>2101.5228972448276</v>
      </c>
      <c r="C79" s="110">
        <f>IS!D45</f>
        <v>3489.0409793468748</v>
      </c>
      <c r="D79" s="165">
        <f>IS!E45</f>
        <v>3788.6727914032804</v>
      </c>
      <c r="E79" s="13"/>
    </row>
    <row r="80" spans="1:10" ht="15.75">
      <c r="A80" s="100" t="s">
        <v>100</v>
      </c>
      <c r="B80" s="110">
        <f>'Returns Analysis'!C13</f>
        <v>8381.1293754590042</v>
      </c>
      <c r="C80" s="110">
        <f>'Returns Analysis'!D13</f>
        <v>10263.568898730366</v>
      </c>
      <c r="D80" s="165">
        <f>'Returns Analysis'!E13</f>
        <v>10746.889927799561</v>
      </c>
      <c r="E80" s="13"/>
    </row>
    <row r="81" spans="1:9" ht="16.5" thickBot="1">
      <c r="A81" s="102" t="s">
        <v>365</v>
      </c>
      <c r="B81" s="111">
        <f>'Returns Analysis'!C21</f>
        <v>5970.9415476720205</v>
      </c>
      <c r="C81" s="111">
        <f>'Returns Analysis'!D21</f>
        <v>4071.0350651106055</v>
      </c>
      <c r="D81" s="189">
        <f>'Returns Analysis'!E21</f>
        <v>4014.8375691344208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22" zoomScale="75" zoomScaleNormal="75" workbookViewId="0">
      <selection activeCell="D34" sqref="D3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8" t="s">
        <v>401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4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5" thickBot="1">
      <c r="B8" s="206"/>
      <c r="C8" s="206"/>
      <c r="D8" s="507">
        <f>YEAR(Assumptions!H17)</f>
        <v>2001</v>
      </c>
      <c r="E8" s="507">
        <f t="shared" ref="E8:X8" si="2">D8+1</f>
        <v>2002</v>
      </c>
      <c r="F8" s="507">
        <f t="shared" si="2"/>
        <v>2003</v>
      </c>
      <c r="G8" s="507">
        <f t="shared" si="2"/>
        <v>2004</v>
      </c>
      <c r="H8" s="507">
        <f t="shared" si="2"/>
        <v>2005</v>
      </c>
      <c r="I8" s="507">
        <f t="shared" si="2"/>
        <v>2006</v>
      </c>
      <c r="J8" s="507">
        <f t="shared" si="2"/>
        <v>2007</v>
      </c>
      <c r="K8" s="507">
        <f t="shared" si="2"/>
        <v>2008</v>
      </c>
      <c r="L8" s="507">
        <f t="shared" si="2"/>
        <v>2009</v>
      </c>
      <c r="M8" s="507">
        <f t="shared" si="2"/>
        <v>2010</v>
      </c>
      <c r="N8" s="507">
        <f t="shared" si="2"/>
        <v>2011</v>
      </c>
      <c r="O8" s="507">
        <f t="shared" si="2"/>
        <v>2012</v>
      </c>
      <c r="P8" s="507">
        <f t="shared" si="2"/>
        <v>2013</v>
      </c>
      <c r="Q8" s="507">
        <f t="shared" si="2"/>
        <v>2014</v>
      </c>
      <c r="R8" s="507">
        <f t="shared" si="2"/>
        <v>2015</v>
      </c>
      <c r="S8" s="507">
        <f t="shared" si="2"/>
        <v>2016</v>
      </c>
      <c r="T8" s="507">
        <f t="shared" si="2"/>
        <v>2017</v>
      </c>
      <c r="U8" s="507">
        <f t="shared" si="2"/>
        <v>2018</v>
      </c>
      <c r="V8" s="507">
        <f t="shared" si="2"/>
        <v>2019</v>
      </c>
      <c r="W8" s="507">
        <f t="shared" si="2"/>
        <v>2020</v>
      </c>
      <c r="X8" s="507">
        <f t="shared" si="2"/>
        <v>2021</v>
      </c>
      <c r="Y8" s="507">
        <f>X8+1</f>
        <v>2022</v>
      </c>
      <c r="Z8" s="507">
        <f t="shared" ref="Z8:AG8" si="3">Y8+1</f>
        <v>2023</v>
      </c>
      <c r="AA8" s="507">
        <f t="shared" si="3"/>
        <v>2024</v>
      </c>
      <c r="AB8" s="507">
        <f t="shared" si="3"/>
        <v>2025</v>
      </c>
      <c r="AC8" s="507">
        <f t="shared" si="3"/>
        <v>2026</v>
      </c>
      <c r="AD8" s="507">
        <f t="shared" si="3"/>
        <v>2027</v>
      </c>
      <c r="AE8" s="507">
        <f t="shared" si="3"/>
        <v>2028</v>
      </c>
      <c r="AF8" s="507">
        <f t="shared" si="3"/>
        <v>2029</v>
      </c>
      <c r="AG8" s="507">
        <f t="shared" si="3"/>
        <v>2030</v>
      </c>
      <c r="AH8" s="507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4" t="s">
        <v>414</v>
      </c>
      <c r="C10" s="13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5"/>
      <c r="C11" s="13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304</v>
      </c>
      <c r="C12" s="13"/>
      <c r="D12" s="486">
        <f>Assumptions!$H$54</f>
        <v>6.8265986345353697</v>
      </c>
      <c r="E12" s="486">
        <f>Assumptions!$H$54</f>
        <v>6.8265986345353697</v>
      </c>
      <c r="F12" s="486">
        <f>Assumptions!$H$54</f>
        <v>6.8265986345353697</v>
      </c>
      <c r="G12" s="486">
        <f>Assumptions!$H$54</f>
        <v>6.8265986345353697</v>
      </c>
      <c r="H12" s="486">
        <f>Assumptions!$H$54</f>
        <v>6.8265986345353697</v>
      </c>
      <c r="I12" s="486">
        <f>Assumptions!$H$54</f>
        <v>6.8265986345353697</v>
      </c>
      <c r="J12" s="486">
        <f>Assumptions!$H$54</f>
        <v>6.8265986345353697</v>
      </c>
      <c r="K12" s="486">
        <f>Assumptions!$H$54</f>
        <v>6.8265986345353697</v>
      </c>
      <c r="L12" s="486">
        <f>Assumptions!$H$54</f>
        <v>6.8265986345353697</v>
      </c>
      <c r="M12" s="486">
        <f>Assumptions!$H$54</f>
        <v>6.8265986345353697</v>
      </c>
      <c r="N12" s="486">
        <f>Assumptions!$H$54</f>
        <v>6.8265986345353697</v>
      </c>
      <c r="O12" s="486">
        <f>Assumptions!$H$54</f>
        <v>6.8265986345353697</v>
      </c>
      <c r="P12" s="486">
        <f>Assumptions!$H$54</f>
        <v>6.8265986345353697</v>
      </c>
      <c r="Q12" s="486">
        <f>Assumptions!$H$54</f>
        <v>6.8265986345353697</v>
      </c>
      <c r="R12" s="486">
        <f>Assumptions!$H$54</f>
        <v>6.8265986345353697</v>
      </c>
      <c r="S12" s="486">
        <f>Assumptions!$H$54</f>
        <v>6.8265986345353697</v>
      </c>
      <c r="T12" s="486">
        <f>Assumptions!$H$54</f>
        <v>6.8265986345353697</v>
      </c>
      <c r="U12" s="486">
        <f>Assumptions!$H$54</f>
        <v>6.8265986345353697</v>
      </c>
      <c r="V12" s="486">
        <f>Assumptions!$H$54</f>
        <v>6.8265986345353697</v>
      </c>
      <c r="W12" s="486">
        <f>Assumptions!$H$54</f>
        <v>6.8265986345353697</v>
      </c>
      <c r="X12" s="486">
        <f>Assumptions!$H$54</f>
        <v>6.8265986345353697</v>
      </c>
      <c r="Y12" s="486">
        <f>Assumptions!$H$54</f>
        <v>6.8265986345353697</v>
      </c>
      <c r="Z12" s="486">
        <f>Assumptions!$H$54</f>
        <v>6.8265986345353697</v>
      </c>
      <c r="AA12" s="486">
        <f>Assumptions!$H$54</f>
        <v>6.8265986345353697</v>
      </c>
      <c r="AB12" s="486">
        <f>Assumptions!$H$54</f>
        <v>6.8265986345353697</v>
      </c>
      <c r="AC12" s="486">
        <f>Assumptions!$H$54</f>
        <v>6.8265986345353697</v>
      </c>
      <c r="AD12" s="486">
        <f>Assumptions!$H$54</f>
        <v>6.8265986345353697</v>
      </c>
      <c r="AE12" s="486">
        <f>Assumptions!$H$54</f>
        <v>6.8265986345353697</v>
      </c>
      <c r="AF12" s="486">
        <f>Assumptions!$H$54</f>
        <v>6.8265986345353697</v>
      </c>
      <c r="AG12" s="486">
        <f>Assumptions!$H$54</f>
        <v>6.8265986345353697</v>
      </c>
      <c r="AH12" s="486">
        <f>Assumptions!$H$54</f>
        <v>6.8265986345353697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313</v>
      </c>
      <c r="C14" s="13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87">
        <v>5.4933333333333332</v>
      </c>
      <c r="E15" s="487">
        <v>5.6581333333333328</v>
      </c>
      <c r="F15" s="487">
        <v>5.6457561666666676</v>
      </c>
      <c r="G15" s="487">
        <v>5.7213364508333333</v>
      </c>
      <c r="H15" s="487">
        <v>5.6997641986416658</v>
      </c>
      <c r="I15" s="487">
        <v>5.7712527665568336</v>
      </c>
      <c r="J15" s="487">
        <v>5.8419008607681322</v>
      </c>
      <c r="K15" s="487">
        <v>5.9115937131422074</v>
      </c>
      <c r="L15" s="487">
        <v>6.088941524536474</v>
      </c>
      <c r="M15" s="487">
        <v>6.1596167386605574</v>
      </c>
      <c r="N15" s="487">
        <v>6.3444052408203753</v>
      </c>
      <c r="O15" s="487">
        <v>6.4159239908078041</v>
      </c>
      <c r="P15" s="487">
        <v>6.6084017105320383</v>
      </c>
      <c r="Q15" s="487">
        <v>6.680604618110074</v>
      </c>
      <c r="R15" s="487">
        <v>6.7511921386033125</v>
      </c>
      <c r="S15" s="487">
        <v>6.8200023661698452</v>
      </c>
      <c r="T15" s="487">
        <v>6.8868651344656273</v>
      </c>
      <c r="U15" s="487">
        <v>6.951601666729605</v>
      </c>
      <c r="V15" s="487">
        <v>7.014024212308402</v>
      </c>
      <c r="W15" s="487">
        <v>7.0739356691218687</v>
      </c>
      <c r="X15" s="487">
        <v>7.1311291915530655</v>
      </c>
      <c r="Y15" s="487">
        <v>7.1853877832279265</v>
      </c>
      <c r="Z15" s="487">
        <v>7.2396463749027831</v>
      </c>
      <c r="AA15" s="487">
        <v>7.2939049665776494</v>
      </c>
      <c r="AB15" s="487">
        <v>7.3481635582525087</v>
      </c>
      <c r="AC15" s="487">
        <v>7.402422149927367</v>
      </c>
      <c r="AD15" s="487">
        <v>7.4566807416022245</v>
      </c>
      <c r="AE15" s="487">
        <v>7.5109393332770908</v>
      </c>
      <c r="AF15" s="487">
        <v>7.5651979249519501</v>
      </c>
      <c r="AG15" s="487">
        <v>7.6194565166268085</v>
      </c>
      <c r="AH15" s="487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87">
        <v>4.3775000000000004</v>
      </c>
      <c r="E16" s="487">
        <v>4.5088249999999999</v>
      </c>
      <c r="F16" s="487">
        <v>4.7351503333333334</v>
      </c>
      <c r="G16" s="487">
        <v>4.8772048433333328</v>
      </c>
      <c r="H16" s="487">
        <v>5.023520988633333</v>
      </c>
      <c r="I16" s="487">
        <v>5.1742266182923329</v>
      </c>
      <c r="J16" s="487">
        <v>5.3294534168411039</v>
      </c>
      <c r="K16" s="487">
        <v>5.2782086724483994</v>
      </c>
      <c r="L16" s="487">
        <v>5.2190927353169778</v>
      </c>
      <c r="M16" s="487">
        <v>5.0396864225404565</v>
      </c>
      <c r="N16" s="487">
        <v>4.9601713700959298</v>
      </c>
      <c r="O16" s="487">
        <v>4.8713496967244438</v>
      </c>
      <c r="P16" s="487">
        <v>4.8951123781718797</v>
      </c>
      <c r="Q16" s="487">
        <v>4.9159166057791106</v>
      </c>
      <c r="R16" s="487">
        <v>4.8037328678523572</v>
      </c>
      <c r="S16" s="487">
        <v>4.8141193172963614</v>
      </c>
      <c r="T16" s="487">
        <v>4.8208055941259396</v>
      </c>
      <c r="U16" s="487">
        <v>4.9654297619497179</v>
      </c>
      <c r="V16" s="487">
        <v>5.114392654808209</v>
      </c>
      <c r="W16" s="487">
        <v>5.117315164896671</v>
      </c>
      <c r="X16" s="487">
        <v>5.27083461984357</v>
      </c>
      <c r="Y16" s="487">
        <v>5.4289596584388775</v>
      </c>
      <c r="Z16" s="487">
        <v>5.5870846970341832</v>
      </c>
      <c r="AA16" s="487">
        <v>5.7452097356294916</v>
      </c>
      <c r="AB16" s="487">
        <v>5.9033347742247999</v>
      </c>
      <c r="AC16" s="487">
        <v>6.0614598128201083</v>
      </c>
      <c r="AD16" s="487">
        <v>6.2195848514154086</v>
      </c>
      <c r="AE16" s="487">
        <v>6.377709890010717</v>
      </c>
      <c r="AF16" s="487">
        <v>6.5358349286060253</v>
      </c>
      <c r="AG16" s="487">
        <v>6.6939599672013337</v>
      </c>
      <c r="AH16" s="487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88">
        <v>0</v>
      </c>
      <c r="E17" s="488">
        <v>0</v>
      </c>
      <c r="F17" s="488">
        <v>0</v>
      </c>
      <c r="G17" s="488">
        <v>0</v>
      </c>
      <c r="H17" s="488">
        <v>0</v>
      </c>
      <c r="I17" s="488">
        <v>0</v>
      </c>
      <c r="J17" s="488">
        <v>0</v>
      </c>
      <c r="K17" s="488">
        <v>0</v>
      </c>
      <c r="L17" s="488">
        <v>0</v>
      </c>
      <c r="M17" s="488">
        <v>0</v>
      </c>
      <c r="N17" s="488">
        <v>0</v>
      </c>
      <c r="O17" s="488">
        <v>0</v>
      </c>
      <c r="P17" s="488">
        <v>0</v>
      </c>
      <c r="Q17" s="488">
        <v>0</v>
      </c>
      <c r="R17" s="488">
        <v>0</v>
      </c>
      <c r="S17" s="488">
        <v>0</v>
      </c>
      <c r="T17" s="488">
        <v>0</v>
      </c>
      <c r="U17" s="488">
        <v>0</v>
      </c>
      <c r="V17" s="488">
        <v>0</v>
      </c>
      <c r="W17" s="488">
        <v>0</v>
      </c>
      <c r="X17" s="488">
        <v>0</v>
      </c>
      <c r="Y17" s="488">
        <v>0</v>
      </c>
      <c r="Z17" s="488">
        <v>0</v>
      </c>
      <c r="AA17" s="488">
        <v>0</v>
      </c>
      <c r="AB17" s="488">
        <v>0</v>
      </c>
      <c r="AC17" s="488">
        <v>0</v>
      </c>
      <c r="AD17" s="488">
        <v>0</v>
      </c>
      <c r="AE17" s="488">
        <v>0</v>
      </c>
      <c r="AF17" s="488">
        <v>0</v>
      </c>
      <c r="AG17" s="488">
        <v>0</v>
      </c>
      <c r="AH17" s="488">
        <v>0</v>
      </c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0">
        <v>0</v>
      </c>
      <c r="E18" s="490">
        <v>0</v>
      </c>
      <c r="F18" s="490">
        <v>0</v>
      </c>
      <c r="G18" s="490">
        <v>0</v>
      </c>
      <c r="H18" s="490">
        <v>0</v>
      </c>
      <c r="I18" s="490">
        <v>0</v>
      </c>
      <c r="J18" s="490">
        <v>0</v>
      </c>
      <c r="K18" s="490">
        <v>0</v>
      </c>
      <c r="L18" s="490">
        <v>0</v>
      </c>
      <c r="M18" s="490">
        <v>0</v>
      </c>
      <c r="N18" s="490">
        <v>0</v>
      </c>
      <c r="O18" s="490">
        <v>0</v>
      </c>
      <c r="P18" s="490">
        <v>0</v>
      </c>
      <c r="Q18" s="490">
        <v>0</v>
      </c>
      <c r="R18" s="490">
        <v>0</v>
      </c>
      <c r="S18" s="490">
        <v>0</v>
      </c>
      <c r="T18" s="490">
        <v>0</v>
      </c>
      <c r="U18" s="490">
        <v>0</v>
      </c>
      <c r="V18" s="490">
        <v>0</v>
      </c>
      <c r="W18" s="490">
        <v>0</v>
      </c>
      <c r="X18" s="490">
        <v>0</v>
      </c>
      <c r="Y18" s="490">
        <v>0</v>
      </c>
      <c r="Z18" s="490">
        <v>0</v>
      </c>
      <c r="AA18" s="490">
        <v>0</v>
      </c>
      <c r="AB18" s="490">
        <v>0</v>
      </c>
      <c r="AC18" s="490">
        <v>0</v>
      </c>
      <c r="AD18" s="490">
        <v>0</v>
      </c>
      <c r="AE18" s="490">
        <v>0</v>
      </c>
      <c r="AF18" s="490">
        <v>0</v>
      </c>
      <c r="AG18" s="490">
        <v>0</v>
      </c>
      <c r="AH18" s="490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1">
        <v>1</v>
      </c>
      <c r="B19" s="13" t="s">
        <v>122</v>
      </c>
      <c r="C19" s="492"/>
      <c r="D19" s="493">
        <f t="shared" ref="D19:AH19" si="4">CHOOSE($A$19,D15,D16,D17,D18)</f>
        <v>5.4933333333333332</v>
      </c>
      <c r="E19" s="493">
        <f t="shared" si="4"/>
        <v>5.6581333333333328</v>
      </c>
      <c r="F19" s="493">
        <f t="shared" si="4"/>
        <v>5.6457561666666676</v>
      </c>
      <c r="G19" s="493">
        <f t="shared" si="4"/>
        <v>5.7213364508333333</v>
      </c>
      <c r="H19" s="493">
        <f t="shared" si="4"/>
        <v>5.6997641986416658</v>
      </c>
      <c r="I19" s="493">
        <f t="shared" si="4"/>
        <v>5.7712527665568336</v>
      </c>
      <c r="J19" s="493">
        <f t="shared" si="4"/>
        <v>5.8419008607681322</v>
      </c>
      <c r="K19" s="493">
        <f t="shared" si="4"/>
        <v>5.9115937131422074</v>
      </c>
      <c r="L19" s="493">
        <f t="shared" si="4"/>
        <v>6.088941524536474</v>
      </c>
      <c r="M19" s="493">
        <f t="shared" si="4"/>
        <v>6.1596167386605574</v>
      </c>
      <c r="N19" s="493">
        <f t="shared" si="4"/>
        <v>6.3444052408203753</v>
      </c>
      <c r="O19" s="493">
        <f t="shared" si="4"/>
        <v>6.4159239908078041</v>
      </c>
      <c r="P19" s="493">
        <f t="shared" si="4"/>
        <v>6.6084017105320383</v>
      </c>
      <c r="Q19" s="493">
        <f t="shared" si="4"/>
        <v>6.680604618110074</v>
      </c>
      <c r="R19" s="493">
        <f t="shared" si="4"/>
        <v>6.7511921386033125</v>
      </c>
      <c r="S19" s="493">
        <f t="shared" si="4"/>
        <v>6.8200023661698452</v>
      </c>
      <c r="T19" s="493">
        <f t="shared" si="4"/>
        <v>6.8868651344656273</v>
      </c>
      <c r="U19" s="493">
        <f t="shared" si="4"/>
        <v>6.951601666729605</v>
      </c>
      <c r="V19" s="493">
        <f t="shared" si="4"/>
        <v>7.014024212308402</v>
      </c>
      <c r="W19" s="493">
        <f t="shared" si="4"/>
        <v>7.0739356691218687</v>
      </c>
      <c r="X19" s="493">
        <f t="shared" si="4"/>
        <v>7.1311291915530655</v>
      </c>
      <c r="Y19" s="493">
        <f t="shared" si="4"/>
        <v>7.1853877832279265</v>
      </c>
      <c r="Z19" s="493">
        <f t="shared" si="4"/>
        <v>7.2396463749027831</v>
      </c>
      <c r="AA19" s="493">
        <f t="shared" si="4"/>
        <v>7.2939049665776494</v>
      </c>
      <c r="AB19" s="493">
        <f t="shared" si="4"/>
        <v>7.3481635582525087</v>
      </c>
      <c r="AC19" s="493">
        <f t="shared" si="4"/>
        <v>7.402422149927367</v>
      </c>
      <c r="AD19" s="493">
        <f t="shared" si="4"/>
        <v>7.4566807416022245</v>
      </c>
      <c r="AE19" s="493">
        <f t="shared" si="4"/>
        <v>7.5109393332770908</v>
      </c>
      <c r="AF19" s="493">
        <f t="shared" si="4"/>
        <v>7.5651979249519501</v>
      </c>
      <c r="AG19" s="493">
        <f t="shared" si="4"/>
        <v>7.6194565166268085</v>
      </c>
      <c r="AH19" s="493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2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5"/>
      <c r="Z20" s="496"/>
      <c r="AA20" s="496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307</v>
      </c>
      <c r="C21" s="492"/>
      <c r="D21" s="497">
        <f>IF(AND(C7&lt;$D$7+Assumptions!$H$53,D7&lt;$D$7+Assumptions!$H$53),D12,IF(AND(C7&lt;$D$7+Assumptions!$H$53,D7&gt;$D$7+Assumptions!$H$53),D12*(1-$D$7)+D19*$D$7,D19))</f>
        <v>6.8265986345353697</v>
      </c>
      <c r="E21" s="498">
        <f>IF(AND(D7&lt;$D$7+Assumptions!$H$53,E7&lt;$D$7+Assumptions!$H$53),E12,IF(AND(D7&lt;$D$7+Assumptions!$H$53,E7&gt;=$D$7+Assumptions!$H$53),E12*(1-$D$7)+E19*$D$7,E19))</f>
        <v>6.8265986345353697</v>
      </c>
      <c r="F21" s="498">
        <f>IF(AND(E7&lt;$D$7+Assumptions!$H$53,F7&lt;$D$7+Assumptions!$H$53),F12,IF(AND(E7&lt;$D$7+Assumptions!$H$53,F7&gt;=$D$7+Assumptions!$H$53),F12*(1-$D$7)+F19*$D$7,F19))</f>
        <v>6.8265986345353697</v>
      </c>
      <c r="G21" s="498">
        <f>IF(AND(F7&lt;$D$7+Assumptions!$H$53,G7&lt;$D$7+Assumptions!$H$53),G12,IF(AND(F7&lt;$D$7+Assumptions!$H$53,G7&gt;=$D$7+Assumptions!$H$53),G12*(1-$D$7)+G19*$D$7,G19))</f>
        <v>6.8265986345353697</v>
      </c>
      <c r="H21" s="498">
        <f>IF(AND(G7&lt;$D$7+Assumptions!$H$53,H7&lt;$D$7+Assumptions!$H$53),H12,IF(AND(G7&lt;$D$7+Assumptions!$H$53,H7&gt;=$D$7+Assumptions!$H$53),H12*(1-$D$7)+H19*$D$7,H19))</f>
        <v>6.8265986345353697</v>
      </c>
      <c r="I21" s="498">
        <f>IF(AND(H7&lt;$D$7+Assumptions!$H$53,I7&lt;$D$7+Assumptions!$H$53),I12,IF(AND(H7&lt;$D$7+Assumptions!$H$53,I7&gt;=$D$7+Assumptions!$H$53),I12*(1-$D$7)+I19*$D$7,I19))</f>
        <v>6.8265986345353697</v>
      </c>
      <c r="J21" s="498">
        <f>IF(AND(I7&lt;$D$7+Assumptions!$H$53,J7&lt;$D$7+Assumptions!$H$53),J12,IF(AND(I7&lt;$D$7+Assumptions!$H$53,J7&gt;=$D$7+Assumptions!$H$53),J12*(1-$D$7)+J19*$D$7,J19))</f>
        <v>6.8265986345353697</v>
      </c>
      <c r="K21" s="498">
        <f>IF(AND(J7&lt;$D$7+Assumptions!$H$53,K7&lt;$D$7+Assumptions!$H$53),K12,IF(AND(J7&lt;$D$7+Assumptions!$H$53,K7&gt;=$D$7+Assumptions!$H$53),K12*(1-$D$7)+K19*$D$7,K19))</f>
        <v>6.8265986345353697</v>
      </c>
      <c r="L21" s="498">
        <f>IF(AND(K7&lt;$D$7+Assumptions!$H$53,L7&lt;$D$7+Assumptions!$H$53),L12,IF(AND(K7&lt;$D$7+Assumptions!$H$53,L7&gt;=$D$7+Assumptions!$H$53),L12*(1-$D$7)+L19*$D$7,L19))</f>
        <v>6.8265986345353697</v>
      </c>
      <c r="M21" s="498">
        <f>IF(AND(L7&lt;$D$7+Assumptions!$H$53,M7&lt;$D$7+Assumptions!$H$53),M12,IF(AND(L7&lt;$D$7+Assumptions!$H$53,M7&gt;=$D$7+Assumptions!$H$53),M12*(1-$D$7)+M19*$D$7,M19))</f>
        <v>6.8265986345353697</v>
      </c>
      <c r="N21" s="498">
        <f>IF(AND(M7&lt;$D$7+Assumptions!$H$53,N7&lt;$D$7+Assumptions!$H$53),N12,IF(AND(M7&lt;$D$7+Assumptions!$H$53,N7&gt;=$D$7+Assumptions!$H$53),N12*(1-$D$7)+N19*$D$7,N19))</f>
        <v>6.8265986345353697</v>
      </c>
      <c r="O21" s="498">
        <f>IF(AND(N7&lt;$D$7+Assumptions!$H$53,O7&lt;$D$7+Assumptions!$H$53),O12,IF(AND(N7&lt;$D$7+Assumptions!$H$53,O7&gt;=$D$7+Assumptions!$H$53),O12*(1-$D$7)+O19*$D$7,O19))</f>
        <v>6.8265986345353697</v>
      </c>
      <c r="P21" s="498">
        <f>IF(AND(O7&lt;$D$7+Assumptions!$H$53,P7&lt;$D$7+Assumptions!$H$53),P12,IF(AND(O7&lt;$D$7+Assumptions!$H$53,P7&gt;=$D$7+Assumptions!$H$53),P12*(1-$D$7)+P19*$D$7,P19))</f>
        <v>6.8265986345353697</v>
      </c>
      <c r="Q21" s="498">
        <f>IF(AND(P7&lt;$D$7+Assumptions!$H$53,Q7&lt;$D$7+Assumptions!$H$53),Q12,IF(AND(P7&lt;$D$7+Assumptions!$H$53,Q7&gt;=$D$7+Assumptions!$H$53),Q12*(1-$D$7)+Q19*$D$7,Q19))</f>
        <v>6.8265986345353697</v>
      </c>
      <c r="R21" s="499">
        <f>IF(AND(Q7&lt;$D$7+Assumptions!$H$53,R7&lt;$D$7+Assumptions!$H$53),R12,IF(AND(Q7&lt;$D$7+Assumptions!$H$53,R7&gt;=$D$7+Assumptions!$H$53),R12*(1-$D$7)+R19*$D$7,R19))</f>
        <v>6.8265986345353697</v>
      </c>
      <c r="S21" s="497">
        <f>IF(AND(R7&lt;$D$7+Assumptions!$H$53,S7&lt;$D$7+Assumptions!$H$53),S12,IF(AND(R7&lt;$D$7+Assumptions!$H$53,S7&gt;=$D$7+Assumptions!$H$53),S12*(1-$D$7)+S19*$D$7,S19))</f>
        <v>6.8265986345353697</v>
      </c>
      <c r="T21" s="498">
        <f>IF(AND(S7&lt;$D$7+Assumptions!$H$53,T7&lt;$D$7+Assumptions!$H$53),T12,IF(AND(S7&lt;$D$7+Assumptions!$H$53,T7&gt;=$D$7+Assumptions!$H$53),T12*(1-$D$7)+T19*$D$7,T19))</f>
        <v>6.8265986345353697</v>
      </c>
      <c r="U21" s="498">
        <f>IF(AND(T7&lt;$D$7+Assumptions!$H$53,U7&lt;$D$7+Assumptions!$H$53),U12,IF(AND(T7&lt;$D$7+Assumptions!$H$53,U7&gt;=$D$7+Assumptions!$H$53),U12*(1-$D$7)+U19*$D$7,U19))</f>
        <v>6.8265986345353697</v>
      </c>
      <c r="V21" s="498">
        <f>IF(AND(U7&lt;$D$7+Assumptions!$H$53,V7&lt;$D$7+Assumptions!$H$53),V12,IF(AND(U7&lt;$D$7+Assumptions!$H$53,V7&gt;=$D$7+Assumptions!$H$53),V12*(1-$D$7)+V19*$D$7,V19))</f>
        <v>6.8265986345353697</v>
      </c>
      <c r="W21" s="498">
        <f>IF(AND(V7&lt;$D$7+Assumptions!$H$53,W7&lt;$D$7+Assumptions!$H$53),W12,IF(AND(V7&lt;$D$7+Assumptions!$H$53,W7&gt;=$D$7+Assumptions!$H$53),W12*(1-$D$7)+W19*$D$7,W19))</f>
        <v>6.8265986345353697</v>
      </c>
      <c r="X21" s="498">
        <f>IF(AND(W7&lt;$D$7+Assumptions!$H$53,X7&lt;$D$7+Assumptions!$H$53),X12,IF(AND(W7&lt;$D$7+Assumptions!$H$53,X7&gt;=$D$7+Assumptions!$H$53),X12*(1-$D$7)+X19*$D$7,X19))</f>
        <v>7.0296190058804999</v>
      </c>
      <c r="Y21" s="498">
        <f>IF(AND(X7&lt;$D$7+Assumptions!$H$53,Y7&lt;$D$7+Assumptions!$H$53),Y12,IF(AND(X7&lt;$D$7+Assumptions!$H$53,Y7&gt;=$D$7+Assumptions!$H$53),Y12*(1-$D$7)+Y19*$D$7,Y19))</f>
        <v>7.1853877832279265</v>
      </c>
      <c r="Z21" s="498">
        <f>IF(AND(Y7&lt;$D$7+Assumptions!$H$53,Z7&lt;$D$7+Assumptions!$H$53),Z12,IF(AND(Y7&lt;$D$7+Assumptions!$H$53,Z7&gt;=$D$7+Assumptions!$H$53),Z12*(1-$D$7)+Z19*$D$7,Z19))</f>
        <v>7.2396463749027831</v>
      </c>
      <c r="AA21" s="498">
        <f>IF(AND(Z7&lt;$D$7+Assumptions!$H$53,AA7&lt;$D$7+Assumptions!$H$53),AA12,IF(AND(Z7&lt;$D$7+Assumptions!$H$53,AA7&gt;=$D$7+Assumptions!$H$53),AA12*(1-$D$7)+AA19*$D$7,AA19))</f>
        <v>7.2939049665776494</v>
      </c>
      <c r="AB21" s="498">
        <f>IF(AND(AA7&lt;$D$7+Assumptions!$H$53,AB7&lt;$D$7+Assumptions!$H$53),AB12,IF(AND(AA7&lt;$D$7+Assumptions!$H$53,AB7&gt;=$D$7+Assumptions!$H$53),AB12*(1-$D$7)+AB19*$D$7,AB19))</f>
        <v>7.3481635582525087</v>
      </c>
      <c r="AC21" s="498">
        <f>IF(AND(AB7&lt;$D$7+Assumptions!$H$53,AC7&lt;$D$7+Assumptions!$H$53),AC12,IF(AND(AB7&lt;$D$7+Assumptions!$H$53,AC7&gt;=$D$7+Assumptions!$H$53),AC12*(1-$D$7)+AC19*$D$7,AC19))</f>
        <v>7.402422149927367</v>
      </c>
      <c r="AD21" s="498">
        <f>IF(AND(AC7&lt;$D$7+Assumptions!$H$53,AD7&lt;$D$7+Assumptions!$H$53),AD12,IF(AND(AC7&lt;$D$7+Assumptions!$H$53,AD7&gt;=$D$7+Assumptions!$H$53),AD12*(1-$D$7)+AD19*$D$7,AD19))</f>
        <v>7.4566807416022245</v>
      </c>
      <c r="AE21" s="498">
        <f>IF(AND(AD7&lt;$D$7+Assumptions!$H$53,AE7&lt;$D$7+Assumptions!$H$53),AE12,IF(AND(AD7&lt;$D$7+Assumptions!$H$53,AE7&gt;=$D$7+Assumptions!$H$53),AE12*(1-$D$7)+AE19*$D$7,AE19))</f>
        <v>7.5109393332770908</v>
      </c>
      <c r="AF21" s="498">
        <f>IF(AND(AE7&lt;$D$7+Assumptions!$H$53,AF7&lt;$D$7+Assumptions!$H$53),AF12,IF(AND(AE7&lt;$D$7+Assumptions!$H$53,AF7&gt;=$D$7+Assumptions!$H$53),AF12*(1-$D$7)+AF19*$D$7,AF19))</f>
        <v>7.5651979249519501</v>
      </c>
      <c r="AG21" s="498">
        <f>IF(AND(AF7&lt;$D$7+Assumptions!$H$53,AG7&lt;$D$7+Assumptions!$H$53),AG12,IF(AND(AF7&lt;$D$7+Assumptions!$H$53,AG7&gt;=$D$7+Assumptions!$H$53),AG12*(1-$D$7)+AG19*$D$7,AG19))</f>
        <v>7.6194565166268085</v>
      </c>
      <c r="AH21" s="499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2"/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4"/>
      <c r="S22" s="494"/>
      <c r="T22" s="494"/>
      <c r="U22" s="494"/>
      <c r="V22" s="494"/>
      <c r="W22" s="494"/>
      <c r="X22" s="494"/>
      <c r="Y22" s="495"/>
      <c r="Z22" s="496"/>
      <c r="AA22" s="496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4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00"/>
      <c r="D25" s="488">
        <f>'Gas Curve'!G5</f>
        <v>3.1783749999999995</v>
      </c>
      <c r="E25" s="488">
        <f>'Gas Curve'!G6</f>
        <v>3.1596666666666668</v>
      </c>
      <c r="F25" s="488">
        <f>'Gas Curve'!G7</f>
        <v>3.1917083333333331</v>
      </c>
      <c r="G25" s="488">
        <f>'Gas Curve'!G8</f>
        <v>3.2408750000000004</v>
      </c>
      <c r="H25" s="488">
        <f>'Gas Curve'!G9</f>
        <v>3.300041666666667</v>
      </c>
      <c r="I25" s="488">
        <f>'Gas Curve'!G10</f>
        <v>3.3629583333333333</v>
      </c>
      <c r="J25" s="488">
        <f>'Gas Curve'!G11</f>
        <v>3.4279583333333341</v>
      </c>
      <c r="K25" s="488">
        <f>'Gas Curve'!G12</f>
        <v>3.4979583333333335</v>
      </c>
      <c r="L25" s="488">
        <f>'Gas Curve'!G13</f>
        <v>3.5729583333333337</v>
      </c>
      <c r="M25" s="488">
        <f>'Gas Curve'!G14</f>
        <v>3.6529583333333329</v>
      </c>
      <c r="N25" s="488">
        <f>'Gas Curve'!G15</f>
        <v>3.7379583333333333</v>
      </c>
      <c r="O25" s="488">
        <f>'Gas Curve'!G16</f>
        <v>3.8160833333333337</v>
      </c>
      <c r="P25" s="488">
        <f>'Gas Curve'!G17</f>
        <v>3.8856666666666668</v>
      </c>
      <c r="Q25" s="488">
        <f>'Gas Curve'!G18</f>
        <v>4.0229583333333343</v>
      </c>
      <c r="R25" s="488">
        <f>'Gas Curve'!G19</f>
        <v>4.127958333333333</v>
      </c>
      <c r="S25" s="488">
        <f>'Gas Curve'!G20</f>
        <v>4.2379583333333333</v>
      </c>
      <c r="T25" s="488">
        <f>'Gas Curve'!G21</f>
        <v>4.3529583333333335</v>
      </c>
      <c r="U25" s="488">
        <f>'Gas Curve'!G22</f>
        <v>4.4729583333333336</v>
      </c>
      <c r="V25" s="488">
        <f>'Gas Curve'!G23</f>
        <v>4.5979583333333336</v>
      </c>
      <c r="W25" s="488">
        <f>'Gas Curve'!G24</f>
        <v>4.7279583333333335</v>
      </c>
      <c r="X25" s="488">
        <f>'Gas Curve'!G25</f>
        <v>4.8629583333333333</v>
      </c>
      <c r="Y25" s="488">
        <v>2.2000000000000002</v>
      </c>
      <c r="Z25" s="488">
        <v>2.2000000000000002</v>
      </c>
      <c r="AA25" s="488">
        <v>2.2000000000000002</v>
      </c>
      <c r="AB25" s="488">
        <v>2.2000000000000002</v>
      </c>
      <c r="AC25" s="488">
        <v>2.2000000000000002</v>
      </c>
      <c r="AD25" s="488">
        <v>2.2000000000000002</v>
      </c>
      <c r="AE25" s="488">
        <v>2.2000000000000002</v>
      </c>
      <c r="AF25" s="488">
        <v>2.2000000000000002</v>
      </c>
      <c r="AG25" s="488">
        <v>2.2000000000000002</v>
      </c>
      <c r="AH25" s="488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88">
        <v>2.5</v>
      </c>
      <c r="E26" s="488">
        <v>2.5</v>
      </c>
      <c r="F26" s="488">
        <v>2.5</v>
      </c>
      <c r="G26" s="488">
        <v>2.5</v>
      </c>
      <c r="H26" s="488">
        <v>2.5</v>
      </c>
      <c r="I26" s="488">
        <v>2.5</v>
      </c>
      <c r="J26" s="488">
        <v>2.5</v>
      </c>
      <c r="K26" s="488">
        <v>2.5</v>
      </c>
      <c r="L26" s="488">
        <v>2.5</v>
      </c>
      <c r="M26" s="488">
        <v>2.5</v>
      </c>
      <c r="N26" s="488">
        <v>2.5</v>
      </c>
      <c r="O26" s="488">
        <v>2.5</v>
      </c>
      <c r="P26" s="488">
        <v>2.5</v>
      </c>
      <c r="Q26" s="488">
        <v>2.5</v>
      </c>
      <c r="R26" s="488">
        <v>2.5</v>
      </c>
      <c r="S26" s="488">
        <v>2.5</v>
      </c>
      <c r="T26" s="488">
        <v>2.5</v>
      </c>
      <c r="U26" s="488">
        <v>2.5</v>
      </c>
      <c r="V26" s="488">
        <v>2.5</v>
      </c>
      <c r="W26" s="488">
        <v>2.5</v>
      </c>
      <c r="X26" s="488">
        <v>2.5</v>
      </c>
      <c r="Y26" s="488">
        <v>2.5</v>
      </c>
      <c r="Z26" s="488">
        <v>2.5</v>
      </c>
      <c r="AA26" s="488">
        <v>2.5</v>
      </c>
      <c r="AB26" s="488">
        <v>2.5</v>
      </c>
      <c r="AC26" s="488">
        <v>2.5</v>
      </c>
      <c r="AD26" s="488">
        <v>2.5</v>
      </c>
      <c r="AE26" s="488">
        <v>2.5</v>
      </c>
      <c r="AF26" s="488">
        <v>2.5</v>
      </c>
      <c r="AG26" s="488">
        <v>2.5</v>
      </c>
      <c r="AH26" s="488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1">
        <v>1.5</v>
      </c>
      <c r="E27" s="501">
        <v>1.5</v>
      </c>
      <c r="F27" s="501">
        <v>1.5</v>
      </c>
      <c r="G27" s="501">
        <v>1.5</v>
      </c>
      <c r="H27" s="501">
        <v>1.5</v>
      </c>
      <c r="I27" s="501">
        <v>1.5</v>
      </c>
      <c r="J27" s="501">
        <v>1.5</v>
      </c>
      <c r="K27" s="501">
        <v>1.5</v>
      </c>
      <c r="L27" s="501">
        <v>1.5</v>
      </c>
      <c r="M27" s="501">
        <v>1.5</v>
      </c>
      <c r="N27" s="501">
        <v>1.5</v>
      </c>
      <c r="O27" s="501">
        <v>1.5</v>
      </c>
      <c r="P27" s="501">
        <v>1.5</v>
      </c>
      <c r="Q27" s="501">
        <v>1.5</v>
      </c>
      <c r="R27" s="501">
        <v>1.5</v>
      </c>
      <c r="S27" s="501">
        <v>1.5</v>
      </c>
      <c r="T27" s="501">
        <v>1.5</v>
      </c>
      <c r="U27" s="501">
        <v>1.5</v>
      </c>
      <c r="V27" s="501">
        <v>1.5</v>
      </c>
      <c r="W27" s="501">
        <v>1.5</v>
      </c>
      <c r="X27" s="501">
        <v>1.5</v>
      </c>
      <c r="Y27" s="501">
        <v>1.5</v>
      </c>
      <c r="Z27" s="501">
        <v>1.5</v>
      </c>
      <c r="AA27" s="501">
        <v>1.5</v>
      </c>
      <c r="AB27" s="501">
        <v>1.5</v>
      </c>
      <c r="AC27" s="501">
        <v>1.5</v>
      </c>
      <c r="AD27" s="501">
        <v>1.5</v>
      </c>
      <c r="AE27" s="501">
        <v>1.5</v>
      </c>
      <c r="AF27" s="501">
        <v>1.5</v>
      </c>
      <c r="AG27" s="501">
        <v>1.5</v>
      </c>
      <c r="AH27" s="501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2">
        <f>Assumptions!$N$54</f>
        <v>1.4999999999999999E-2</v>
      </c>
      <c r="E28" s="502">
        <f>Assumptions!$N$54</f>
        <v>1.4999999999999999E-2</v>
      </c>
      <c r="F28" s="502">
        <f>Assumptions!$N$54</f>
        <v>1.4999999999999999E-2</v>
      </c>
      <c r="G28" s="502">
        <f>Assumptions!$N$54</f>
        <v>1.4999999999999999E-2</v>
      </c>
      <c r="H28" s="502">
        <f>Assumptions!$N$54</f>
        <v>1.4999999999999999E-2</v>
      </c>
      <c r="I28" s="502">
        <f>Assumptions!$N$54</f>
        <v>1.4999999999999999E-2</v>
      </c>
      <c r="J28" s="502">
        <f>Assumptions!$N$54</f>
        <v>1.4999999999999999E-2</v>
      </c>
      <c r="K28" s="502">
        <f>Assumptions!$N$54</f>
        <v>1.4999999999999999E-2</v>
      </c>
      <c r="L28" s="502">
        <f>Assumptions!$N$54</f>
        <v>1.4999999999999999E-2</v>
      </c>
      <c r="M28" s="502">
        <f>Assumptions!$N$54</f>
        <v>1.4999999999999999E-2</v>
      </c>
      <c r="N28" s="502">
        <f>Assumptions!$N$54</f>
        <v>1.4999999999999999E-2</v>
      </c>
      <c r="O28" s="502">
        <f>Assumptions!$N$54</f>
        <v>1.4999999999999999E-2</v>
      </c>
      <c r="P28" s="502">
        <f>Assumptions!$N$54</f>
        <v>1.4999999999999999E-2</v>
      </c>
      <c r="Q28" s="502">
        <f>Assumptions!$N$54</f>
        <v>1.4999999999999999E-2</v>
      </c>
      <c r="R28" s="502">
        <f>Assumptions!$N$54</f>
        <v>1.4999999999999999E-2</v>
      </c>
      <c r="S28" s="502">
        <f>Assumptions!$N$54</f>
        <v>1.4999999999999999E-2</v>
      </c>
      <c r="T28" s="502">
        <f>Assumptions!$N$54</f>
        <v>1.4999999999999999E-2</v>
      </c>
      <c r="U28" s="502">
        <f>Assumptions!$N$54</f>
        <v>1.4999999999999999E-2</v>
      </c>
      <c r="V28" s="502">
        <f>Assumptions!$N$54</f>
        <v>1.4999999999999999E-2</v>
      </c>
      <c r="W28" s="502">
        <f>Assumptions!$N$54</f>
        <v>1.4999999999999999E-2</v>
      </c>
      <c r="X28" s="502">
        <f>Assumptions!$N$54</f>
        <v>1.4999999999999999E-2</v>
      </c>
      <c r="Y28" s="502">
        <f>Assumptions!$N$54</f>
        <v>1.4999999999999999E-2</v>
      </c>
      <c r="Z28" s="502">
        <f>Assumptions!$N$54</f>
        <v>1.4999999999999999E-2</v>
      </c>
      <c r="AA28" s="502">
        <f>Assumptions!$N$54</f>
        <v>1.4999999999999999E-2</v>
      </c>
      <c r="AB28" s="502">
        <f>Assumptions!$N$54</f>
        <v>1.4999999999999999E-2</v>
      </c>
      <c r="AC28" s="502">
        <f>Assumptions!$N$54</f>
        <v>1.4999999999999999E-2</v>
      </c>
      <c r="AD28" s="502">
        <f>Assumptions!$N$54</f>
        <v>1.4999999999999999E-2</v>
      </c>
      <c r="AE28" s="502">
        <f>Assumptions!$N$54</f>
        <v>1.4999999999999999E-2</v>
      </c>
      <c r="AF28" s="502">
        <f>Assumptions!$N$54</f>
        <v>1.4999999999999999E-2</v>
      </c>
      <c r="AG28" s="502">
        <f>Assumptions!$N$54</f>
        <v>1.4999999999999999E-2</v>
      </c>
      <c r="AH28" s="502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1">
        <f>Assumptions!U13</f>
        <v>1</v>
      </c>
      <c r="B30" s="43" t="s">
        <v>235</v>
      </c>
      <c r="C30" s="12"/>
      <c r="D30" s="503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4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4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4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4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4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4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4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4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4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4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4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4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4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05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3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4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4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4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4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4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4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4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4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4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4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4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4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4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4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5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4" t="s">
        <v>392</v>
      </c>
      <c r="C33" s="13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89">
        <f>D44*'Price_Technical Assumption'!D30/1000</f>
        <v>33.234773538749991</v>
      </c>
      <c r="E34" s="489">
        <f>E44*'Price_Technical Assumption'!E30/1000</f>
        <v>33.039149290000005</v>
      </c>
      <c r="F34" s="489">
        <f>F44*'Price_Technical Assumption'!F30/1000</f>
        <v>33.374193938749997</v>
      </c>
      <c r="G34" s="489">
        <f>G44*'Price_Technical Assumption'!G30/1000</f>
        <v>33.888306663750001</v>
      </c>
      <c r="H34" s="489">
        <f>H44*'Price_Technical Assumption'!H30/1000</f>
        <v>34.506984688750002</v>
      </c>
      <c r="I34" s="489">
        <f>I44*'Price_Technical Assumption'!I30/1000</f>
        <v>35.164874701249992</v>
      </c>
      <c r="J34" s="489">
        <f>J44*'Price_Technical Assumption'!J30/1000</f>
        <v>35.84454915125</v>
      </c>
      <c r="K34" s="489">
        <f>K44*'Price_Technical Assumption'!K30/1000</f>
        <v>36.576506251250002</v>
      </c>
      <c r="L34" s="489">
        <f>L44*'Price_Technical Assumption'!L30/1000</f>
        <v>37.36074600125</v>
      </c>
      <c r="M34" s="489">
        <f>M44*'Price_Technical Assumption'!M30/1000</f>
        <v>38.197268401249993</v>
      </c>
      <c r="N34" s="489">
        <f>N44*'Price_Technical Assumption'!N30/1000</f>
        <v>39.086073451249995</v>
      </c>
      <c r="O34" s="489">
        <f>O44*'Price_Technical Assumption'!O30/1000</f>
        <v>39.902989857500003</v>
      </c>
      <c r="P34" s="489">
        <f>P44*'Price_Technical Assumption'!P30/1000</f>
        <v>40.630590069999997</v>
      </c>
      <c r="Q34" s="489">
        <f>Q44*'Price_Technical Assumption'!Q30/1000</f>
        <v>42.066184501250007</v>
      </c>
      <c r="R34" s="489">
        <f>R44*'Price_Technical Assumption'!R30/1000</f>
        <v>43.164120151249989</v>
      </c>
      <c r="S34" s="489">
        <f>S44*'Price_Technical Assumption'!S30/1000</f>
        <v>44.314338451249988</v>
      </c>
      <c r="T34" s="489">
        <f>T44*'Price_Technical Assumption'!T30/1000</f>
        <v>45.516839401249996</v>
      </c>
      <c r="U34" s="489">
        <f>U44*'Price_Technical Assumption'!U30/1000</f>
        <v>46.771623001249999</v>
      </c>
      <c r="V34" s="489">
        <f>V44*'Price_Technical Assumption'!V30/1000</f>
        <v>48.07868925124999</v>
      </c>
      <c r="W34" s="489">
        <f>W44*'Price_Technical Assumption'!W30/1000</f>
        <v>49.438038151250005</v>
      </c>
      <c r="X34" s="489">
        <f>X44*'Price_Technical Assumption'!X30/1000</f>
        <v>50.849669701249994</v>
      </c>
      <c r="Y34" s="489">
        <f>Y44*'Price_Technical Assumption'!Y30/1000</f>
        <v>23.004366000000001</v>
      </c>
      <c r="Z34" s="489">
        <f>Z44*'Price_Technical Assumption'!Z30/1000</f>
        <v>23.004366000000001</v>
      </c>
      <c r="AA34" s="489">
        <f>AA44*'Price_Technical Assumption'!AA30/1000</f>
        <v>23.004366000000001</v>
      </c>
      <c r="AB34" s="489">
        <f>AB44*'Price_Technical Assumption'!AB30/1000</f>
        <v>23.004366000000001</v>
      </c>
      <c r="AC34" s="489">
        <f>AC44*'Price_Technical Assumption'!AC30/1000</f>
        <v>23.004366000000001</v>
      </c>
      <c r="AD34" s="489">
        <f>AD44*'Price_Technical Assumption'!AD30/1000</f>
        <v>23.004366000000001</v>
      </c>
      <c r="AE34" s="489">
        <f>AE44*'Price_Technical Assumption'!AE30/1000</f>
        <v>23.004366000000001</v>
      </c>
      <c r="AF34" s="489">
        <f>AF44*'Price_Technical Assumption'!AF30/1000</f>
        <v>23.004366000000001</v>
      </c>
      <c r="AG34" s="489">
        <f>AG44*'Price_Technical Assumption'!AG30/1000</f>
        <v>23.004366000000001</v>
      </c>
      <c r="AH34" s="489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69"/>
      <c r="D35" s="506">
        <f>Assumptions!$H$60*(1+Assumptions!$N$11)^(D7)</f>
        <v>1.1463690729534224</v>
      </c>
      <c r="E35" s="506">
        <f>Assumptions!$H$60*(1+Assumptions!$N$11)^(E7)</f>
        <v>1.1807601451420249</v>
      </c>
      <c r="F35" s="506">
        <f>Assumptions!$H$60*(1+Assumptions!$N$11)^(F7)</f>
        <v>1.2161829494962859</v>
      </c>
      <c r="G35" s="506">
        <f>Assumptions!$H$60*(1+Assumptions!$N$11)^(G7)</f>
        <v>1.2526684379811746</v>
      </c>
      <c r="H35" s="506">
        <f>Assumptions!$H$60*(1+Assumptions!$N$11)^(H7)</f>
        <v>1.2902484911206096</v>
      </c>
      <c r="I35" s="506">
        <f>Assumptions!$H$60*(1+Assumptions!$N$11)^(I7)</f>
        <v>1.3289559458542279</v>
      </c>
      <c r="J35" s="506">
        <f>Assumptions!$H$60*(1+Assumptions!$N$11)^(J7)</f>
        <v>1.368824624229855</v>
      </c>
      <c r="K35" s="506">
        <f>Assumptions!$H$60*(1+Assumptions!$N$11)^(K7)</f>
        <v>1.4098893629567506</v>
      </c>
      <c r="L35" s="506">
        <f>Assumptions!$H$60*(1+Assumptions!$N$11)^(L7)</f>
        <v>1.452186043845453</v>
      </c>
      <c r="M35" s="506">
        <f>Assumptions!$H$60*(1+Assumptions!$N$11)^(M7)</f>
        <v>1.4957516251608167</v>
      </c>
      <c r="N35" s="506">
        <f>Assumptions!$H$60*(1+Assumptions!$N$11)^(N7)</f>
        <v>1.5406241739156412</v>
      </c>
      <c r="O35" s="506">
        <f>Assumptions!$H$60*(1+Assumptions!$N$11)^(O7)</f>
        <v>1.5868428991331105</v>
      </c>
      <c r="P35" s="506">
        <f>Assumptions!$H$60*(1+Assumptions!$N$11)^(P7)</f>
        <v>1.6344481861071039</v>
      </c>
      <c r="Q35" s="506">
        <f>Assumptions!$H$60*(1+Assumptions!$N$11)^(Q7)</f>
        <v>1.6834816316903169</v>
      </c>
      <c r="R35" s="506">
        <f>Assumptions!$H$60*(1+Assumptions!$N$11)^(R7)</f>
        <v>1.7339860806410266</v>
      </c>
      <c r="S35" s="506">
        <f>Assumptions!$H$60*(1+Assumptions!$N$11)^(S7)</f>
        <v>1.7860056630602574</v>
      </c>
      <c r="T35" s="506">
        <f>Assumptions!$H$60*(1+Assumptions!$N$11)^(T7)</f>
        <v>1.8395858329520651</v>
      </c>
      <c r="U35" s="506">
        <f>Assumptions!$H$60*(1+Assumptions!$N$11)^(U7)</f>
        <v>1.8947734079406271</v>
      </c>
      <c r="V35" s="506">
        <f>Assumptions!$H$60*(1+Assumptions!$N$11)^(V7)</f>
        <v>1.9516166101788461</v>
      </c>
      <c r="W35" s="506">
        <f>Assumptions!$H$60*(1+Assumptions!$N$11)^(W7)</f>
        <v>2.0101651084842116</v>
      </c>
      <c r="X35" s="506">
        <f>Assumptions!$H$60*(1+Assumptions!$N$11)^(X7)</f>
        <v>2.0704700617387375</v>
      </c>
      <c r="Y35" s="506">
        <f>Assumptions!$H$60*(1+Assumptions!$N$11)^(Y7)</f>
        <v>2.1325841635909</v>
      </c>
      <c r="Z35" s="506">
        <f>Assumptions!$H$60*(1+Assumptions!$N$11)^(Z7)</f>
        <v>2.196561688498627</v>
      </c>
      <c r="AA35" s="506">
        <f>Assumptions!$H$60*(1+Assumptions!$N$11)^(AA7)</f>
        <v>2.2624585391535863</v>
      </c>
      <c r="AB35" s="506">
        <f>Assumptions!$H$60*(1+Assumptions!$N$11)^(AB7)</f>
        <v>2.3303322953281937</v>
      </c>
      <c r="AC35" s="506">
        <f>Assumptions!$H$60*(1+Assumptions!$N$11)^(AC7)</f>
        <v>2.4002422641880394</v>
      </c>
      <c r="AD35" s="506">
        <f>Assumptions!$H$60*(1+Assumptions!$N$11)^(AD7)</f>
        <v>2.4722495321136813</v>
      </c>
      <c r="AE35" s="506">
        <f>Assumptions!$H$60*(1+Assumptions!$N$11)^(AE7)</f>
        <v>2.5464170180770913</v>
      </c>
      <c r="AF35" s="506">
        <f>Assumptions!$H$60*(1+Assumptions!$N$11)^(AF7)</f>
        <v>2.622809528619404</v>
      </c>
      <c r="AG35" s="506">
        <f>Assumptions!$H$60*(1+Assumptions!$N$11)^(AG7)</f>
        <v>2.7014938144779865</v>
      </c>
      <c r="AH35" s="506">
        <f>Assumptions!$H$60*(1+Assumptions!$N$11)^(AH7)</f>
        <v>2.7825386289123255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6">
        <f>SUM(D34:D35)</f>
        <v>34.38114261170341</v>
      </c>
      <c r="E36" s="486">
        <f t="shared" ref="E36:AH36" si="5">SUM(E34:E35)</f>
        <v>34.219909435142029</v>
      </c>
      <c r="F36" s="486">
        <f t="shared" si="5"/>
        <v>34.590376888246283</v>
      </c>
      <c r="G36" s="486">
        <f t="shared" si="5"/>
        <v>35.140975101731172</v>
      </c>
      <c r="H36" s="486">
        <f t="shared" si="5"/>
        <v>35.797233179870609</v>
      </c>
      <c r="I36" s="486">
        <f t="shared" si="5"/>
        <v>36.493830647104218</v>
      </c>
      <c r="J36" s="486">
        <f t="shared" si="5"/>
        <v>37.213373775479852</v>
      </c>
      <c r="K36" s="486">
        <f t="shared" si="5"/>
        <v>37.986395614206756</v>
      </c>
      <c r="L36" s="486">
        <f t="shared" si="5"/>
        <v>38.812932045095451</v>
      </c>
      <c r="M36" s="486">
        <f t="shared" si="5"/>
        <v>39.693020026410807</v>
      </c>
      <c r="N36" s="486">
        <f t="shared" si="5"/>
        <v>40.626697625165633</v>
      </c>
      <c r="O36" s="486">
        <f t="shared" si="5"/>
        <v>41.489832756633113</v>
      </c>
      <c r="P36" s="486">
        <f t="shared" si="5"/>
        <v>42.265038256107104</v>
      </c>
      <c r="Q36" s="486">
        <f t="shared" si="5"/>
        <v>43.749666132940327</v>
      </c>
      <c r="R36" s="486">
        <f t="shared" si="5"/>
        <v>44.898106231891013</v>
      </c>
      <c r="S36" s="486">
        <f t="shared" si="5"/>
        <v>46.100344114310246</v>
      </c>
      <c r="T36" s="486">
        <f t="shared" si="5"/>
        <v>47.356425234202064</v>
      </c>
      <c r="U36" s="486">
        <f t="shared" si="5"/>
        <v>48.666396409190625</v>
      </c>
      <c r="V36" s="486">
        <f t="shared" si="5"/>
        <v>50.030305861428836</v>
      </c>
      <c r="W36" s="486">
        <f t="shared" si="5"/>
        <v>51.448203259734214</v>
      </c>
      <c r="X36" s="486">
        <f t="shared" si="5"/>
        <v>52.920139762988732</v>
      </c>
      <c r="Y36" s="486">
        <f t="shared" si="5"/>
        <v>25.1369501635909</v>
      </c>
      <c r="Z36" s="486">
        <f t="shared" si="5"/>
        <v>25.200927688498627</v>
      </c>
      <c r="AA36" s="486">
        <f t="shared" si="5"/>
        <v>25.266824539153589</v>
      </c>
      <c r="AB36" s="486">
        <f t="shared" si="5"/>
        <v>25.334698295328195</v>
      </c>
      <c r="AC36" s="486">
        <f t="shared" si="5"/>
        <v>25.404608264188042</v>
      </c>
      <c r="AD36" s="486">
        <f t="shared" si="5"/>
        <v>25.476615532113684</v>
      </c>
      <c r="AE36" s="486">
        <f t="shared" si="5"/>
        <v>25.550783018077091</v>
      </c>
      <c r="AF36" s="486">
        <f t="shared" si="5"/>
        <v>25.627175528619404</v>
      </c>
      <c r="AG36" s="486">
        <f t="shared" si="5"/>
        <v>25.705859814477989</v>
      </c>
      <c r="AH36" s="486">
        <f t="shared" si="5"/>
        <v>25.786904628912325</v>
      </c>
      <c r="AI36" s="489"/>
      <c r="AJ36" s="489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9"/>
      <c r="E37" s="489"/>
      <c r="F37" s="489"/>
      <c r="G37" s="489"/>
      <c r="H37" s="489"/>
      <c r="I37" s="489"/>
      <c r="J37" s="489"/>
      <c r="K37" s="489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1" t="str">
        <f>Assumptions!W14</f>
        <v>Pass-through</v>
      </c>
      <c r="B38" s="43" t="s">
        <v>244</v>
      </c>
      <c r="C38" s="12"/>
      <c r="D38" s="503">
        <f>IF($A$38="Pass-through",D36,D34)</f>
        <v>34.38114261170341</v>
      </c>
      <c r="E38" s="504">
        <f t="shared" ref="E38:AH38" si="6">IF($A$38="Pass-through",E36,E34)</f>
        <v>34.219909435142029</v>
      </c>
      <c r="F38" s="504">
        <f t="shared" si="6"/>
        <v>34.590376888246283</v>
      </c>
      <c r="G38" s="504">
        <f t="shared" si="6"/>
        <v>35.140975101731172</v>
      </c>
      <c r="H38" s="504">
        <f t="shared" si="6"/>
        <v>35.797233179870609</v>
      </c>
      <c r="I38" s="504">
        <f t="shared" si="6"/>
        <v>36.493830647104218</v>
      </c>
      <c r="J38" s="504">
        <f t="shared" si="6"/>
        <v>37.213373775479852</v>
      </c>
      <c r="K38" s="504">
        <f t="shared" si="6"/>
        <v>37.986395614206756</v>
      </c>
      <c r="L38" s="504">
        <f t="shared" si="6"/>
        <v>38.812932045095451</v>
      </c>
      <c r="M38" s="504">
        <f t="shared" si="6"/>
        <v>39.693020026410807</v>
      </c>
      <c r="N38" s="504">
        <f t="shared" si="6"/>
        <v>40.626697625165633</v>
      </c>
      <c r="O38" s="504">
        <f t="shared" si="6"/>
        <v>41.489832756633113</v>
      </c>
      <c r="P38" s="504">
        <f t="shared" si="6"/>
        <v>42.265038256107104</v>
      </c>
      <c r="Q38" s="504">
        <f t="shared" si="6"/>
        <v>43.749666132940327</v>
      </c>
      <c r="R38" s="505">
        <f t="shared" si="6"/>
        <v>44.898106231891013</v>
      </c>
      <c r="S38" s="503">
        <f t="shared" si="6"/>
        <v>46.100344114310246</v>
      </c>
      <c r="T38" s="504">
        <f t="shared" si="6"/>
        <v>47.356425234202064</v>
      </c>
      <c r="U38" s="504">
        <f t="shared" si="6"/>
        <v>48.666396409190625</v>
      </c>
      <c r="V38" s="504">
        <f t="shared" si="6"/>
        <v>50.030305861428836</v>
      </c>
      <c r="W38" s="504">
        <f t="shared" si="6"/>
        <v>51.448203259734214</v>
      </c>
      <c r="X38" s="504">
        <f t="shared" si="6"/>
        <v>52.920139762988732</v>
      </c>
      <c r="Y38" s="504">
        <f t="shared" si="6"/>
        <v>25.1369501635909</v>
      </c>
      <c r="Z38" s="504">
        <f t="shared" si="6"/>
        <v>25.200927688498627</v>
      </c>
      <c r="AA38" s="504">
        <f t="shared" si="6"/>
        <v>25.266824539153589</v>
      </c>
      <c r="AB38" s="504">
        <f t="shared" si="6"/>
        <v>25.334698295328195</v>
      </c>
      <c r="AC38" s="504">
        <f t="shared" si="6"/>
        <v>25.404608264188042</v>
      </c>
      <c r="AD38" s="504">
        <f t="shared" si="6"/>
        <v>25.476615532113684</v>
      </c>
      <c r="AE38" s="504">
        <f t="shared" si="6"/>
        <v>25.550783018077091</v>
      </c>
      <c r="AF38" s="504">
        <f t="shared" si="6"/>
        <v>25.627175528619404</v>
      </c>
      <c r="AG38" s="504">
        <f t="shared" si="6"/>
        <v>25.705859814477989</v>
      </c>
      <c r="AH38" s="505">
        <f t="shared" si="6"/>
        <v>25.786904628912325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4" t="s">
        <v>402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403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405</v>
      </c>
      <c r="C43" s="12"/>
      <c r="D43" s="511">
        <v>0.02</v>
      </c>
      <c r="E43" s="511">
        <v>0.02</v>
      </c>
      <c r="F43" s="511">
        <v>0.02</v>
      </c>
      <c r="G43" s="511">
        <v>0.02</v>
      </c>
      <c r="H43" s="511">
        <v>0.02</v>
      </c>
      <c r="I43" s="511">
        <v>0.02</v>
      </c>
      <c r="J43" s="511">
        <v>0.02</v>
      </c>
      <c r="K43" s="511">
        <v>0.02</v>
      </c>
      <c r="L43" s="511">
        <v>0.02</v>
      </c>
      <c r="M43" s="511">
        <v>0.02</v>
      </c>
      <c r="N43" s="511">
        <v>0.02</v>
      </c>
      <c r="O43" s="511">
        <v>0.02</v>
      </c>
      <c r="P43" s="511">
        <v>0.02</v>
      </c>
      <c r="Q43" s="511">
        <v>0.02</v>
      </c>
      <c r="R43" s="511">
        <v>0.02</v>
      </c>
      <c r="S43" s="511">
        <v>0.02</v>
      </c>
      <c r="T43" s="511">
        <v>0.02</v>
      </c>
      <c r="U43" s="511">
        <v>0.02</v>
      </c>
      <c r="V43" s="511">
        <v>0.02</v>
      </c>
      <c r="W43" s="511">
        <v>0.02</v>
      </c>
      <c r="X43" s="511">
        <v>0.02</v>
      </c>
      <c r="Y43" s="511">
        <v>0.02</v>
      </c>
      <c r="Z43" s="511">
        <v>0.02</v>
      </c>
      <c r="AA43" s="511">
        <v>0.02</v>
      </c>
      <c r="AB43" s="511">
        <v>0.02</v>
      </c>
      <c r="AC43" s="511">
        <v>0.02</v>
      </c>
      <c r="AD43" s="511">
        <v>0.02</v>
      </c>
      <c r="AE43" s="511">
        <v>0.02</v>
      </c>
      <c r="AF43" s="511">
        <v>0.02</v>
      </c>
      <c r="AG43" s="511">
        <v>0.02</v>
      </c>
      <c r="AH43" s="511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404</v>
      </c>
      <c r="C44" s="12"/>
      <c r="D44" s="508">
        <f>D42*(1+D43)</f>
        <v>10302</v>
      </c>
      <c r="E44" s="509">
        <f t="shared" ref="E44:AH44" si="7">E42*(1+E43)</f>
        <v>10302</v>
      </c>
      <c r="F44" s="509">
        <f t="shared" si="7"/>
        <v>10302</v>
      </c>
      <c r="G44" s="509">
        <f t="shared" si="7"/>
        <v>10302</v>
      </c>
      <c r="H44" s="509">
        <f t="shared" si="7"/>
        <v>10302</v>
      </c>
      <c r="I44" s="509">
        <f t="shared" si="7"/>
        <v>10302</v>
      </c>
      <c r="J44" s="509">
        <f t="shared" si="7"/>
        <v>10302</v>
      </c>
      <c r="K44" s="509">
        <f t="shared" si="7"/>
        <v>10302</v>
      </c>
      <c r="L44" s="509">
        <f t="shared" si="7"/>
        <v>10302</v>
      </c>
      <c r="M44" s="509">
        <f t="shared" si="7"/>
        <v>10302</v>
      </c>
      <c r="N44" s="509">
        <f t="shared" si="7"/>
        <v>10302</v>
      </c>
      <c r="O44" s="509">
        <f t="shared" si="7"/>
        <v>10302</v>
      </c>
      <c r="P44" s="509">
        <f t="shared" si="7"/>
        <v>10302</v>
      </c>
      <c r="Q44" s="509">
        <f t="shared" si="7"/>
        <v>10302</v>
      </c>
      <c r="R44" s="510">
        <f t="shared" si="7"/>
        <v>10302</v>
      </c>
      <c r="S44" s="508">
        <f t="shared" si="7"/>
        <v>10302</v>
      </c>
      <c r="T44" s="509">
        <f t="shared" si="7"/>
        <v>10302</v>
      </c>
      <c r="U44" s="509">
        <f t="shared" si="7"/>
        <v>10302</v>
      </c>
      <c r="V44" s="509">
        <f t="shared" si="7"/>
        <v>10302</v>
      </c>
      <c r="W44" s="509">
        <f t="shared" si="7"/>
        <v>10302</v>
      </c>
      <c r="X44" s="509">
        <f t="shared" si="7"/>
        <v>10302</v>
      </c>
      <c r="Y44" s="509">
        <f t="shared" si="7"/>
        <v>10302</v>
      </c>
      <c r="Z44" s="509">
        <f t="shared" si="7"/>
        <v>10302</v>
      </c>
      <c r="AA44" s="509">
        <f t="shared" si="7"/>
        <v>10302</v>
      </c>
      <c r="AB44" s="509">
        <f t="shared" si="7"/>
        <v>10302</v>
      </c>
      <c r="AC44" s="509">
        <f t="shared" si="7"/>
        <v>10302</v>
      </c>
      <c r="AD44" s="509">
        <f t="shared" si="7"/>
        <v>10302</v>
      </c>
      <c r="AE44" s="509">
        <f t="shared" si="7"/>
        <v>10302</v>
      </c>
      <c r="AF44" s="509">
        <f t="shared" si="7"/>
        <v>10302</v>
      </c>
      <c r="AG44" s="509">
        <f t="shared" si="7"/>
        <v>10302</v>
      </c>
      <c r="AH44" s="510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C16" sqref="C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27" t="s">
        <v>436</v>
      </c>
    </row>
    <row r="4" spans="2:8">
      <c r="C4" s="527" t="s">
        <v>437</v>
      </c>
      <c r="D4" s="530" t="s">
        <v>197</v>
      </c>
      <c r="F4" s="531" t="s">
        <v>23</v>
      </c>
      <c r="G4" s="531" t="s">
        <v>438</v>
      </c>
    </row>
    <row r="5" spans="2:8">
      <c r="B5" s="528">
        <v>36892</v>
      </c>
      <c r="C5" s="529">
        <v>4.0555000000000003</v>
      </c>
      <c r="F5">
        <v>2001</v>
      </c>
      <c r="G5" s="529">
        <f>D16</f>
        <v>3.1783749999999995</v>
      </c>
    </row>
    <row r="6" spans="2:8">
      <c r="B6" s="528">
        <v>36923</v>
      </c>
      <c r="C6" s="529">
        <v>3.8955000000000006</v>
      </c>
      <c r="F6">
        <v>2002</v>
      </c>
      <c r="G6" s="529">
        <f>D28</f>
        <v>3.1596666666666668</v>
      </c>
    </row>
    <row r="7" spans="2:8">
      <c r="B7" s="528">
        <v>36951</v>
      </c>
      <c r="C7" s="529">
        <v>3.3430000000000004</v>
      </c>
      <c r="F7">
        <v>2003</v>
      </c>
      <c r="G7" s="529">
        <f>D40</f>
        <v>3.1917083333333331</v>
      </c>
      <c r="H7" s="532">
        <f t="shared" ref="H7:H18" si="0">G7/G6</f>
        <v>1.0101408376411012</v>
      </c>
    </row>
    <row r="8" spans="2:8">
      <c r="B8" s="528">
        <v>36982</v>
      </c>
      <c r="C8" s="529">
        <v>2.8630000000000004</v>
      </c>
      <c r="F8">
        <v>2004</v>
      </c>
      <c r="G8" s="529">
        <f>D52</f>
        <v>3.2408750000000004</v>
      </c>
      <c r="H8" s="532">
        <f t="shared" si="0"/>
        <v>1.0154044986357882</v>
      </c>
    </row>
    <row r="9" spans="2:8">
      <c r="B9" s="528">
        <v>37012</v>
      </c>
      <c r="C9" s="529">
        <v>2.7810000000000001</v>
      </c>
      <c r="F9">
        <v>2005</v>
      </c>
      <c r="G9" s="529">
        <f>D64</f>
        <v>3.300041666666667</v>
      </c>
      <c r="H9" s="532">
        <f t="shared" si="0"/>
        <v>1.0182563865211298</v>
      </c>
    </row>
    <row r="10" spans="2:8">
      <c r="B10" s="528">
        <v>37043</v>
      </c>
      <c r="C10" s="529">
        <v>2.7930000000000001</v>
      </c>
      <c r="F10">
        <v>2006</v>
      </c>
      <c r="G10" s="529">
        <f>D76</f>
        <v>3.3629583333333333</v>
      </c>
      <c r="H10" s="532">
        <f t="shared" si="0"/>
        <v>1.0190654158407089</v>
      </c>
    </row>
    <row r="11" spans="2:8">
      <c r="B11" s="528">
        <v>37073</v>
      </c>
      <c r="C11" s="529">
        <v>2.8159999999999998</v>
      </c>
      <c r="F11">
        <v>2007</v>
      </c>
      <c r="G11" s="529">
        <f>D88</f>
        <v>3.4279583333333341</v>
      </c>
      <c r="H11" s="532">
        <f t="shared" si="0"/>
        <v>1.0193282204408323</v>
      </c>
    </row>
    <row r="12" spans="2:8">
      <c r="B12" s="528">
        <v>37104</v>
      </c>
      <c r="C12" s="529">
        <v>2.8155000000000006</v>
      </c>
      <c r="F12">
        <v>2008</v>
      </c>
      <c r="G12" s="529">
        <f>D100</f>
        <v>3.4979583333333335</v>
      </c>
      <c r="H12" s="532">
        <f t="shared" si="0"/>
        <v>1.0204203182166254</v>
      </c>
    </row>
    <row r="13" spans="2:8">
      <c r="B13" s="528">
        <v>37135</v>
      </c>
      <c r="C13" s="529">
        <v>2.7960000000000003</v>
      </c>
      <c r="F13">
        <v>2009</v>
      </c>
      <c r="G13" s="529">
        <f>D112</f>
        <v>3.5729583333333337</v>
      </c>
      <c r="H13" s="532">
        <f t="shared" si="0"/>
        <v>1.0214410787244941</v>
      </c>
    </row>
    <row r="14" spans="2:8">
      <c r="B14" s="528">
        <v>37165</v>
      </c>
      <c r="C14" s="529">
        <v>2.8405</v>
      </c>
      <c r="F14">
        <v>2010</v>
      </c>
      <c r="G14" s="529">
        <f>D124</f>
        <v>3.6529583333333329</v>
      </c>
      <c r="H14" s="532">
        <f t="shared" si="0"/>
        <v>1.022390409441289</v>
      </c>
    </row>
    <row r="15" spans="2:8">
      <c r="B15" s="528">
        <v>37196</v>
      </c>
      <c r="C15" s="529">
        <v>3.2795000000000001</v>
      </c>
      <c r="F15">
        <v>2011</v>
      </c>
      <c r="G15" s="529">
        <f>D136</f>
        <v>3.7379583333333333</v>
      </c>
      <c r="H15" s="532">
        <f t="shared" si="0"/>
        <v>1.0232688118077815</v>
      </c>
    </row>
    <row r="16" spans="2:8">
      <c r="B16" s="528">
        <v>37226</v>
      </c>
      <c r="C16" s="529">
        <v>3.8619999999999997</v>
      </c>
      <c r="D16" s="529">
        <f>AVERAGE(C5:C16)</f>
        <v>3.1783749999999995</v>
      </c>
      <c r="F16">
        <v>2012</v>
      </c>
      <c r="G16" s="529">
        <f>D148</f>
        <v>3.8160833333333337</v>
      </c>
      <c r="H16" s="532">
        <f t="shared" si="0"/>
        <v>1.0209004469908931</v>
      </c>
    </row>
    <row r="17" spans="2:8">
      <c r="B17" s="528">
        <v>37257</v>
      </c>
      <c r="C17" s="529">
        <v>4.0724999999999998</v>
      </c>
      <c r="F17">
        <v>2013</v>
      </c>
      <c r="G17" s="529">
        <f>D160</f>
        <v>3.8856666666666668</v>
      </c>
      <c r="H17" s="532">
        <f t="shared" si="0"/>
        <v>1.0182342279387679</v>
      </c>
    </row>
    <row r="18" spans="2:8">
      <c r="B18" s="528">
        <v>37288</v>
      </c>
      <c r="C18" s="529">
        <v>3.9249999999999998</v>
      </c>
      <c r="F18">
        <v>2014</v>
      </c>
      <c r="G18" s="529">
        <f>D172</f>
        <v>4.0229583333333343</v>
      </c>
      <c r="H18" s="532">
        <f t="shared" si="0"/>
        <v>1.0353328472162651</v>
      </c>
    </row>
    <row r="19" spans="2:8">
      <c r="B19" s="528">
        <v>37316</v>
      </c>
      <c r="C19" s="529">
        <v>3.3155000000000001</v>
      </c>
      <c r="F19">
        <v>2015</v>
      </c>
      <c r="G19" s="529">
        <f>D184</f>
        <v>4.127958333333333</v>
      </c>
      <c r="H19" s="532">
        <f>G19/G18</f>
        <v>1.0261001957514677</v>
      </c>
    </row>
    <row r="20" spans="2:8">
      <c r="B20" s="528">
        <v>37347</v>
      </c>
      <c r="C20" s="529">
        <v>2.8290000000000002</v>
      </c>
      <c r="F20">
        <v>2016</v>
      </c>
      <c r="G20" s="529">
        <f>D196</f>
        <v>4.2379583333333333</v>
      </c>
      <c r="H20" s="532">
        <f t="shared" ref="H20:H25" si="1">G20/G19</f>
        <v>1.0266475557933201</v>
      </c>
    </row>
    <row r="21" spans="2:8">
      <c r="B21" s="528">
        <v>37377</v>
      </c>
      <c r="C21" s="529">
        <v>2.77</v>
      </c>
      <c r="F21">
        <v>2017</v>
      </c>
      <c r="G21" s="529">
        <f>D208</f>
        <v>4.3529583333333335</v>
      </c>
      <c r="H21" s="532">
        <f t="shared" si="1"/>
        <v>1.0271357080355124</v>
      </c>
    </row>
    <row r="22" spans="2:8">
      <c r="B22" s="528">
        <v>37408</v>
      </c>
      <c r="C22" s="529">
        <v>2.782</v>
      </c>
      <c r="F22">
        <v>2018</v>
      </c>
      <c r="G22" s="529">
        <f>D220</f>
        <v>4.4729583333333336</v>
      </c>
      <c r="H22" s="532">
        <f t="shared" si="1"/>
        <v>1.0275674589120427</v>
      </c>
    </row>
    <row r="23" spans="2:8">
      <c r="B23" s="528">
        <v>37438</v>
      </c>
      <c r="C23" s="529">
        <v>2.7989999999999999</v>
      </c>
      <c r="F23">
        <v>2019</v>
      </c>
      <c r="G23" s="529">
        <f>D232</f>
        <v>4.5979583333333336</v>
      </c>
      <c r="H23" s="532">
        <f t="shared" si="1"/>
        <v>1.0279457107991541</v>
      </c>
    </row>
    <row r="24" spans="2:8">
      <c r="B24" s="528">
        <v>37469</v>
      </c>
      <c r="C24" s="529">
        <v>2.8025000000000002</v>
      </c>
      <c r="F24">
        <v>2020</v>
      </c>
      <c r="G24" s="529">
        <f>D244</f>
        <v>4.7279583333333335</v>
      </c>
      <c r="H24" s="532">
        <f t="shared" si="1"/>
        <v>1.028273418455655</v>
      </c>
    </row>
    <row r="25" spans="2:8">
      <c r="B25" s="528">
        <v>37500</v>
      </c>
      <c r="C25" s="529">
        <v>2.7820000000000005</v>
      </c>
      <c r="F25">
        <v>2021</v>
      </c>
      <c r="G25" s="529">
        <f>D256</f>
        <v>4.8629583333333333</v>
      </c>
      <c r="H25" s="532">
        <f t="shared" si="1"/>
        <v>1.0285535511276009</v>
      </c>
    </row>
    <row r="26" spans="2:8">
      <c r="B26" s="528">
        <v>37530</v>
      </c>
      <c r="C26" s="529">
        <v>2.8255000000000003</v>
      </c>
    </row>
    <row r="27" spans="2:8">
      <c r="B27" s="528">
        <v>37561</v>
      </c>
      <c r="C27" s="529">
        <v>3.2965</v>
      </c>
    </row>
    <row r="28" spans="2:8">
      <c r="B28" s="528">
        <v>37591</v>
      </c>
      <c r="C28" s="529">
        <v>3.7165000000000004</v>
      </c>
      <c r="D28" s="529">
        <f>AVERAGE(C17:C28)</f>
        <v>3.1596666666666668</v>
      </c>
    </row>
    <row r="29" spans="2:8">
      <c r="B29" s="528">
        <v>37622</v>
      </c>
      <c r="C29" s="529">
        <v>4.0724999999999998</v>
      </c>
    </row>
    <row r="30" spans="2:8">
      <c r="B30" s="528">
        <v>37653</v>
      </c>
      <c r="C30" s="529">
        <v>3.9369999999999998</v>
      </c>
    </row>
    <row r="31" spans="2:8">
      <c r="B31" s="528">
        <v>37681</v>
      </c>
      <c r="C31" s="529">
        <v>3.3580000000000001</v>
      </c>
    </row>
    <row r="32" spans="2:8">
      <c r="B32" s="528">
        <v>37712</v>
      </c>
      <c r="C32" s="529">
        <v>2.8640000000000003</v>
      </c>
    </row>
    <row r="33" spans="2:4">
      <c r="B33" s="528">
        <v>37742</v>
      </c>
      <c r="C33" s="529">
        <v>2.8050000000000002</v>
      </c>
    </row>
    <row r="34" spans="2:4">
      <c r="B34" s="528">
        <v>37773</v>
      </c>
      <c r="C34" s="529">
        <v>2.8170000000000002</v>
      </c>
    </row>
    <row r="35" spans="2:4">
      <c r="B35" s="528">
        <v>37803</v>
      </c>
      <c r="C35" s="529">
        <v>2.8340000000000001</v>
      </c>
    </row>
    <row r="36" spans="2:4">
      <c r="B36" s="528">
        <v>37834</v>
      </c>
      <c r="C36" s="529">
        <v>2.8374999999999999</v>
      </c>
    </row>
    <row r="37" spans="2:4">
      <c r="B37" s="528">
        <v>37865</v>
      </c>
      <c r="C37" s="529">
        <v>2.8170000000000002</v>
      </c>
    </row>
    <row r="38" spans="2:4">
      <c r="B38" s="528">
        <v>37895</v>
      </c>
      <c r="C38" s="529">
        <v>2.8605</v>
      </c>
    </row>
    <row r="39" spans="2:4">
      <c r="B39" s="528">
        <v>37926</v>
      </c>
      <c r="C39" s="529">
        <v>3.3364999999999996</v>
      </c>
    </row>
    <row r="40" spans="2:4">
      <c r="B40" s="528">
        <v>37956</v>
      </c>
      <c r="C40" s="529">
        <v>3.7615000000000003</v>
      </c>
      <c r="D40" s="529">
        <f>AVERAGE(C29:C40)</f>
        <v>3.1917083333333331</v>
      </c>
    </row>
    <row r="41" spans="2:4">
      <c r="B41" s="528">
        <v>37987</v>
      </c>
      <c r="C41" s="529">
        <v>4.1325000000000003</v>
      </c>
    </row>
    <row r="42" spans="2:4">
      <c r="B42" s="528">
        <v>38018</v>
      </c>
      <c r="C42" s="529">
        <v>3.9970000000000003</v>
      </c>
    </row>
    <row r="43" spans="2:4">
      <c r="B43" s="528">
        <v>38047</v>
      </c>
      <c r="C43" s="529">
        <v>3.4079999999999999</v>
      </c>
    </row>
    <row r="44" spans="2:4">
      <c r="B44" s="528">
        <v>38078</v>
      </c>
      <c r="C44" s="529">
        <v>2.9089999999999998</v>
      </c>
    </row>
    <row r="45" spans="2:4">
      <c r="B45" s="528">
        <v>38108</v>
      </c>
      <c r="C45" s="529">
        <v>2.85</v>
      </c>
    </row>
    <row r="46" spans="2:4">
      <c r="B46" s="528">
        <v>38139</v>
      </c>
      <c r="C46" s="529">
        <v>2.8619999999999997</v>
      </c>
    </row>
    <row r="47" spans="2:4">
      <c r="B47" s="528">
        <v>38169</v>
      </c>
      <c r="C47" s="529">
        <v>2.879</v>
      </c>
    </row>
    <row r="48" spans="2:4">
      <c r="B48" s="528">
        <v>38200</v>
      </c>
      <c r="C48" s="529">
        <v>2.8824999999999998</v>
      </c>
    </row>
    <row r="49" spans="2:4">
      <c r="B49" s="528">
        <v>38231</v>
      </c>
      <c r="C49" s="529">
        <v>2.8620000000000001</v>
      </c>
    </row>
    <row r="50" spans="2:4">
      <c r="B50" s="528">
        <v>38261</v>
      </c>
      <c r="C50" s="529">
        <v>2.9055000000000004</v>
      </c>
    </row>
    <row r="51" spans="2:4">
      <c r="B51" s="528">
        <v>38292</v>
      </c>
      <c r="C51" s="529">
        <v>3.3865000000000003</v>
      </c>
    </row>
    <row r="52" spans="2:4">
      <c r="B52" s="528">
        <v>38322</v>
      </c>
      <c r="C52" s="529">
        <v>3.8165000000000004</v>
      </c>
      <c r="D52" s="529">
        <f>AVERAGE(C41:C52)</f>
        <v>3.2408750000000004</v>
      </c>
    </row>
    <row r="53" spans="2:4">
      <c r="B53" s="528">
        <v>38353</v>
      </c>
      <c r="C53" s="529">
        <v>4.2024999999999997</v>
      </c>
    </row>
    <row r="54" spans="2:4">
      <c r="B54" s="528">
        <v>38384</v>
      </c>
      <c r="C54" s="529">
        <v>4.0669999999999993</v>
      </c>
    </row>
    <row r="55" spans="2:4">
      <c r="B55" s="528">
        <v>38412</v>
      </c>
      <c r="C55" s="529">
        <v>3.468</v>
      </c>
    </row>
    <row r="56" spans="2:4">
      <c r="B56" s="528">
        <v>38443</v>
      </c>
      <c r="C56" s="529">
        <v>2.964</v>
      </c>
    </row>
    <row r="57" spans="2:4">
      <c r="B57" s="528">
        <v>38473</v>
      </c>
      <c r="C57" s="529">
        <v>2.9049999999999998</v>
      </c>
    </row>
    <row r="58" spans="2:4">
      <c r="B58" s="528">
        <v>38504</v>
      </c>
      <c r="C58" s="529">
        <v>2.9169999999999998</v>
      </c>
    </row>
    <row r="59" spans="2:4">
      <c r="B59" s="528">
        <v>38534</v>
      </c>
      <c r="C59" s="529">
        <v>2.9339999999999997</v>
      </c>
    </row>
    <row r="60" spans="2:4">
      <c r="B60" s="528">
        <v>38565</v>
      </c>
      <c r="C60" s="529">
        <v>2.9375</v>
      </c>
    </row>
    <row r="61" spans="2:4">
      <c r="B61" s="528">
        <v>38596</v>
      </c>
      <c r="C61" s="529">
        <v>2.9170000000000003</v>
      </c>
    </row>
    <row r="62" spans="2:4">
      <c r="B62" s="528">
        <v>38626</v>
      </c>
      <c r="C62" s="529">
        <v>2.9605000000000001</v>
      </c>
    </row>
    <row r="63" spans="2:4">
      <c r="B63" s="528">
        <v>38657</v>
      </c>
      <c r="C63" s="529">
        <v>3.4464999999999999</v>
      </c>
    </row>
    <row r="64" spans="2:4">
      <c r="B64" s="528">
        <v>38687</v>
      </c>
      <c r="C64" s="529">
        <v>3.8815</v>
      </c>
      <c r="D64" s="529">
        <f>AVERAGE(C53:C64)</f>
        <v>3.300041666666667</v>
      </c>
    </row>
    <row r="65" spans="2:4">
      <c r="B65" s="528">
        <v>38718</v>
      </c>
      <c r="C65" s="529">
        <v>4.2774999999999999</v>
      </c>
    </row>
    <row r="66" spans="2:4">
      <c r="B66" s="528">
        <v>38749</v>
      </c>
      <c r="C66" s="529">
        <v>4.1419999999999995</v>
      </c>
    </row>
    <row r="67" spans="2:4">
      <c r="B67" s="528">
        <v>38777</v>
      </c>
      <c r="C67" s="529">
        <v>3.5330000000000004</v>
      </c>
    </row>
    <row r="68" spans="2:4">
      <c r="B68" s="528">
        <v>38808</v>
      </c>
      <c r="C68" s="529">
        <v>3.024</v>
      </c>
    </row>
    <row r="69" spans="2:4">
      <c r="B69" s="528">
        <v>38838</v>
      </c>
      <c r="C69" s="529">
        <v>2.9649999999999999</v>
      </c>
    </row>
    <row r="70" spans="2:4">
      <c r="B70" s="528">
        <v>38869</v>
      </c>
      <c r="C70" s="529">
        <v>2.9769999999999999</v>
      </c>
    </row>
    <row r="71" spans="2:4">
      <c r="B71" s="528">
        <v>38899</v>
      </c>
      <c r="C71" s="529">
        <v>2.9939999999999998</v>
      </c>
    </row>
    <row r="72" spans="2:4">
      <c r="B72" s="528">
        <v>38930</v>
      </c>
      <c r="C72" s="529">
        <v>2.9975000000000001</v>
      </c>
    </row>
    <row r="73" spans="2:4">
      <c r="B73" s="528">
        <v>38961</v>
      </c>
      <c r="C73" s="529">
        <v>2.9770000000000003</v>
      </c>
    </row>
    <row r="74" spans="2:4">
      <c r="B74" s="528">
        <v>38991</v>
      </c>
      <c r="C74" s="529">
        <v>3.0205000000000002</v>
      </c>
    </row>
    <row r="75" spans="2:4">
      <c r="B75" s="528">
        <v>39022</v>
      </c>
      <c r="C75" s="529">
        <v>3.5065000000000004</v>
      </c>
    </row>
    <row r="76" spans="2:4">
      <c r="B76" s="528">
        <v>39052</v>
      </c>
      <c r="C76" s="529">
        <v>3.9415</v>
      </c>
      <c r="D76" s="529">
        <f>AVERAGE(C65:C76)</f>
        <v>3.3629583333333333</v>
      </c>
    </row>
    <row r="77" spans="2:4">
      <c r="B77" s="528">
        <v>39083</v>
      </c>
      <c r="C77" s="529">
        <v>4.3425000000000002</v>
      </c>
    </row>
    <row r="78" spans="2:4">
      <c r="B78" s="528">
        <v>39114</v>
      </c>
      <c r="C78" s="529">
        <v>4.2069999999999999</v>
      </c>
    </row>
    <row r="79" spans="2:4">
      <c r="B79" s="528">
        <v>39142</v>
      </c>
      <c r="C79" s="529">
        <v>3.5980000000000003</v>
      </c>
    </row>
    <row r="80" spans="2:4">
      <c r="B80" s="528">
        <v>39173</v>
      </c>
      <c r="C80" s="529">
        <v>3.0890000000000004</v>
      </c>
    </row>
    <row r="81" spans="2:4">
      <c r="B81" s="528">
        <v>39203</v>
      </c>
      <c r="C81" s="529">
        <v>3.03</v>
      </c>
    </row>
    <row r="82" spans="2:4">
      <c r="B82" s="528">
        <v>39234</v>
      </c>
      <c r="C82" s="529">
        <v>3.0419999999999998</v>
      </c>
    </row>
    <row r="83" spans="2:4">
      <c r="B83" s="528">
        <v>39264</v>
      </c>
      <c r="C83" s="529">
        <v>3.0590000000000006</v>
      </c>
    </row>
    <row r="84" spans="2:4">
      <c r="B84" s="528">
        <v>39295</v>
      </c>
      <c r="C84" s="529">
        <v>3.0625</v>
      </c>
    </row>
    <row r="85" spans="2:4">
      <c r="B85" s="528">
        <v>39326</v>
      </c>
      <c r="C85" s="529">
        <v>3.0420000000000003</v>
      </c>
    </row>
    <row r="86" spans="2:4">
      <c r="B86" s="528">
        <v>39356</v>
      </c>
      <c r="C86" s="529">
        <v>3.0855000000000001</v>
      </c>
    </row>
    <row r="87" spans="2:4">
      <c r="B87" s="528">
        <v>39387</v>
      </c>
      <c r="C87" s="529">
        <v>3.5714999999999999</v>
      </c>
    </row>
    <row r="88" spans="2:4">
      <c r="B88" s="528">
        <v>39417</v>
      </c>
      <c r="C88" s="529">
        <v>4.0065000000000008</v>
      </c>
      <c r="D88" s="529">
        <f>AVERAGE(C77:C88)</f>
        <v>3.4279583333333341</v>
      </c>
    </row>
    <row r="89" spans="2:4">
      <c r="B89" s="528">
        <v>39448</v>
      </c>
      <c r="C89" s="529">
        <v>4.4124999999999996</v>
      </c>
    </row>
    <row r="90" spans="2:4">
      <c r="B90" s="528">
        <v>39479</v>
      </c>
      <c r="C90" s="529">
        <v>4.2770000000000001</v>
      </c>
    </row>
    <row r="91" spans="2:4">
      <c r="B91" s="528">
        <v>39508</v>
      </c>
      <c r="C91" s="529">
        <v>3.6680000000000001</v>
      </c>
    </row>
    <row r="92" spans="2:4">
      <c r="B92" s="528">
        <v>39539</v>
      </c>
      <c r="C92" s="529">
        <v>3.1590000000000007</v>
      </c>
    </row>
    <row r="93" spans="2:4">
      <c r="B93" s="528">
        <v>39569</v>
      </c>
      <c r="C93" s="529">
        <v>3.1</v>
      </c>
    </row>
    <row r="94" spans="2:4">
      <c r="B94" s="528">
        <v>39600</v>
      </c>
      <c r="C94" s="529">
        <v>3.1119999999999997</v>
      </c>
    </row>
    <row r="95" spans="2:4">
      <c r="B95" s="528">
        <v>39630</v>
      </c>
      <c r="C95" s="529">
        <v>3.1290000000000004</v>
      </c>
    </row>
    <row r="96" spans="2:4">
      <c r="B96" s="528">
        <v>39661</v>
      </c>
      <c r="C96" s="529">
        <v>3.1324999999999998</v>
      </c>
    </row>
    <row r="97" spans="2:4">
      <c r="B97" s="528">
        <v>39692</v>
      </c>
      <c r="C97" s="529">
        <v>3.1120000000000001</v>
      </c>
    </row>
    <row r="98" spans="2:4">
      <c r="B98" s="528">
        <v>39722</v>
      </c>
      <c r="C98" s="529">
        <v>3.1555000000000004</v>
      </c>
    </row>
    <row r="99" spans="2:4">
      <c r="B99" s="528">
        <v>39753</v>
      </c>
      <c r="C99" s="529">
        <v>3.6415000000000002</v>
      </c>
    </row>
    <row r="100" spans="2:4">
      <c r="B100" s="528">
        <v>39783</v>
      </c>
      <c r="C100" s="529">
        <v>4.0765000000000002</v>
      </c>
      <c r="D100" s="529">
        <f>AVERAGE(C89:C100)</f>
        <v>3.4979583333333335</v>
      </c>
    </row>
    <row r="101" spans="2:4">
      <c r="B101" s="528">
        <v>39814</v>
      </c>
      <c r="C101" s="529">
        <v>4.4874999999999998</v>
      </c>
    </row>
    <row r="102" spans="2:4">
      <c r="B102" s="528">
        <v>39845</v>
      </c>
      <c r="C102" s="529">
        <v>4.3519999999999994</v>
      </c>
    </row>
    <row r="103" spans="2:4">
      <c r="B103" s="528">
        <v>39873</v>
      </c>
      <c r="C103" s="529">
        <v>3.7430000000000003</v>
      </c>
    </row>
    <row r="104" spans="2:4">
      <c r="B104" s="528">
        <v>39904</v>
      </c>
      <c r="C104" s="529">
        <v>3.2340000000000004</v>
      </c>
    </row>
    <row r="105" spans="2:4">
      <c r="B105" s="528">
        <v>39934</v>
      </c>
      <c r="C105" s="529">
        <v>3.1749999999999998</v>
      </c>
    </row>
    <row r="106" spans="2:4">
      <c r="B106" s="528">
        <v>39965</v>
      </c>
      <c r="C106" s="529">
        <v>3.1869999999999998</v>
      </c>
    </row>
    <row r="107" spans="2:4">
      <c r="B107" s="528">
        <v>39995</v>
      </c>
      <c r="C107" s="529">
        <v>3.2040000000000006</v>
      </c>
    </row>
    <row r="108" spans="2:4">
      <c r="B108" s="528">
        <v>40026</v>
      </c>
      <c r="C108" s="529">
        <v>3.2075</v>
      </c>
    </row>
    <row r="109" spans="2:4">
      <c r="B109" s="528">
        <v>40057</v>
      </c>
      <c r="C109" s="529">
        <v>3.1870000000000003</v>
      </c>
    </row>
    <row r="110" spans="2:4">
      <c r="B110" s="528">
        <v>40087</v>
      </c>
      <c r="C110" s="529">
        <v>3.2305000000000001</v>
      </c>
    </row>
    <row r="111" spans="2:4">
      <c r="B111" s="528">
        <v>40118</v>
      </c>
      <c r="C111" s="529">
        <v>3.7165000000000004</v>
      </c>
    </row>
    <row r="112" spans="2:4">
      <c r="B112" s="528">
        <v>40148</v>
      </c>
      <c r="C112" s="529">
        <v>4.1515000000000004</v>
      </c>
      <c r="D112" s="529">
        <f>AVERAGE(C101:C112)</f>
        <v>3.5729583333333337</v>
      </c>
    </row>
    <row r="113" spans="2:4">
      <c r="B113" s="528">
        <v>40179</v>
      </c>
      <c r="C113" s="529">
        <v>4.5674999999999999</v>
      </c>
    </row>
    <row r="114" spans="2:4">
      <c r="B114" s="528">
        <v>40210</v>
      </c>
      <c r="C114" s="529">
        <v>4.4319999999999995</v>
      </c>
    </row>
    <row r="115" spans="2:4">
      <c r="B115" s="528">
        <v>40238</v>
      </c>
      <c r="C115" s="529">
        <v>3.8230000000000004</v>
      </c>
    </row>
    <row r="116" spans="2:4">
      <c r="B116" s="528">
        <v>40269</v>
      </c>
      <c r="C116" s="529">
        <v>3.3140000000000005</v>
      </c>
    </row>
    <row r="117" spans="2:4">
      <c r="B117" s="528">
        <v>40299</v>
      </c>
      <c r="C117" s="529">
        <v>3.2549999999999999</v>
      </c>
    </row>
    <row r="118" spans="2:4">
      <c r="B118" s="528">
        <v>40330</v>
      </c>
      <c r="C118" s="529">
        <v>3.2669999999999999</v>
      </c>
    </row>
    <row r="119" spans="2:4">
      <c r="B119" s="528">
        <v>40360</v>
      </c>
      <c r="C119" s="529">
        <v>3.2840000000000003</v>
      </c>
    </row>
    <row r="120" spans="2:4">
      <c r="B120" s="528">
        <v>40391</v>
      </c>
      <c r="C120" s="529">
        <v>3.2875000000000001</v>
      </c>
    </row>
    <row r="121" spans="2:4">
      <c r="B121" s="528">
        <v>40422</v>
      </c>
      <c r="C121" s="529">
        <v>3.2670000000000003</v>
      </c>
    </row>
    <row r="122" spans="2:4">
      <c r="B122" s="528">
        <v>40452</v>
      </c>
      <c r="C122" s="529">
        <v>3.3105000000000002</v>
      </c>
    </row>
    <row r="123" spans="2:4">
      <c r="B123" s="528">
        <v>40483</v>
      </c>
      <c r="C123" s="529">
        <v>3.7965000000000004</v>
      </c>
    </row>
    <row r="124" spans="2:4">
      <c r="B124" s="528">
        <v>40513</v>
      </c>
      <c r="C124" s="529">
        <v>4.2315000000000005</v>
      </c>
      <c r="D124" s="529">
        <f>AVERAGE(C113:C124)</f>
        <v>3.6529583333333329</v>
      </c>
    </row>
    <row r="125" spans="2:4">
      <c r="B125" s="528">
        <v>40544</v>
      </c>
      <c r="C125" s="529">
        <v>4.6524999999999999</v>
      </c>
    </row>
    <row r="126" spans="2:4">
      <c r="B126" s="528">
        <v>40575</v>
      </c>
      <c r="C126" s="529">
        <v>4.5169999999999995</v>
      </c>
    </row>
    <row r="127" spans="2:4">
      <c r="B127" s="528">
        <v>40603</v>
      </c>
      <c r="C127" s="529">
        <v>3.9080000000000004</v>
      </c>
    </row>
    <row r="128" spans="2:4">
      <c r="B128" s="528">
        <v>40634</v>
      </c>
      <c r="C128" s="529">
        <v>3.3990000000000005</v>
      </c>
    </row>
    <row r="129" spans="2:4">
      <c r="B129" s="528">
        <v>40664</v>
      </c>
      <c r="C129" s="529">
        <v>3.34</v>
      </c>
    </row>
    <row r="130" spans="2:4">
      <c r="B130" s="528">
        <v>40695</v>
      </c>
      <c r="C130" s="529">
        <v>3.3519999999999999</v>
      </c>
    </row>
    <row r="131" spans="2:4">
      <c r="B131" s="528">
        <v>40725</v>
      </c>
      <c r="C131" s="529">
        <v>3.3690000000000007</v>
      </c>
    </row>
    <row r="132" spans="2:4">
      <c r="B132" s="528">
        <v>40756</v>
      </c>
      <c r="C132" s="529">
        <v>3.3725000000000001</v>
      </c>
    </row>
    <row r="133" spans="2:4">
      <c r="B133" s="528">
        <v>40787</v>
      </c>
      <c r="C133" s="529">
        <v>3.3520000000000003</v>
      </c>
    </row>
    <row r="134" spans="2:4">
      <c r="B134" s="528">
        <v>40817</v>
      </c>
      <c r="C134" s="529">
        <v>3.3955000000000002</v>
      </c>
    </row>
    <row r="135" spans="2:4">
      <c r="B135" s="528">
        <v>40848</v>
      </c>
      <c r="C135" s="529">
        <v>3.8815000000000004</v>
      </c>
    </row>
    <row r="136" spans="2:4">
      <c r="B136" s="528">
        <v>40878</v>
      </c>
      <c r="C136" s="529">
        <v>4.3165000000000004</v>
      </c>
      <c r="D136" s="529">
        <f>AVERAGE(C125:C136)</f>
        <v>3.7379583333333333</v>
      </c>
    </row>
    <row r="137" spans="2:4">
      <c r="B137" s="528">
        <v>40909</v>
      </c>
      <c r="C137" s="529">
        <v>4.7424999999999997</v>
      </c>
    </row>
    <row r="138" spans="2:4">
      <c r="B138" s="528">
        <v>40940</v>
      </c>
      <c r="C138" s="529">
        <v>4.6069999999999993</v>
      </c>
    </row>
    <row r="139" spans="2:4">
      <c r="B139" s="528">
        <v>40969</v>
      </c>
      <c r="C139" s="529">
        <v>3.9980000000000002</v>
      </c>
    </row>
    <row r="140" spans="2:4">
      <c r="B140" s="528">
        <v>41000</v>
      </c>
      <c r="C140" s="529">
        <v>3.4890000000000008</v>
      </c>
    </row>
    <row r="141" spans="2:4">
      <c r="B141" s="528">
        <v>41030</v>
      </c>
      <c r="C141" s="529">
        <v>3.43</v>
      </c>
    </row>
    <row r="142" spans="2:4">
      <c r="B142" s="528">
        <v>41061</v>
      </c>
      <c r="C142" s="529">
        <v>3.4419999999999997</v>
      </c>
    </row>
    <row r="143" spans="2:4">
      <c r="B143" s="528">
        <v>41091</v>
      </c>
      <c r="C143" s="529">
        <v>3.4590000000000005</v>
      </c>
    </row>
    <row r="144" spans="2:4">
      <c r="B144" s="528">
        <v>41122</v>
      </c>
      <c r="C144" s="529">
        <v>3.4624999999999999</v>
      </c>
    </row>
    <row r="145" spans="2:4">
      <c r="B145" s="528">
        <v>41153</v>
      </c>
      <c r="C145" s="529">
        <v>3.4420000000000002</v>
      </c>
    </row>
    <row r="146" spans="2:4">
      <c r="B146" s="528">
        <v>41183</v>
      </c>
      <c r="C146" s="529">
        <v>3.4855</v>
      </c>
    </row>
    <row r="147" spans="2:4">
      <c r="B147" s="528">
        <v>41214</v>
      </c>
      <c r="C147" s="529">
        <v>3.9715000000000003</v>
      </c>
    </row>
    <row r="148" spans="2:4">
      <c r="B148" s="528">
        <v>41244</v>
      </c>
      <c r="C148" s="529">
        <v>4.2640000000000011</v>
      </c>
      <c r="D148" s="529">
        <f>AVERAGE(C137:C148)</f>
        <v>3.8160833333333337</v>
      </c>
    </row>
    <row r="149" spans="2:4">
      <c r="B149" s="528">
        <v>41275</v>
      </c>
      <c r="C149" s="529">
        <v>4.3899999999999997</v>
      </c>
    </row>
    <row r="150" spans="2:4">
      <c r="B150" s="528">
        <v>41306</v>
      </c>
      <c r="C150" s="529">
        <v>4.702</v>
      </c>
    </row>
    <row r="151" spans="2:4">
      <c r="B151" s="528">
        <v>41334</v>
      </c>
      <c r="C151" s="529">
        <v>4.093</v>
      </c>
    </row>
    <row r="152" spans="2:4">
      <c r="B152" s="528">
        <v>41365</v>
      </c>
      <c r="C152" s="529">
        <v>3.5840000000000005</v>
      </c>
    </row>
    <row r="153" spans="2:4">
      <c r="B153" s="528">
        <v>41395</v>
      </c>
      <c r="C153" s="529">
        <v>3.5249999999999999</v>
      </c>
    </row>
    <row r="154" spans="2:4">
      <c r="B154" s="528">
        <v>41426</v>
      </c>
      <c r="C154" s="529">
        <v>3.5369999999999999</v>
      </c>
    </row>
    <row r="155" spans="2:4">
      <c r="B155" s="528">
        <v>41456</v>
      </c>
      <c r="C155" s="529">
        <v>3.5540000000000003</v>
      </c>
    </row>
    <row r="156" spans="2:4">
      <c r="B156" s="528">
        <v>41487</v>
      </c>
      <c r="C156" s="529">
        <v>3.5575000000000001</v>
      </c>
    </row>
    <row r="157" spans="2:4">
      <c r="B157" s="528">
        <v>41518</v>
      </c>
      <c r="C157" s="529">
        <v>3.5370000000000004</v>
      </c>
    </row>
    <row r="158" spans="2:4">
      <c r="B158" s="528">
        <v>41548</v>
      </c>
      <c r="C158" s="529">
        <v>3.5805000000000002</v>
      </c>
    </row>
    <row r="159" spans="2:4">
      <c r="B159" s="528">
        <v>41579</v>
      </c>
      <c r="C159" s="529">
        <v>4.0665000000000004</v>
      </c>
    </row>
    <row r="160" spans="2:4">
      <c r="B160" s="528">
        <v>41609</v>
      </c>
      <c r="C160" s="529">
        <v>4.5015000000000009</v>
      </c>
      <c r="D160" s="529">
        <f>AVERAGE(C149:C160)</f>
        <v>3.8856666666666668</v>
      </c>
    </row>
    <row r="161" spans="2:4">
      <c r="B161" s="528">
        <v>41640</v>
      </c>
      <c r="C161" s="529">
        <v>4.9375</v>
      </c>
    </row>
    <row r="162" spans="2:4">
      <c r="B162" s="528">
        <v>41671</v>
      </c>
      <c r="C162" s="529">
        <v>4.8019999999999996</v>
      </c>
    </row>
    <row r="163" spans="2:4">
      <c r="B163" s="528">
        <v>41699</v>
      </c>
      <c r="C163" s="529">
        <v>4.1930000000000005</v>
      </c>
    </row>
    <row r="164" spans="2:4">
      <c r="B164" s="528">
        <v>41730</v>
      </c>
      <c r="C164" s="529">
        <v>3.6840000000000006</v>
      </c>
    </row>
    <row r="165" spans="2:4">
      <c r="B165" s="528">
        <v>41760</v>
      </c>
      <c r="C165" s="529">
        <v>3.625</v>
      </c>
    </row>
    <row r="166" spans="2:4">
      <c r="B166" s="528">
        <v>41791</v>
      </c>
      <c r="C166" s="529">
        <v>3.637</v>
      </c>
    </row>
    <row r="167" spans="2:4">
      <c r="B167" s="528">
        <v>41821</v>
      </c>
      <c r="C167" s="529">
        <v>3.6540000000000004</v>
      </c>
    </row>
    <row r="168" spans="2:4">
      <c r="B168" s="528">
        <v>41852</v>
      </c>
      <c r="C168" s="529">
        <v>3.6575000000000002</v>
      </c>
    </row>
    <row r="169" spans="2:4">
      <c r="B169" s="528">
        <v>41883</v>
      </c>
      <c r="C169" s="529">
        <v>3.6370000000000005</v>
      </c>
    </row>
    <row r="170" spans="2:4">
      <c r="B170" s="528">
        <v>41913</v>
      </c>
      <c r="C170" s="529">
        <v>3.6805000000000003</v>
      </c>
    </row>
    <row r="171" spans="2:4">
      <c r="B171" s="528">
        <v>41944</v>
      </c>
      <c r="C171" s="529">
        <v>4.166500000000001</v>
      </c>
    </row>
    <row r="172" spans="2:4">
      <c r="B172" s="528">
        <v>41974</v>
      </c>
      <c r="C172" s="529">
        <v>4.6015000000000006</v>
      </c>
      <c r="D172" s="529">
        <f>AVERAGE(C161:C172)</f>
        <v>4.0229583333333343</v>
      </c>
    </row>
    <row r="173" spans="2:4">
      <c r="B173" s="528">
        <v>42005</v>
      </c>
      <c r="C173" s="529">
        <v>5.0425000000000004</v>
      </c>
    </row>
    <row r="174" spans="2:4">
      <c r="B174" s="528">
        <v>42036</v>
      </c>
      <c r="C174" s="529">
        <v>4.907</v>
      </c>
    </row>
    <row r="175" spans="2:4">
      <c r="B175" s="528">
        <v>42064</v>
      </c>
      <c r="C175" s="529">
        <v>4.298</v>
      </c>
    </row>
    <row r="176" spans="2:4">
      <c r="B176" s="528">
        <v>42095</v>
      </c>
      <c r="C176" s="529">
        <v>3.7890000000000006</v>
      </c>
    </row>
    <row r="177" spans="2:4">
      <c r="B177" s="528">
        <v>42125</v>
      </c>
      <c r="C177" s="529">
        <v>3.73</v>
      </c>
    </row>
    <row r="178" spans="2:4">
      <c r="B178" s="528">
        <v>42156</v>
      </c>
      <c r="C178" s="529">
        <v>3.742</v>
      </c>
    </row>
    <row r="179" spans="2:4">
      <c r="B179" s="528">
        <v>42186</v>
      </c>
      <c r="C179" s="529">
        <v>3.7590000000000003</v>
      </c>
    </row>
    <row r="180" spans="2:4">
      <c r="B180" s="528">
        <v>42217</v>
      </c>
      <c r="C180" s="529">
        <v>3.7625000000000002</v>
      </c>
    </row>
    <row r="181" spans="2:4">
      <c r="B181" s="528">
        <v>42248</v>
      </c>
      <c r="C181" s="529">
        <v>3.7420000000000004</v>
      </c>
    </row>
    <row r="182" spans="2:4">
      <c r="B182" s="528">
        <v>42278</v>
      </c>
      <c r="C182" s="529">
        <v>3.7855000000000003</v>
      </c>
    </row>
    <row r="183" spans="2:4">
      <c r="B183" s="528">
        <v>42309</v>
      </c>
      <c r="C183" s="529">
        <v>4.2715000000000005</v>
      </c>
    </row>
    <row r="184" spans="2:4">
      <c r="B184" s="528">
        <v>42339</v>
      </c>
      <c r="C184" s="529">
        <v>4.706500000000001</v>
      </c>
      <c r="D184" s="529">
        <f>AVERAGE(C173:C184)</f>
        <v>4.127958333333333</v>
      </c>
    </row>
    <row r="185" spans="2:4">
      <c r="B185" s="528">
        <v>42370</v>
      </c>
      <c r="C185" s="529">
        <v>5.1524999999999999</v>
      </c>
    </row>
    <row r="186" spans="2:4">
      <c r="B186" s="528">
        <v>42401</v>
      </c>
      <c r="C186" s="529">
        <v>5.0169999999999995</v>
      </c>
    </row>
    <row r="187" spans="2:4">
      <c r="B187" s="528">
        <v>42430</v>
      </c>
      <c r="C187" s="529">
        <v>4.4080000000000004</v>
      </c>
    </row>
    <row r="188" spans="2:4">
      <c r="B188" s="528">
        <v>42461</v>
      </c>
      <c r="C188" s="529">
        <v>3.8990000000000005</v>
      </c>
    </row>
    <row r="189" spans="2:4">
      <c r="B189" s="528">
        <v>42491</v>
      </c>
      <c r="C189" s="529">
        <v>3.84</v>
      </c>
    </row>
    <row r="190" spans="2:4">
      <c r="B190" s="528">
        <v>42522</v>
      </c>
      <c r="C190" s="529">
        <v>3.8519999999999999</v>
      </c>
    </row>
    <row r="191" spans="2:4">
      <c r="B191" s="528">
        <v>42552</v>
      </c>
      <c r="C191" s="529">
        <v>3.8690000000000007</v>
      </c>
    </row>
    <row r="192" spans="2:4">
      <c r="B192" s="528">
        <v>42583</v>
      </c>
      <c r="C192" s="529">
        <v>3.8725000000000001</v>
      </c>
    </row>
    <row r="193" spans="2:4">
      <c r="B193" s="528">
        <v>42614</v>
      </c>
      <c r="C193" s="529">
        <v>3.8520000000000003</v>
      </c>
    </row>
    <row r="194" spans="2:4">
      <c r="B194" s="528">
        <v>42644</v>
      </c>
      <c r="C194" s="529">
        <v>3.8955000000000002</v>
      </c>
    </row>
    <row r="195" spans="2:4">
      <c r="B195" s="528">
        <v>42675</v>
      </c>
      <c r="C195" s="529">
        <v>4.3815000000000008</v>
      </c>
    </row>
    <row r="196" spans="2:4">
      <c r="B196" s="528">
        <v>42705</v>
      </c>
      <c r="C196" s="529">
        <v>4.8165000000000004</v>
      </c>
      <c r="D196" s="529">
        <f>AVERAGE(C185:C196)</f>
        <v>4.2379583333333333</v>
      </c>
    </row>
    <row r="197" spans="2:4">
      <c r="B197" s="528">
        <v>42736</v>
      </c>
      <c r="C197" s="529">
        <v>5.2675000000000001</v>
      </c>
    </row>
    <row r="198" spans="2:4">
      <c r="B198" s="528">
        <v>42767</v>
      </c>
      <c r="C198" s="529">
        <v>5.1319999999999997</v>
      </c>
    </row>
    <row r="199" spans="2:4">
      <c r="B199" s="528">
        <v>42795</v>
      </c>
      <c r="C199" s="529">
        <v>4.5230000000000006</v>
      </c>
    </row>
    <row r="200" spans="2:4">
      <c r="B200" s="528">
        <v>42826</v>
      </c>
      <c r="C200" s="529">
        <v>4.0140000000000002</v>
      </c>
    </row>
    <row r="201" spans="2:4">
      <c r="B201" s="528">
        <v>42856</v>
      </c>
      <c r="C201" s="529">
        <v>3.9550000000000001</v>
      </c>
    </row>
    <row r="202" spans="2:4">
      <c r="B202" s="528">
        <v>42887</v>
      </c>
      <c r="C202" s="529">
        <v>3.9670000000000001</v>
      </c>
    </row>
    <row r="203" spans="2:4">
      <c r="B203" s="528">
        <v>42917</v>
      </c>
      <c r="C203" s="529">
        <v>3.9840000000000004</v>
      </c>
    </row>
    <row r="204" spans="2:4">
      <c r="B204" s="528">
        <v>42948</v>
      </c>
      <c r="C204" s="529">
        <v>3.9874999999999998</v>
      </c>
    </row>
    <row r="205" spans="2:4">
      <c r="B205" s="528">
        <v>42979</v>
      </c>
      <c r="C205" s="529">
        <v>3.9670000000000001</v>
      </c>
    </row>
    <row r="206" spans="2:4">
      <c r="B206" s="528">
        <v>43009</v>
      </c>
      <c r="C206" s="529">
        <v>4.0105000000000004</v>
      </c>
    </row>
    <row r="207" spans="2:4">
      <c r="B207" s="528">
        <v>43040</v>
      </c>
      <c r="C207" s="529">
        <v>4.4965000000000011</v>
      </c>
    </row>
    <row r="208" spans="2:4">
      <c r="B208" s="528">
        <v>43070</v>
      </c>
      <c r="C208" s="529">
        <v>4.9315000000000007</v>
      </c>
      <c r="D208" s="529">
        <f>AVERAGE(C197:C208)</f>
        <v>4.3529583333333335</v>
      </c>
    </row>
    <row r="209" spans="2:4">
      <c r="B209" s="528">
        <v>43101</v>
      </c>
      <c r="C209" s="529">
        <v>5.3875000000000002</v>
      </c>
    </row>
    <row r="210" spans="2:4">
      <c r="B210" s="528">
        <v>43132</v>
      </c>
      <c r="C210" s="529">
        <v>5.2519999999999998</v>
      </c>
    </row>
    <row r="211" spans="2:4">
      <c r="B211" s="528">
        <v>43160</v>
      </c>
      <c r="C211" s="529">
        <v>4.6429999999999998</v>
      </c>
    </row>
    <row r="212" spans="2:4">
      <c r="B212" s="528">
        <v>43191</v>
      </c>
      <c r="C212" s="529">
        <v>4.1340000000000003</v>
      </c>
    </row>
    <row r="213" spans="2:4">
      <c r="B213" s="528">
        <v>43221</v>
      </c>
      <c r="C213" s="529">
        <v>4.0750000000000002</v>
      </c>
    </row>
    <row r="214" spans="2:4">
      <c r="B214" s="528">
        <v>43252</v>
      </c>
      <c r="C214" s="529">
        <v>4.0870000000000006</v>
      </c>
    </row>
    <row r="215" spans="2:4">
      <c r="B215" s="528">
        <v>43282</v>
      </c>
      <c r="C215" s="529">
        <v>4.104000000000001</v>
      </c>
    </row>
    <row r="216" spans="2:4">
      <c r="B216" s="528">
        <v>43313</v>
      </c>
      <c r="C216" s="529">
        <v>4.1074999999999999</v>
      </c>
    </row>
    <row r="217" spans="2:4">
      <c r="B217" s="528">
        <v>43344</v>
      </c>
      <c r="C217" s="529">
        <v>4.0869999999999997</v>
      </c>
    </row>
    <row r="218" spans="2:4">
      <c r="B218" s="528">
        <v>43374</v>
      </c>
      <c r="C218" s="529">
        <v>4.1304999999999996</v>
      </c>
    </row>
    <row r="219" spans="2:4">
      <c r="B219" s="528">
        <v>43405</v>
      </c>
      <c r="C219" s="529">
        <v>4.6165000000000012</v>
      </c>
    </row>
    <row r="220" spans="2:4">
      <c r="B220" s="528">
        <v>43435</v>
      </c>
      <c r="C220" s="529">
        <v>5.0515000000000008</v>
      </c>
      <c r="D220" s="529">
        <f>AVERAGE(C209:C220)</f>
        <v>4.4729583333333336</v>
      </c>
    </row>
    <row r="221" spans="2:4">
      <c r="B221" s="528">
        <v>43466</v>
      </c>
      <c r="C221" s="529">
        <v>5.5125000000000002</v>
      </c>
    </row>
    <row r="222" spans="2:4">
      <c r="B222" s="528">
        <v>43497</v>
      </c>
      <c r="C222" s="529">
        <v>5.3769999999999998</v>
      </c>
    </row>
    <row r="223" spans="2:4">
      <c r="B223" s="528">
        <v>43525</v>
      </c>
      <c r="C223" s="529">
        <v>4.7679999999999998</v>
      </c>
    </row>
    <row r="224" spans="2:4">
      <c r="B224" s="528">
        <v>43556</v>
      </c>
      <c r="C224" s="529">
        <v>4.2590000000000003</v>
      </c>
    </row>
    <row r="225" spans="2:4">
      <c r="B225" s="528">
        <v>43586</v>
      </c>
      <c r="C225" s="529">
        <v>4.2</v>
      </c>
    </row>
    <row r="226" spans="2:4">
      <c r="B226" s="528">
        <v>43617</v>
      </c>
      <c r="C226" s="529">
        <v>4.2120000000000006</v>
      </c>
    </row>
    <row r="227" spans="2:4">
      <c r="B227" s="528">
        <v>43647</v>
      </c>
      <c r="C227" s="529">
        <v>4.229000000000001</v>
      </c>
    </row>
    <row r="228" spans="2:4">
      <c r="B228" s="528">
        <v>43678</v>
      </c>
      <c r="C228" s="529">
        <v>4.2324999999999999</v>
      </c>
    </row>
    <row r="229" spans="2:4">
      <c r="B229" s="528">
        <v>43709</v>
      </c>
      <c r="C229" s="529">
        <v>4.2119999999999997</v>
      </c>
    </row>
    <row r="230" spans="2:4">
      <c r="B230" s="528">
        <v>43739</v>
      </c>
      <c r="C230" s="529">
        <v>4.2554999999999996</v>
      </c>
    </row>
    <row r="231" spans="2:4">
      <c r="B231" s="528">
        <v>43770</v>
      </c>
      <c r="C231" s="529">
        <v>4.7415000000000012</v>
      </c>
    </row>
    <row r="232" spans="2:4">
      <c r="B232" s="528">
        <v>43800</v>
      </c>
      <c r="C232" s="529">
        <v>5.1765000000000008</v>
      </c>
      <c r="D232" s="529">
        <f>AVERAGE(C221:C232)</f>
        <v>4.5979583333333336</v>
      </c>
    </row>
    <row r="233" spans="2:4">
      <c r="B233" s="528">
        <v>43831</v>
      </c>
      <c r="C233" s="529">
        <v>5.6425000000000001</v>
      </c>
    </row>
    <row r="234" spans="2:4">
      <c r="B234" s="528">
        <v>43862</v>
      </c>
      <c r="C234" s="529">
        <v>5.5069999999999997</v>
      </c>
    </row>
    <row r="235" spans="2:4">
      <c r="B235" s="528">
        <v>43891</v>
      </c>
      <c r="C235" s="529">
        <v>4.8979999999999997</v>
      </c>
    </row>
    <row r="236" spans="2:4">
      <c r="B236" s="528">
        <v>43922</v>
      </c>
      <c r="C236" s="529">
        <v>4.3890000000000002</v>
      </c>
    </row>
    <row r="237" spans="2:4">
      <c r="B237" s="528">
        <v>43952</v>
      </c>
      <c r="C237" s="529">
        <v>4.33</v>
      </c>
    </row>
    <row r="238" spans="2:4">
      <c r="B238" s="528">
        <v>43983</v>
      </c>
      <c r="C238" s="529">
        <v>4.3420000000000005</v>
      </c>
    </row>
    <row r="239" spans="2:4">
      <c r="B239" s="528">
        <v>44013</v>
      </c>
      <c r="C239" s="529">
        <v>4.3590000000000009</v>
      </c>
    </row>
    <row r="240" spans="2:4">
      <c r="B240" s="528">
        <v>44044</v>
      </c>
      <c r="C240" s="529">
        <v>4.3624999999999998</v>
      </c>
    </row>
    <row r="241" spans="2:4">
      <c r="B241" s="528">
        <v>44075</v>
      </c>
      <c r="C241" s="529">
        <v>4.3419999999999996</v>
      </c>
    </row>
    <row r="242" spans="2:4">
      <c r="B242" s="528">
        <v>44105</v>
      </c>
      <c r="C242" s="529">
        <v>4.3855000000000004</v>
      </c>
    </row>
    <row r="243" spans="2:4">
      <c r="B243" s="528">
        <v>44136</v>
      </c>
      <c r="C243" s="529">
        <v>4.8715000000000011</v>
      </c>
    </row>
    <row r="244" spans="2:4">
      <c r="B244" s="528">
        <v>44166</v>
      </c>
      <c r="C244" s="529">
        <v>5.3065000000000007</v>
      </c>
      <c r="D244" s="529">
        <f>AVERAGE(C233:C244)</f>
        <v>4.7279583333333335</v>
      </c>
    </row>
    <row r="245" spans="2:4">
      <c r="B245" s="528">
        <v>44197</v>
      </c>
      <c r="C245" s="529">
        <v>5.7774999999999999</v>
      </c>
    </row>
    <row r="246" spans="2:4">
      <c r="B246" s="528">
        <v>44228</v>
      </c>
      <c r="C246" s="529">
        <v>5.6420000000000003</v>
      </c>
    </row>
    <row r="247" spans="2:4">
      <c r="B247" s="528">
        <v>44256</v>
      </c>
      <c r="C247" s="529">
        <v>5.0330000000000004</v>
      </c>
    </row>
    <row r="248" spans="2:4">
      <c r="B248" s="528">
        <v>44287</v>
      </c>
      <c r="C248" s="529">
        <v>4.524</v>
      </c>
    </row>
    <row r="249" spans="2:4">
      <c r="B249" s="528">
        <v>44317</v>
      </c>
      <c r="C249" s="529">
        <v>4.4649999999999999</v>
      </c>
    </row>
    <row r="250" spans="2:4">
      <c r="B250" s="528">
        <v>44348</v>
      </c>
      <c r="C250" s="529">
        <v>4.4770000000000003</v>
      </c>
    </row>
    <row r="251" spans="2:4">
      <c r="B251" s="528">
        <v>44378</v>
      </c>
      <c r="C251" s="529">
        <v>4.4940000000000007</v>
      </c>
    </row>
    <row r="252" spans="2:4">
      <c r="B252" s="528">
        <v>44409</v>
      </c>
      <c r="C252" s="529">
        <v>4.4974999999999996</v>
      </c>
    </row>
    <row r="253" spans="2:4">
      <c r="B253" s="528">
        <v>44440</v>
      </c>
      <c r="C253" s="529">
        <v>4.4769999999999994</v>
      </c>
    </row>
    <row r="254" spans="2:4">
      <c r="B254" s="528">
        <v>44470</v>
      </c>
      <c r="C254" s="529">
        <v>4.5205000000000002</v>
      </c>
    </row>
    <row r="255" spans="2:4">
      <c r="B255" s="528">
        <v>44501</v>
      </c>
      <c r="C255" s="529">
        <v>5.0065000000000008</v>
      </c>
    </row>
    <row r="256" spans="2:4">
      <c r="B256" s="528">
        <v>44531</v>
      </c>
      <c r="C256" s="529">
        <v>5.4415000000000004</v>
      </c>
      <c r="D256" s="529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2.75"/>
  <cols>
    <col min="1" max="1" width="3.7109375" customWidth="1"/>
    <col min="2" max="2" width="31.28515625" customWidth="1"/>
    <col min="3" max="3" width="9.28515625" customWidth="1"/>
    <col min="4" max="4" width="15.140625" customWidth="1"/>
    <col min="5" max="5" width="3" customWidth="1"/>
    <col min="6" max="6" width="15" customWidth="1"/>
  </cols>
  <sheetData>
    <row r="1" spans="2:6" ht="13.5" thickBot="1">
      <c r="B1" t="s">
        <v>467</v>
      </c>
    </row>
    <row r="2" spans="2:6">
      <c r="B2" s="536"/>
      <c r="C2" s="406"/>
      <c r="D2" s="406" t="s">
        <v>462</v>
      </c>
      <c r="E2" s="406"/>
      <c r="F2" s="537" t="s">
        <v>463</v>
      </c>
    </row>
    <row r="3" spans="2:6">
      <c r="B3" s="515" t="s">
        <v>447</v>
      </c>
      <c r="C3" s="177" t="s">
        <v>460</v>
      </c>
      <c r="D3" s="538">
        <v>188</v>
      </c>
      <c r="E3" s="538"/>
      <c r="F3" s="539">
        <v>188</v>
      </c>
    </row>
    <row r="4" spans="2:6">
      <c r="B4" s="515" t="s">
        <v>448</v>
      </c>
      <c r="C4" s="177" t="s">
        <v>460</v>
      </c>
      <c r="D4" s="538"/>
      <c r="E4" s="538"/>
      <c r="F4" s="539">
        <v>32</v>
      </c>
    </row>
    <row r="5" spans="2:6">
      <c r="B5" s="515" t="s">
        <v>449</v>
      </c>
      <c r="C5" s="177" t="s">
        <v>460</v>
      </c>
      <c r="D5" s="538"/>
      <c r="E5" s="538"/>
      <c r="F5" s="539">
        <v>-2</v>
      </c>
    </row>
    <row r="6" spans="2:6">
      <c r="B6" s="515" t="s">
        <v>450</v>
      </c>
      <c r="C6" s="177" t="s">
        <v>460</v>
      </c>
      <c r="D6" s="538"/>
      <c r="E6" s="538"/>
      <c r="F6" s="539">
        <v>6</v>
      </c>
    </row>
    <row r="7" spans="2:6">
      <c r="B7" s="515"/>
      <c r="C7" s="177"/>
      <c r="D7" s="177"/>
      <c r="E7" s="177"/>
      <c r="F7" s="325"/>
    </row>
    <row r="8" spans="2:6">
      <c r="B8" s="515" t="s">
        <v>451</v>
      </c>
      <c r="C8" s="177" t="s">
        <v>460</v>
      </c>
      <c r="D8" s="177">
        <v>188</v>
      </c>
      <c r="E8" s="177"/>
      <c r="F8" s="325">
        <v>224</v>
      </c>
    </row>
    <row r="9" spans="2:6">
      <c r="B9" s="515"/>
      <c r="C9" s="177"/>
      <c r="D9" s="177"/>
      <c r="E9" s="177"/>
      <c r="F9" s="325"/>
    </row>
    <row r="10" spans="2:6">
      <c r="B10" s="515" t="s">
        <v>452</v>
      </c>
      <c r="C10" s="177" t="s">
        <v>461</v>
      </c>
      <c r="D10" s="177">
        <v>1957</v>
      </c>
      <c r="E10" s="177"/>
      <c r="F10" s="325">
        <v>1957</v>
      </c>
    </row>
    <row r="11" spans="2:6">
      <c r="B11" s="515"/>
      <c r="C11" s="177"/>
      <c r="D11" s="177"/>
      <c r="E11" s="177"/>
      <c r="F11" s="325"/>
    </row>
    <row r="12" spans="2:6">
      <c r="B12" s="515" t="s">
        <v>453</v>
      </c>
      <c r="C12" s="177" t="s">
        <v>464</v>
      </c>
      <c r="D12" s="306">
        <v>10409</v>
      </c>
      <c r="E12" s="306"/>
      <c r="F12" s="540">
        <v>8728</v>
      </c>
    </row>
    <row r="13" spans="2:6">
      <c r="B13" s="515"/>
      <c r="C13" s="177"/>
      <c r="D13" s="177"/>
      <c r="E13" s="177"/>
      <c r="F13" s="325"/>
    </row>
    <row r="14" spans="2:6">
      <c r="B14" s="515" t="s">
        <v>454</v>
      </c>
      <c r="C14" s="177" t="s">
        <v>465</v>
      </c>
      <c r="D14" s="541">
        <v>101000</v>
      </c>
      <c r="E14" s="542"/>
      <c r="F14" s="543">
        <v>101000</v>
      </c>
    </row>
    <row r="15" spans="2:6">
      <c r="B15" s="515" t="s">
        <v>455</v>
      </c>
      <c r="C15" s="177" t="s">
        <v>465</v>
      </c>
      <c r="D15" s="538"/>
      <c r="E15" s="538"/>
      <c r="F15" s="544">
        <v>18400</v>
      </c>
    </row>
    <row r="16" spans="2:6">
      <c r="B16" s="515" t="s">
        <v>456</v>
      </c>
      <c r="C16" s="177" t="s">
        <v>465</v>
      </c>
      <c r="D16" s="538"/>
      <c r="E16" s="538"/>
      <c r="F16" s="544">
        <v>-6000</v>
      </c>
    </row>
    <row r="17" spans="2:6">
      <c r="B17" s="515"/>
      <c r="C17" s="177"/>
      <c r="D17" s="177"/>
      <c r="E17" s="177"/>
      <c r="F17" s="325"/>
    </row>
    <row r="18" spans="2:6">
      <c r="B18" s="515" t="s">
        <v>457</v>
      </c>
      <c r="C18" s="177" t="s">
        <v>465</v>
      </c>
      <c r="D18" s="542">
        <v>101000</v>
      </c>
      <c r="E18" s="542"/>
      <c r="F18" s="543">
        <v>113400</v>
      </c>
    </row>
    <row r="19" spans="2:6">
      <c r="B19" s="515"/>
      <c r="C19" s="177" t="s">
        <v>466</v>
      </c>
      <c r="D19" s="177">
        <v>537</v>
      </c>
      <c r="E19" s="177"/>
      <c r="F19" s="325">
        <v>506</v>
      </c>
    </row>
    <row r="20" spans="2:6">
      <c r="B20" s="515"/>
      <c r="C20" s="177"/>
      <c r="D20" s="177"/>
      <c r="E20" s="177"/>
      <c r="F20" s="325"/>
    </row>
    <row r="21" spans="2:6">
      <c r="B21" s="515" t="s">
        <v>458</v>
      </c>
      <c r="C21" s="177" t="s">
        <v>460</v>
      </c>
      <c r="D21" s="177"/>
      <c r="E21" s="177"/>
      <c r="F21" s="325">
        <v>36</v>
      </c>
    </row>
    <row r="22" spans="2:6" ht="13.5" thickBot="1">
      <c r="B22" s="545" t="s">
        <v>459</v>
      </c>
      <c r="C22" s="411" t="s">
        <v>466</v>
      </c>
      <c r="D22" s="411"/>
      <c r="E22" s="411"/>
      <c r="F22" s="546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92</v>
      </c>
      <c r="B4" s="5"/>
    </row>
    <row r="6" spans="1:3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1">
        <v>37256</v>
      </c>
      <c r="D8" s="361">
        <v>37621</v>
      </c>
      <c r="E8" s="361">
        <v>37986</v>
      </c>
      <c r="F8" s="361">
        <v>38352</v>
      </c>
      <c r="G8" s="361">
        <v>38717</v>
      </c>
      <c r="H8" s="361">
        <v>39082</v>
      </c>
      <c r="I8" s="361">
        <v>39447</v>
      </c>
      <c r="J8" s="361">
        <v>39813</v>
      </c>
      <c r="K8" s="361">
        <v>40178</v>
      </c>
      <c r="L8" s="361">
        <v>40543</v>
      </c>
      <c r="M8" s="361">
        <v>40908</v>
      </c>
      <c r="N8" s="361">
        <v>41274</v>
      </c>
      <c r="O8" s="361">
        <v>41639</v>
      </c>
      <c r="P8" s="361">
        <v>42004</v>
      </c>
      <c r="Q8" s="361">
        <v>42369</v>
      </c>
      <c r="R8" s="361">
        <v>42735</v>
      </c>
      <c r="S8" s="361">
        <v>43100</v>
      </c>
      <c r="T8" s="361">
        <v>43465</v>
      </c>
      <c r="U8" s="361">
        <v>43830</v>
      </c>
      <c r="V8" s="361">
        <v>44196</v>
      </c>
      <c r="W8" s="361">
        <v>44561</v>
      </c>
      <c r="X8" s="361">
        <v>44926</v>
      </c>
      <c r="Y8" s="361">
        <v>45291</v>
      </c>
      <c r="Z8" s="361">
        <v>45657</v>
      </c>
      <c r="AA8" s="361">
        <v>46022</v>
      </c>
      <c r="AB8" s="361">
        <v>46387</v>
      </c>
      <c r="AC8" s="361">
        <v>46752</v>
      </c>
      <c r="AD8" s="361">
        <v>47118</v>
      </c>
      <c r="AE8" s="361">
        <v>47483</v>
      </c>
      <c r="AF8" s="361">
        <v>47848</v>
      </c>
      <c r="AG8" s="361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12560.94148754508</v>
      </c>
      <c r="D10" s="74">
        <f>IF(D6&lt;Assumptions!$H$19,12*'Price_Technical Assumption'!E21*Assumptions!$H$69,IF(AND(C6&lt;Assumptions!$H$19,D6&gt;Assumptions!$H$19),(1-$C$6)*12*'Price_Technical Assumption'!E21*Assumptions!$H$69,0))</f>
        <v>18841.412231317623</v>
      </c>
      <c r="E10" s="74">
        <f>IF(E6&lt;Assumptions!$H$19,12*'Price_Technical Assumption'!F21*Assumptions!$H$69,IF(AND(D6&lt;Assumptions!$H$19,E6&gt;Assumptions!$H$19),(1-$C$6)*12*'Price_Technical Assumption'!F21*Assumptions!$H$69,0))</f>
        <v>18841.412231317623</v>
      </c>
      <c r="F10" s="74">
        <f>IF(F6&lt;Assumptions!$H$19,12*'Price_Technical Assumption'!G21*Assumptions!$H$69,IF(AND(E6&lt;Assumptions!$H$19,F6&gt;Assumptions!$H$19),(1-$C$6)*12*'Price_Technical Assumption'!G21*Assumptions!$H$69,0))</f>
        <v>18841.412231317623</v>
      </c>
      <c r="G10" s="74">
        <f>IF(G6&lt;Assumptions!$H$19,12*'Price_Technical Assumption'!H21*Assumptions!$H$69,IF(AND(F6&lt;Assumptions!$H$19,G6&gt;Assumptions!$H$19),(1-$C$6)*12*'Price_Technical Assumption'!H21*Assumptions!$H$69,0))</f>
        <v>18841.412231317623</v>
      </c>
      <c r="H10" s="74">
        <f>IF(H6&lt;Assumptions!$H$19,12*'Price_Technical Assumption'!I21*Assumptions!$H$69,IF(AND(G6&lt;Assumptions!$H$19,H6&gt;Assumptions!$H$19),(1-$C$6)*12*'Price_Technical Assumption'!I21*Assumptions!$H$69,0))</f>
        <v>18841.412231317623</v>
      </c>
      <c r="I10" s="74">
        <f>IF(I6&lt;Assumptions!$H$19,12*'Price_Technical Assumption'!J21*Assumptions!$H$69,IF(AND(H6&lt;Assumptions!$H$19,I6&gt;Assumptions!$H$19),(1-$C$6)*12*'Price_Technical Assumption'!J21*Assumptions!$H$69,0))</f>
        <v>18841.412231317623</v>
      </c>
      <c r="J10" s="74">
        <f>IF(J6&lt;Assumptions!$H$19,12*'Price_Technical Assumption'!K21*Assumptions!$H$69,IF(AND(I6&lt;Assumptions!$H$19,J6&gt;Assumptions!$H$19),(1-$C$6)*12*'Price_Technical Assumption'!K21*Assumptions!$H$69,0))</f>
        <v>18841.412231317623</v>
      </c>
      <c r="K10" s="74">
        <f>IF(K6&lt;Assumptions!$H$19,12*'Price_Technical Assumption'!L21*Assumptions!$H$69,IF(AND(J6&lt;Assumptions!$H$19,K6&gt;Assumptions!$H$19),(1-$C$6)*12*'Price_Technical Assumption'!L21*Assumptions!$H$69,0))</f>
        <v>18841.412231317623</v>
      </c>
      <c r="L10" s="74">
        <f>IF(L6&lt;Assumptions!$H$19,12*'Price_Technical Assumption'!M21*Assumptions!$H$69,IF(AND(K6&lt;Assumptions!$H$19,L6&gt;Assumptions!$H$19),(1-$C$6)*12*'Price_Technical Assumption'!M21*Assumptions!$H$69,0))</f>
        <v>18841.412231317623</v>
      </c>
      <c r="M10" s="74">
        <f>IF(M6&lt;Assumptions!$H$19,12*'Price_Technical Assumption'!N21*Assumptions!$H$69,IF(AND(L6&lt;Assumptions!$H$19,M6&gt;Assumptions!$H$19),(1-$C$6)*12*'Price_Technical Assumption'!N21*Assumptions!$H$69,0))</f>
        <v>18841.412231317623</v>
      </c>
      <c r="N10" s="74">
        <f>IF(N6&lt;Assumptions!$H$19,12*'Price_Technical Assumption'!O21*Assumptions!$H$69,IF(AND(M6&lt;Assumptions!$H$19,N6&gt;Assumptions!$H$19),(1-$C$6)*12*'Price_Technical Assumption'!O21*Assumptions!$H$69,0))</f>
        <v>18841.412231317623</v>
      </c>
      <c r="O10" s="74">
        <f>IF(O6&lt;Assumptions!$H$19,12*'Price_Technical Assumption'!P21*Assumptions!$H$69,IF(AND(N6&lt;Assumptions!$H$19,O6&gt;Assumptions!$H$19),(1-$C$6)*12*'Price_Technical Assumption'!P21*Assumptions!$H$69,0))</f>
        <v>18841.412231317623</v>
      </c>
      <c r="P10" s="74">
        <f>IF(P6&lt;Assumptions!$H$19,12*'Price_Technical Assumption'!Q21*Assumptions!$H$69,IF(AND(O6&lt;Assumptions!$H$19,P6&gt;Assumptions!$H$19),(1-$C$6)*12*'Price_Technical Assumption'!Q21*Assumptions!$H$69,0))</f>
        <v>18841.412231317623</v>
      </c>
      <c r="Q10" s="74">
        <f>IF(Q6&lt;Assumptions!$H$19,12*'Price_Technical Assumption'!R21*Assumptions!$H$69,IF(AND(P6&lt;Assumptions!$H$19,Q6&gt;Assumptions!$H$19),(1-$C$6)*12*'Price_Technical Assumption'!R21*Assumptions!$H$69,0))</f>
        <v>18841.412231317623</v>
      </c>
      <c r="R10" s="74">
        <f>IF(R6&lt;Assumptions!$H$19,12*'Price_Technical Assumption'!S21*Assumptions!$H$69,IF(AND(Q6&lt;Assumptions!$H$19,R6&gt;Assumptions!$H$19),(1-$C$6)*12*'Price_Technical Assumption'!S21*Assumptions!$H$69,0))</f>
        <v>18841.412231317623</v>
      </c>
      <c r="S10" s="74">
        <f>IF(S6&lt;Assumptions!$H$19,12*'Price_Technical Assumption'!T21*Assumptions!$H$69,IF(AND(R6&lt;Assumptions!$H$19,S6&gt;Assumptions!$H$19),(1-$C$6)*12*'Price_Technical Assumption'!T21*Assumptions!$H$69,0))</f>
        <v>18841.412231317623</v>
      </c>
      <c r="T10" s="74">
        <f>IF(T6&lt;Assumptions!$H$19,12*'Price_Technical Assumption'!U21*Assumptions!$H$69,IF(AND(S6&lt;Assumptions!$H$19,T6&gt;Assumptions!$H$19),(1-$C$6)*12*'Price_Technical Assumption'!U21*Assumptions!$H$69,0))</f>
        <v>18841.412231317623</v>
      </c>
      <c r="U10" s="74">
        <f>IF(U6&lt;Assumptions!$H$19,12*'Price_Technical Assumption'!V21*Assumptions!$H$69,IF(AND(T6&lt;Assumptions!$H$19,U6&gt;Assumptions!$H$19),(1-$C$6)*12*'Price_Technical Assumption'!V21*Assumptions!$H$69,0))</f>
        <v>18841.412231317623</v>
      </c>
      <c r="V10" s="74">
        <f>IF(V6&lt;Assumptions!$H$19,12*'Price_Technical Assumption'!W21*Assumptions!$H$69,IF(AND(U6&lt;Assumptions!$H$19,V6&gt;Assumptions!$H$19),(1-$C$6)*12*'Price_Technical Assumption'!W21*Assumptions!$H$69,0))</f>
        <v>18841.412231317623</v>
      </c>
      <c r="W10" s="74">
        <f>IF(W6&lt;Assumptions!$H$19,12*'Price_Technical Assumption'!X21*Assumptions!$H$69,IF(AND(V6&lt;Assumptions!$H$19,W6&gt;Assumptions!$H$19),(1-$C$6)*12*'Price_Technical Assumption'!X21*Assumptions!$H$69,0))</f>
        <v>6467.2494854100596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19769.157001729462</v>
      </c>
      <c r="D11" s="74">
        <f>'Price_Technical Assumption'!E38*Assumptions!$H$62/1000</f>
        <v>19676.447925206667</v>
      </c>
      <c r="E11" s="74">
        <f>'Price_Technical Assumption'!F38*Assumptions!$H$62/1000</f>
        <v>19889.466710741613</v>
      </c>
      <c r="F11" s="74">
        <f>'Price_Technical Assumption'!G38*Assumptions!$H$62/1000</f>
        <v>20206.060683495423</v>
      </c>
      <c r="G11" s="74">
        <f>'Price_Technical Assumption'!H38*Assumptions!$H$62/1000</f>
        <v>20583.4090784256</v>
      </c>
      <c r="H11" s="74">
        <f>'Price_Technical Assumption'!I38*Assumptions!$H$62/1000</f>
        <v>20983.952622084926</v>
      </c>
      <c r="I11" s="74">
        <f>'Price_Technical Assumption'!J38*Assumptions!$H$62/1000</f>
        <v>21397.689920900913</v>
      </c>
      <c r="J11" s="74">
        <f>'Price_Technical Assumption'!K38*Assumptions!$H$62/1000</f>
        <v>21842.177478168887</v>
      </c>
      <c r="K11" s="74">
        <f>'Price_Technical Assumption'!L38*Assumptions!$H$62/1000</f>
        <v>22317.435925929887</v>
      </c>
      <c r="L11" s="74">
        <f>'Price_Technical Assumption'!M38*Assumptions!$H$62/1000</f>
        <v>22823.486515186214</v>
      </c>
      <c r="M11" s="74">
        <f>'Price_Technical Assumption'!N38*Assumptions!$H$62/1000</f>
        <v>23360.351134470238</v>
      </c>
      <c r="N11" s="74">
        <f>'Price_Technical Assumption'!O38*Assumptions!$H$62/1000</f>
        <v>23856.65383506404</v>
      </c>
      <c r="O11" s="74">
        <f>'Price_Technical Assumption'!P38*Assumptions!$H$62/1000</f>
        <v>24302.396997261585</v>
      </c>
      <c r="P11" s="74">
        <f>'Price_Technical Assumption'!Q38*Assumptions!$H$62/1000</f>
        <v>25156.058026440689</v>
      </c>
      <c r="Q11" s="74">
        <f>'Price_Technical Assumption'!R38*Assumptions!$H$62/1000</f>
        <v>25816.411083337334</v>
      </c>
      <c r="R11" s="74">
        <f>'Price_Technical Assumption'!S38*Assumptions!$H$62/1000</f>
        <v>26507.697865728394</v>
      </c>
      <c r="S11" s="74">
        <f>'Price_Technical Assumption'!T38*Assumptions!$H$62/1000</f>
        <v>27229.944509666188</v>
      </c>
      <c r="T11" s="74">
        <f>'Price_Technical Assumption'!U38*Assumptions!$H$62/1000</f>
        <v>27983.17793528461</v>
      </c>
      <c r="U11" s="74">
        <f>'Price_Technical Assumption'!V38*Assumptions!$H$62/1000</f>
        <v>28767.425870321578</v>
      </c>
      <c r="V11" s="74">
        <f>'Price_Technical Assumption'!W38*Assumptions!$H$62/1000</f>
        <v>29582.716874347174</v>
      </c>
      <c r="W11" s="74">
        <f>'Price_Technical Assumption'!X38*Assumptions!$H$62/1000</f>
        <v>30429.08036371852</v>
      </c>
      <c r="X11" s="74">
        <f>'Price_Technical Assumption'!Y38*Assumptions!$H$62/1000</f>
        <v>14453.746344064766</v>
      </c>
      <c r="Y11" s="74">
        <f>'Price_Technical Assumption'!Z38*Assumptions!$H$62/1000</f>
        <v>14490.53342088671</v>
      </c>
      <c r="Z11" s="74">
        <f>'Price_Technical Assumption'!AA38*Assumptions!$H$62/1000</f>
        <v>14528.424110013313</v>
      </c>
      <c r="AA11" s="74">
        <f>'Price_Technical Assumption'!AB38*Assumptions!$H$62/1000</f>
        <v>14567.451519813712</v>
      </c>
      <c r="AB11" s="74">
        <f>'Price_Technical Assumption'!AC38*Assumptions!$H$62/1000</f>
        <v>14607.649751908124</v>
      </c>
      <c r="AC11" s="74">
        <f>'Price_Technical Assumption'!AD38*Assumptions!$H$62/1000</f>
        <v>14649.053930965367</v>
      </c>
      <c r="AD11" s="74">
        <f>'Price_Technical Assumption'!AE38*Assumptions!$H$62/1000</f>
        <v>14691.700235394326</v>
      </c>
      <c r="AE11" s="74">
        <f>'Price_Technical Assumption'!AF38*Assumptions!$H$62/1000</f>
        <v>14735.625928956157</v>
      </c>
      <c r="AF11" s="74">
        <f>'Price_Technical Assumption'!AG38*Assumptions!$H$62/1000</f>
        <v>14780.869393324845</v>
      </c>
      <c r="AG11" s="74">
        <f>'Price_Technical Assumption'!AH38*Assumptions!$H$62/1000</f>
        <v>14827.470161624586</v>
      </c>
    </row>
    <row r="12" spans="1:33">
      <c r="A12" s="205" t="s">
        <v>121</v>
      </c>
      <c r="C12" s="362">
        <v>0</v>
      </c>
      <c r="D12" s="362">
        <v>0</v>
      </c>
      <c r="E12" s="362">
        <v>0</v>
      </c>
      <c r="F12" s="362">
        <v>0</v>
      </c>
      <c r="G12" s="362">
        <v>0</v>
      </c>
      <c r="H12" s="362">
        <v>0</v>
      </c>
      <c r="I12" s="362">
        <v>0</v>
      </c>
      <c r="J12" s="362">
        <v>0</v>
      </c>
      <c r="K12" s="362">
        <v>0</v>
      </c>
      <c r="L12" s="362">
        <v>0</v>
      </c>
      <c r="M12" s="362">
        <v>0</v>
      </c>
      <c r="N12" s="362">
        <v>0</v>
      </c>
      <c r="O12" s="362">
        <v>0</v>
      </c>
      <c r="P12" s="362">
        <v>0</v>
      </c>
      <c r="Q12" s="362">
        <v>0</v>
      </c>
      <c r="R12" s="362">
        <v>0</v>
      </c>
      <c r="S12" s="362">
        <v>0</v>
      </c>
      <c r="T12" s="362">
        <v>0</v>
      </c>
      <c r="U12" s="362">
        <v>0</v>
      </c>
      <c r="V12" s="362">
        <v>0</v>
      </c>
      <c r="W12" s="362">
        <v>0</v>
      </c>
      <c r="X12" s="362">
        <v>0</v>
      </c>
      <c r="Y12" s="362">
        <v>0</v>
      </c>
      <c r="Z12" s="362">
        <v>0</v>
      </c>
      <c r="AA12" s="362">
        <v>0</v>
      </c>
      <c r="AB12" s="362">
        <v>0</v>
      </c>
      <c r="AC12" s="362">
        <v>0</v>
      </c>
      <c r="AD12" s="362">
        <v>0</v>
      </c>
      <c r="AE12" s="362">
        <v>0</v>
      </c>
      <c r="AF12" s="362">
        <v>0</v>
      </c>
      <c r="AG12" s="362">
        <v>0</v>
      </c>
    </row>
    <row r="13" spans="1:33">
      <c r="A13" s="171" t="s">
        <v>41</v>
      </c>
      <c r="C13" s="65">
        <f t="shared" ref="C13:AG13" si="0">SUM(C10:C12)</f>
        <v>32330.09848927454</v>
      </c>
      <c r="D13" s="65">
        <f t="shared" si="0"/>
        <v>38517.860156524286</v>
      </c>
      <c r="E13" s="65">
        <f t="shared" si="0"/>
        <v>38730.878942059237</v>
      </c>
      <c r="F13" s="65">
        <f t="shared" si="0"/>
        <v>39047.472914813043</v>
      </c>
      <c r="G13" s="65">
        <f t="shared" si="0"/>
        <v>39424.821309743224</v>
      </c>
      <c r="H13" s="65">
        <f t="shared" si="0"/>
        <v>39825.364853402549</v>
      </c>
      <c r="I13" s="65">
        <f t="shared" si="0"/>
        <v>40239.102152218533</v>
      </c>
      <c r="J13" s="65">
        <f t="shared" si="0"/>
        <v>40683.589709486507</v>
      </c>
      <c r="K13" s="65">
        <f t="shared" si="0"/>
        <v>41158.848157247514</v>
      </c>
      <c r="L13" s="65">
        <f t="shared" si="0"/>
        <v>41664.898746503837</v>
      </c>
      <c r="M13" s="65">
        <f t="shared" si="0"/>
        <v>42201.763365787861</v>
      </c>
      <c r="N13" s="65">
        <f t="shared" si="0"/>
        <v>42698.066066381667</v>
      </c>
      <c r="O13" s="65">
        <f t="shared" si="0"/>
        <v>43143.809228579208</v>
      </c>
      <c r="P13" s="65">
        <f t="shared" si="0"/>
        <v>43997.470257758308</v>
      </c>
      <c r="Q13" s="65">
        <f t="shared" si="0"/>
        <v>44657.823314654961</v>
      </c>
      <c r="R13" s="65">
        <f t="shared" si="0"/>
        <v>45349.110097046017</v>
      </c>
      <c r="S13" s="65">
        <f t="shared" si="0"/>
        <v>46071.356740983814</v>
      </c>
      <c r="T13" s="65">
        <f t="shared" si="0"/>
        <v>46824.590166602233</v>
      </c>
      <c r="U13" s="65">
        <f t="shared" si="0"/>
        <v>47608.838101639201</v>
      </c>
      <c r="V13" s="65">
        <f t="shared" si="0"/>
        <v>48424.129105664797</v>
      </c>
      <c r="W13" s="65">
        <f t="shared" si="0"/>
        <v>36896.329849128582</v>
      </c>
      <c r="X13" s="65">
        <f t="shared" si="0"/>
        <v>14453.746344064766</v>
      </c>
      <c r="Y13" s="65">
        <f t="shared" si="0"/>
        <v>14490.53342088671</v>
      </c>
      <c r="Z13" s="65">
        <f t="shared" si="0"/>
        <v>14528.424110013313</v>
      </c>
      <c r="AA13" s="65">
        <f t="shared" si="0"/>
        <v>14567.451519813712</v>
      </c>
      <c r="AB13" s="65">
        <f t="shared" si="0"/>
        <v>14607.649751908124</v>
      </c>
      <c r="AC13" s="65">
        <f t="shared" si="0"/>
        <v>14649.053930965367</v>
      </c>
      <c r="AD13" s="65">
        <f t="shared" si="0"/>
        <v>14691.700235394326</v>
      </c>
      <c r="AE13" s="65">
        <f t="shared" si="0"/>
        <v>14735.625928956157</v>
      </c>
      <c r="AF13" s="65">
        <f t="shared" si="0"/>
        <v>14780.869393324845</v>
      </c>
      <c r="AG13" s="65">
        <f t="shared" si="0"/>
        <v>14827.470161624586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5">
        <f>Assumptions!$H$62*'Price_Technical Assumption'!D30*'Price_Technical Assumption'!D44/1000000</f>
        <v>19109.994784781247</v>
      </c>
      <c r="D16" s="215">
        <f>Assumptions!$H$62*'Price_Technical Assumption'!E30*'Price_Technical Assumption'!E44/1000000</f>
        <v>18997.510841750001</v>
      </c>
      <c r="E16" s="215">
        <f>Assumptions!$H$62*'Price_Technical Assumption'!F30*'Price_Technical Assumption'!F44/1000000</f>
        <v>19190.161514781244</v>
      </c>
      <c r="F16" s="215">
        <f>Assumptions!$H$62*'Price_Technical Assumption'!G30*'Price_Technical Assumption'!G44/1000000</f>
        <v>19485.776331656249</v>
      </c>
      <c r="G16" s="215">
        <f>Assumptions!$H$62*'Price_Technical Assumption'!H30*'Price_Technical Assumption'!H44/1000000</f>
        <v>19841.516196031251</v>
      </c>
      <c r="H16" s="215">
        <f>Assumptions!$H$62*'Price_Technical Assumption'!I30*'Price_Technical Assumption'!I44/1000000</f>
        <v>20219.80295321875</v>
      </c>
      <c r="I16" s="215">
        <f>Assumptions!$H$62*'Price_Technical Assumption'!J30*'Price_Technical Assumption'!J44/1000000</f>
        <v>20610.615761968755</v>
      </c>
      <c r="J16" s="215">
        <f>Assumptions!$H$62*'Price_Technical Assumption'!K30*'Price_Technical Assumption'!K44/1000000</f>
        <v>21031.491094468751</v>
      </c>
      <c r="K16" s="215">
        <f>Assumptions!$H$62*'Price_Technical Assumption'!L30*'Price_Technical Assumption'!L44/1000000</f>
        <v>21482.42895071875</v>
      </c>
      <c r="L16" s="215">
        <f>Assumptions!$H$62*'Price_Technical Assumption'!M30*'Price_Technical Assumption'!M44/1000000</f>
        <v>21963.429330718744</v>
      </c>
      <c r="M16" s="215">
        <f>Assumptions!$H$62*'Price_Technical Assumption'!N30*'Price_Technical Assumption'!N44/1000000</f>
        <v>22474.492234468751</v>
      </c>
      <c r="N16" s="215">
        <f>Assumptions!$H$62*'Price_Technical Assumption'!O30*'Price_Technical Assumption'!O44/1000000</f>
        <v>22944.2191680625</v>
      </c>
      <c r="O16" s="215">
        <f>Assumptions!$H$62*'Price_Technical Assumption'!P30*'Price_Technical Assumption'!P44/1000000</f>
        <v>23362.589290249995</v>
      </c>
      <c r="P16" s="215">
        <f>Assumptions!$H$62*'Price_Technical Assumption'!Q30*'Price_Technical Assumption'!Q44/1000000</f>
        <v>24188.056088218753</v>
      </c>
      <c r="Q16" s="215">
        <f>Assumptions!$H$62*'Price_Technical Assumption'!R30*'Price_Technical Assumption'!R44/1000000</f>
        <v>24819.369086968742</v>
      </c>
      <c r="R16" s="215">
        <f>Assumptions!$H$62*'Price_Technical Assumption'!S30*'Price_Technical Assumption'!S44/1000000</f>
        <v>25480.744609468744</v>
      </c>
      <c r="S16" s="215">
        <f>Assumptions!$H$62*'Price_Technical Assumption'!T30*'Price_Technical Assumption'!T44/1000000</f>
        <v>26172.182655718749</v>
      </c>
      <c r="T16" s="215">
        <f>Assumptions!$H$62*'Price_Technical Assumption'!U30*'Price_Technical Assumption'!U44/1000000</f>
        <v>26893.683225718753</v>
      </c>
      <c r="U16" s="215">
        <f>Assumptions!$H$62*'Price_Technical Assumption'!V30*'Price_Technical Assumption'!V44/1000000</f>
        <v>27645.246319468752</v>
      </c>
      <c r="V16" s="215">
        <f>Assumptions!$H$62*'Price_Technical Assumption'!W30*'Price_Technical Assumption'!W44/1000000</f>
        <v>28426.87193696875</v>
      </c>
      <c r="W16" s="215">
        <f>Assumptions!$H$62*'Price_Technical Assumption'!X30*'Price_Technical Assumption'!X44/1000000</f>
        <v>29238.56007821875</v>
      </c>
      <c r="X16" s="215">
        <f>Assumptions!$H$62*'Price_Technical Assumption'!Y30*'Price_Technical Assumption'!Y44/1000000</f>
        <v>13227.51045</v>
      </c>
      <c r="Y16" s="215">
        <f>Assumptions!$H$62*'Price_Technical Assumption'!Z30*'Price_Technical Assumption'!Z44/1000000</f>
        <v>13227.51045</v>
      </c>
      <c r="Z16" s="215">
        <f>Assumptions!$H$62*'Price_Technical Assumption'!AA30*'Price_Technical Assumption'!AA44/1000000</f>
        <v>13227.51045</v>
      </c>
      <c r="AA16" s="215">
        <f>Assumptions!$H$62*'Price_Technical Assumption'!AB30*'Price_Technical Assumption'!AB44/1000000</f>
        <v>13227.51045</v>
      </c>
      <c r="AB16" s="215">
        <f>Assumptions!$H$62*'Price_Technical Assumption'!AC30*'Price_Technical Assumption'!AC44/1000000</f>
        <v>13227.51045</v>
      </c>
      <c r="AC16" s="215">
        <f>Assumptions!$H$62*'Price_Technical Assumption'!AD30*'Price_Technical Assumption'!AD44/1000000</f>
        <v>13227.51045</v>
      </c>
      <c r="AD16" s="215">
        <f>Assumptions!$H$62*'Price_Technical Assumption'!AE30*'Price_Technical Assumption'!AE44/1000000</f>
        <v>13227.51045</v>
      </c>
      <c r="AE16" s="215">
        <f>Assumptions!$H$62*'Price_Technical Assumption'!AF30*'Price_Technical Assumption'!AF44/1000000</f>
        <v>13227.51045</v>
      </c>
      <c r="AF16" s="215">
        <f>Assumptions!$H$62*'Price_Technical Assumption'!AG30*'Price_Technical Assumption'!AG44/1000000</f>
        <v>13227.51045</v>
      </c>
      <c r="AG16" s="215">
        <f>Assumptions!$H$62*'Price_Technical Assumption'!AH30*'Price_Technical Assumption'!AH44/1000000</f>
        <v>13227.51045</v>
      </c>
    </row>
    <row r="17" spans="1:47">
      <c r="A17" s="3" t="s">
        <v>203</v>
      </c>
      <c r="C17" s="74">
        <f>Assumptions!$N19*C6</f>
        <v>68</v>
      </c>
      <c r="D17" s="74">
        <f>Assumptions!$N19*(1+Assumptions!$N$11)</f>
        <v>105.06</v>
      </c>
      <c r="E17" s="74">
        <f>D17*(1+Assumptions!$N$11)</f>
        <v>108.21180000000001</v>
      </c>
      <c r="F17" s="74">
        <f>E17*(1+Assumptions!$N$11)</f>
        <v>111.45815400000001</v>
      </c>
      <c r="G17" s="74">
        <f>F17*(1+Assumptions!$N$11)</f>
        <v>114.80189862000002</v>
      </c>
      <c r="H17" s="74">
        <f>G17*(1+Assumptions!$N$11)</f>
        <v>118.24595557860002</v>
      </c>
      <c r="I17" s="74">
        <f>H17*(1+Assumptions!$N$11)</f>
        <v>121.79333424595802</v>
      </c>
      <c r="J17" s="74">
        <f>I17*(1+Assumptions!$N$11)</f>
        <v>125.44713427333677</v>
      </c>
      <c r="K17" s="74">
        <f>J17*(1+Assumptions!$N$11)</f>
        <v>129.21054830153687</v>
      </c>
      <c r="L17" s="74">
        <f>K17*(1+Assumptions!$N$11)</f>
        <v>133.08686475058298</v>
      </c>
      <c r="M17" s="74">
        <f>L17*(1+Assumptions!$N$11)</f>
        <v>137.07947069310046</v>
      </c>
      <c r="N17" s="74">
        <f>M17*(1+Assumptions!$N$11)</f>
        <v>141.19185481389349</v>
      </c>
      <c r="O17" s="74">
        <f>N17*(1+Assumptions!$N$11)</f>
        <v>145.42761045831028</v>
      </c>
      <c r="P17" s="74">
        <f>O17*(1+Assumptions!$N$11)</f>
        <v>149.79043877205959</v>
      </c>
      <c r="Q17" s="74">
        <f>P17*(1+Assumptions!$N$11)</f>
        <v>154.28415193522139</v>
      </c>
      <c r="R17" s="74">
        <f>Q17*(1+Assumptions!$N$11)</f>
        <v>158.91267649327804</v>
      </c>
      <c r="S17" s="74">
        <f>R17*(1+Assumptions!$N$11)</f>
        <v>163.6800567880764</v>
      </c>
      <c r="T17" s="74">
        <f>S17*(1+Assumptions!$N$11)</f>
        <v>168.59045849171869</v>
      </c>
      <c r="U17" s="74">
        <f>T17*(1+Assumptions!$N$11)</f>
        <v>173.64817224647027</v>
      </c>
      <c r="V17" s="74">
        <f>U17*(1+Assumptions!$N$11)</f>
        <v>178.85761741386438</v>
      </c>
      <c r="W17" s="74">
        <f>V17*(1+Assumptions!$N$11)</f>
        <v>184.22334593628031</v>
      </c>
      <c r="X17" s="74">
        <f>W17*(1+Assumptions!$N$11)</f>
        <v>189.75004631436872</v>
      </c>
      <c r="Y17" s="74">
        <f>X17*(1+Assumptions!$N$11)</f>
        <v>195.44254770379979</v>
      </c>
      <c r="Z17" s="74">
        <f>Y17*(1+Assumptions!$N$11)</f>
        <v>201.30582413491379</v>
      </c>
      <c r="AA17" s="74">
        <f>Z17*(1+Assumptions!$N$11)</f>
        <v>207.34499885896122</v>
      </c>
      <c r="AB17" s="74">
        <f>AA17*(1+Assumptions!$N$11)</f>
        <v>213.56534882473005</v>
      </c>
      <c r="AC17" s="74">
        <f>AB17*(1+Assumptions!$N$11)</f>
        <v>219.97230928947195</v>
      </c>
      <c r="AD17" s="74">
        <f>AC17*(1+Assumptions!$N$11)</f>
        <v>226.57147856815612</v>
      </c>
      <c r="AE17" s="74">
        <f>AD17*(1+Assumptions!$N$11)</f>
        <v>233.36862292520081</v>
      </c>
      <c r="AF17" s="74">
        <f>AE17*(1+Assumptions!$N$11)</f>
        <v>240.36968161295684</v>
      </c>
      <c r="AG17" s="74">
        <f>AF17*(1+Assumptions!$N$11)</f>
        <v>247.58077206134556</v>
      </c>
    </row>
    <row r="18" spans="1:47">
      <c r="A18" s="3" t="s">
        <v>248</v>
      </c>
      <c r="C18" s="215">
        <f>+(Assumptions!$P$15*Assumptions!$H$62)/1000*(1+Assumptions!$N$11)^IS!C6</f>
        <v>342.48286005138721</v>
      </c>
      <c r="D18" s="74">
        <f>C18*(1+Assumptions!$N$11)</f>
        <v>352.75734585292884</v>
      </c>
      <c r="E18" s="74">
        <f>D18*(1+Assumptions!$N$11)</f>
        <v>363.34006622851672</v>
      </c>
      <c r="F18" s="74">
        <f>E18*(1+Assumptions!$N$11)</f>
        <v>374.24026821537223</v>
      </c>
      <c r="G18" s="74">
        <f>F18*(1+Assumptions!$N$11)</f>
        <v>385.46747626183338</v>
      </c>
      <c r="H18" s="74">
        <f>G18*(1+Assumptions!$N$11)</f>
        <v>397.03150054968842</v>
      </c>
      <c r="I18" s="74">
        <f>H18*(1+Assumptions!$N$11)</f>
        <v>408.94244556617906</v>
      </c>
      <c r="J18" s="74">
        <f>I18*(1+Assumptions!$N$11)</f>
        <v>421.21071893316446</v>
      </c>
      <c r="K18" s="74">
        <f>J18*(1+Assumptions!$N$11)</f>
        <v>433.84704050115943</v>
      </c>
      <c r="L18" s="74">
        <f>K18*(1+Assumptions!$N$11)</f>
        <v>446.86245171619424</v>
      </c>
      <c r="M18" s="74">
        <f>L18*(1+Assumptions!$N$11)</f>
        <v>460.2683252676801</v>
      </c>
      <c r="N18" s="74">
        <f>M18*(1+Assumptions!$N$11)</f>
        <v>474.07637502571049</v>
      </c>
      <c r="O18" s="74">
        <f>N18*(1+Assumptions!$N$11)</f>
        <v>488.29866627648181</v>
      </c>
      <c r="P18" s="74">
        <f>O18*(1+Assumptions!$N$11)</f>
        <v>502.94762626477626</v>
      </c>
      <c r="Q18" s="74">
        <f>P18*(1+Assumptions!$N$11)</f>
        <v>518.03605505271958</v>
      </c>
      <c r="R18" s="74">
        <f>Q18*(1+Assumptions!$N$11)</f>
        <v>533.57713670430121</v>
      </c>
      <c r="S18" s="74">
        <f>R18*(1+Assumptions!$N$11)</f>
        <v>549.58445080543027</v>
      </c>
      <c r="T18" s="74">
        <f>S18*(1+Assumptions!$N$11)</f>
        <v>566.07198432959319</v>
      </c>
      <c r="U18" s="74">
        <f>T18*(1+Assumptions!$N$11)</f>
        <v>583.05414385948097</v>
      </c>
      <c r="V18" s="74">
        <f>U18*(1+Assumptions!$N$11)</f>
        <v>600.54576817526538</v>
      </c>
      <c r="W18" s="74">
        <f>V18*(1+Assumptions!$N$11)</f>
        <v>618.56214122052336</v>
      </c>
      <c r="X18" s="74">
        <f>W18*(1+Assumptions!$N$11)</f>
        <v>637.11900545713911</v>
      </c>
      <c r="Y18" s="74">
        <f>X18*(1+Assumptions!$N$11)</f>
        <v>656.23257562085325</v>
      </c>
      <c r="Z18" s="74">
        <f>Y18*(1+Assumptions!$N$11)</f>
        <v>675.91955288947884</v>
      </c>
      <c r="AA18" s="74">
        <f>Z18*(1+Assumptions!$N$11)</f>
        <v>696.19713947616322</v>
      </c>
      <c r="AB18" s="74">
        <f>AA18*(1+Assumptions!$N$11)</f>
        <v>717.08305366044817</v>
      </c>
      <c r="AC18" s="74">
        <f>AB18*(1+Assumptions!$N$11)</f>
        <v>738.5955452702616</v>
      </c>
      <c r="AD18" s="74">
        <f>AC18*(1+Assumptions!$N$11)</f>
        <v>760.75341162836946</v>
      </c>
      <c r="AE18" s="74">
        <f>AD18*(1+Assumptions!$N$11)</f>
        <v>783.57601397722055</v>
      </c>
      <c r="AF18" s="74">
        <f>AE18*(1+Assumptions!$N$11)</f>
        <v>807.08329439653721</v>
      </c>
      <c r="AG18" s="74">
        <f>AF18*(1+Assumptions!$N$11)</f>
        <v>831.29579322843335</v>
      </c>
    </row>
    <row r="19" spans="1:47">
      <c r="A19" s="3" t="s">
        <v>249</v>
      </c>
      <c r="C19" s="74">
        <f>Assumptions!$P$16*Assumptions!$H$62/1000*(1+Assumptions!$N$11)^IS!C6</f>
        <v>316.6793568968306</v>
      </c>
      <c r="D19" s="74">
        <f>C19*(1+Assumptions!$N$11)</f>
        <v>326.17973760373553</v>
      </c>
      <c r="E19" s="74">
        <f>D19*(1+Assumptions!$N$11)</f>
        <v>335.96512973184758</v>
      </c>
      <c r="F19" s="74">
        <f>E19*(1+Assumptions!$N$11)</f>
        <v>346.04408362380303</v>
      </c>
      <c r="G19" s="74">
        <f>F19*(1+Assumptions!$N$11)</f>
        <v>356.42540613251714</v>
      </c>
      <c r="H19" s="74">
        <f>G19*(1+Assumptions!$N$11)</f>
        <v>367.11816831649264</v>
      </c>
      <c r="I19" s="74">
        <f>H19*(1+Assumptions!$N$11)</f>
        <v>378.13171336598742</v>
      </c>
      <c r="J19" s="74">
        <f>I19*(1+Assumptions!$N$11)</f>
        <v>389.47566476696704</v>
      </c>
      <c r="K19" s="74">
        <f>J19*(1+Assumptions!$N$11)</f>
        <v>401.15993470997608</v>
      </c>
      <c r="L19" s="74">
        <f>K19*(1+Assumptions!$N$11)</f>
        <v>413.19473275127535</v>
      </c>
      <c r="M19" s="74">
        <f>L19*(1+Assumptions!$N$11)</f>
        <v>425.59057473381364</v>
      </c>
      <c r="N19" s="74">
        <f>M19*(1+Assumptions!$N$11)</f>
        <v>438.35829197582808</v>
      </c>
      <c r="O19" s="74">
        <f>N19*(1+Assumptions!$N$11)</f>
        <v>451.50904073510293</v>
      </c>
      <c r="P19" s="74">
        <f>O19*(1+Assumptions!$N$11)</f>
        <v>465.05431195715602</v>
      </c>
      <c r="Q19" s="74">
        <f>P19*(1+Assumptions!$N$11)</f>
        <v>479.0059413158707</v>
      </c>
      <c r="R19" s="74">
        <f>Q19*(1+Assumptions!$N$11)</f>
        <v>493.37611955534686</v>
      </c>
      <c r="S19" s="74">
        <f>R19*(1+Assumptions!$N$11)</f>
        <v>508.17740314200728</v>
      </c>
      <c r="T19" s="74">
        <f>S19*(1+Assumptions!$N$11)</f>
        <v>523.42272523626752</v>
      </c>
      <c r="U19" s="74">
        <f>T19*(1+Assumptions!$N$11)</f>
        <v>539.12540699335557</v>
      </c>
      <c r="V19" s="74">
        <f>U19*(1+Assumptions!$N$11)</f>
        <v>555.29916920315623</v>
      </c>
      <c r="W19" s="74">
        <f>V19*(1+Assumptions!$N$11)</f>
        <v>571.95814427925097</v>
      </c>
      <c r="X19" s="74">
        <f>W19*(1+Assumptions!$N$11)</f>
        <v>589.11688860762854</v>
      </c>
      <c r="Y19" s="74">
        <f>X19*(1+Assumptions!$N$11)</f>
        <v>606.79039526585746</v>
      </c>
      <c r="Z19" s="74">
        <f>Y19*(1+Assumptions!$N$11)</f>
        <v>624.99410712383315</v>
      </c>
      <c r="AA19" s="74">
        <f>Z19*(1+Assumptions!$N$11)</f>
        <v>643.74393033754814</v>
      </c>
      <c r="AB19" s="74">
        <f>AA19*(1+Assumptions!$N$11)</f>
        <v>663.0562482476746</v>
      </c>
      <c r="AC19" s="74">
        <f>AB19*(1+Assumptions!$N$11)</f>
        <v>682.94793569510489</v>
      </c>
      <c r="AD19" s="74">
        <f>AC19*(1+Assumptions!$N$11)</f>
        <v>703.43637376595802</v>
      </c>
      <c r="AE19" s="74">
        <f>AD19*(1+Assumptions!$N$11)</f>
        <v>724.53946497893673</v>
      </c>
      <c r="AF19" s="74">
        <f>AE19*(1+Assumptions!$N$11)</f>
        <v>746.2756489283048</v>
      </c>
      <c r="AG19" s="74">
        <f>AF19*(1+Assumptions!$N$11)</f>
        <v>768.66391839615392</v>
      </c>
    </row>
    <row r="20" spans="1:47">
      <c r="A20" s="3" t="s">
        <v>35</v>
      </c>
      <c r="C20" s="74">
        <f>Assumptions!$N20*Assumptions!H18/12</f>
        <v>100</v>
      </c>
      <c r="D20" s="74">
        <f>Assumptions!$N20*(1+Assumptions!$N$11)</f>
        <v>154.5</v>
      </c>
      <c r="E20" s="74">
        <f>D20*(1+Assumptions!$N$11)</f>
        <v>159.13499999999999</v>
      </c>
      <c r="F20" s="74">
        <f>E20*(1+Assumptions!$N$11)</f>
        <v>163.90905000000001</v>
      </c>
      <c r="G20" s="74">
        <f>F20*(1+Assumptions!$N$11)</f>
        <v>168.82632150000001</v>
      </c>
      <c r="H20" s="74">
        <f>G20*(1+Assumptions!$N$11)</f>
        <v>173.891111145</v>
      </c>
      <c r="I20" s="74">
        <f>H20*(1+Assumptions!$N$11)</f>
        <v>179.10784447935001</v>
      </c>
      <c r="J20" s="74">
        <f>I20*(1+Assumptions!$N$11)</f>
        <v>184.4810798137305</v>
      </c>
      <c r="K20" s="74">
        <f>J20*(1+Assumptions!$N$11)</f>
        <v>190.01551220814241</v>
      </c>
      <c r="L20" s="74">
        <f>K20*(1+Assumptions!$N$11)</f>
        <v>195.7159775743867</v>
      </c>
      <c r="M20" s="74">
        <f>L20*(1+Assumptions!$N$11)</f>
        <v>201.58745690161831</v>
      </c>
      <c r="N20" s="74">
        <f>M20*(1+Assumptions!$N$11)</f>
        <v>207.63508060866687</v>
      </c>
      <c r="O20" s="74">
        <f>N20*(1+Assumptions!$N$11)</f>
        <v>213.86413302692688</v>
      </c>
      <c r="P20" s="74">
        <f>O20*(1+Assumptions!$N$11)</f>
        <v>220.28005701773469</v>
      </c>
      <c r="Q20" s="74">
        <f>P20*(1+Assumptions!$N$11)</f>
        <v>226.88845872826673</v>
      </c>
      <c r="R20" s="74">
        <f>Q20*(1+Assumptions!$N$11)</f>
        <v>233.69511249011472</v>
      </c>
      <c r="S20" s="74">
        <f>R20*(1+Assumptions!$N$11)</f>
        <v>240.70596586481818</v>
      </c>
      <c r="T20" s="74">
        <f>S20*(1+Assumptions!$N$11)</f>
        <v>247.92714484076274</v>
      </c>
      <c r="U20" s="74">
        <f>T20*(1+Assumptions!$N$11)</f>
        <v>255.36495918598561</v>
      </c>
      <c r="V20" s="74">
        <f>U20*(1+Assumptions!$N$11)</f>
        <v>263.02590796156517</v>
      </c>
      <c r="W20" s="74">
        <f>V20*(1+Assumptions!$N$11)</f>
        <v>270.91668520041213</v>
      </c>
      <c r="X20" s="74">
        <f>W20*(1+Assumptions!$N$11)</f>
        <v>279.0441857564245</v>
      </c>
      <c r="Y20" s="74">
        <f>X20*(1+Assumptions!$N$11)</f>
        <v>287.41551132911724</v>
      </c>
      <c r="Z20" s="74">
        <f>Y20*(1+Assumptions!$N$11)</f>
        <v>296.03797666899078</v>
      </c>
      <c r="AA20" s="74">
        <f>Z20*(1+Assumptions!$N$11)</f>
        <v>304.9191159690605</v>
      </c>
      <c r="AB20" s="74">
        <f>AA20*(1+Assumptions!$N$11)</f>
        <v>314.06668944813231</v>
      </c>
      <c r="AC20" s="74">
        <f>AB20*(1+Assumptions!$N$11)</f>
        <v>323.48869013157628</v>
      </c>
      <c r="AD20" s="74">
        <f>AC20*(1+Assumptions!$N$11)</f>
        <v>333.19335083552357</v>
      </c>
      <c r="AE20" s="74">
        <f>AD20*(1+Assumptions!$N$11)</f>
        <v>343.18915136058928</v>
      </c>
      <c r="AF20" s="74">
        <f>AE20*(1+Assumptions!$N$11)</f>
        <v>353.48482590140696</v>
      </c>
      <c r="AG20" s="74">
        <f>AF20*(1+Assumptions!$N$11)</f>
        <v>364.0893706784492</v>
      </c>
    </row>
    <row r="21" spans="1:47">
      <c r="A21" s="3" t="s">
        <v>36</v>
      </c>
      <c r="C21" s="74">
        <f>Assumptions!$N21*Assumptions!H18/12</f>
        <v>347.66666666666669</v>
      </c>
      <c r="D21" s="74">
        <f>(Assumptions!$N21)*(1+Assumptions!$N$11)</f>
        <v>537.14499999999998</v>
      </c>
      <c r="E21" s="74">
        <f>D21*(1+Assumptions!$N$11)</f>
        <v>553.25935000000004</v>
      </c>
      <c r="F21" s="74">
        <f>E21*(1+Assumptions!$N$11)</f>
        <v>569.85713050000004</v>
      </c>
      <c r="G21" s="74">
        <f>F21*(1+Assumptions!$N$11)</f>
        <v>586.95284441500007</v>
      </c>
      <c r="H21" s="74">
        <f>G21*(1+Assumptions!$N$11)</f>
        <v>604.56142974745012</v>
      </c>
      <c r="I21" s="74">
        <f>H21*(1+Assumptions!$N$11)</f>
        <v>622.69827263987361</v>
      </c>
      <c r="J21" s="74">
        <f>I21*(1+Assumptions!$N$11)</f>
        <v>641.37922081906981</v>
      </c>
      <c r="K21" s="74">
        <f>J21*(1+Assumptions!$N$11)</f>
        <v>660.62059744364194</v>
      </c>
      <c r="L21" s="74">
        <f>K21*(1+Assumptions!$N$11)</f>
        <v>680.4392153669512</v>
      </c>
      <c r="M21" s="74">
        <f>L21*(1+Assumptions!$N$11)</f>
        <v>700.85239182795976</v>
      </c>
      <c r="N21" s="74">
        <f>M21*(1+Assumptions!$N$11)</f>
        <v>721.87796358279854</v>
      </c>
      <c r="O21" s="74">
        <f>N21*(1+Assumptions!$N$11)</f>
        <v>743.53430249028247</v>
      </c>
      <c r="P21" s="74">
        <f>O21*(1+Assumptions!$N$11)</f>
        <v>765.84033156499095</v>
      </c>
      <c r="Q21" s="74">
        <f>P21*(1+Assumptions!$N$11)</f>
        <v>788.81554151194075</v>
      </c>
      <c r="R21" s="74">
        <f>Q21*(1+Assumptions!$N$11)</f>
        <v>812.48000775729895</v>
      </c>
      <c r="S21" s="74">
        <f>R21*(1+Assumptions!$N$11)</f>
        <v>836.85440799001799</v>
      </c>
      <c r="T21" s="74">
        <f>S21*(1+Assumptions!$N$11)</f>
        <v>861.96004022971852</v>
      </c>
      <c r="U21" s="74">
        <f>T21*(1+Assumptions!$N$11)</f>
        <v>887.81884143661011</v>
      </c>
      <c r="V21" s="74">
        <f>U21*(1+Assumptions!$N$11)</f>
        <v>914.45340667970845</v>
      </c>
      <c r="W21" s="74">
        <f>V21*(1+Assumptions!$N$11)</f>
        <v>941.88700888009976</v>
      </c>
      <c r="X21" s="74">
        <f>W21*(1+Assumptions!$N$11)</f>
        <v>970.14361914650283</v>
      </c>
      <c r="Y21" s="74">
        <f>X21*(1+Assumptions!$N$11)</f>
        <v>999.24792772089791</v>
      </c>
      <c r="Z21" s="74">
        <f>Y21*(1+Assumptions!$N$11)</f>
        <v>1029.2253655525249</v>
      </c>
      <c r="AA21" s="74">
        <f>Z21*(1+Assumptions!$N$11)</f>
        <v>1060.1021265191007</v>
      </c>
      <c r="AB21" s="74">
        <f>AA21*(1+Assumptions!$N$11)</f>
        <v>1091.9051903146737</v>
      </c>
      <c r="AC21" s="74">
        <f>AB21*(1+Assumptions!$N$11)</f>
        <v>1124.662346024114</v>
      </c>
      <c r="AD21" s="74">
        <f>AC21*(1+Assumptions!$N$11)</f>
        <v>1158.4022164048374</v>
      </c>
      <c r="AE21" s="74">
        <f>AD21*(1+Assumptions!$N$11)</f>
        <v>1193.1542828969825</v>
      </c>
      <c r="AF21" s="74">
        <f>AE21*(1+Assumptions!$N$11)</f>
        <v>1228.948911383892</v>
      </c>
      <c r="AG21" s="74">
        <f>AF21*(1+Assumptions!$N$11)</f>
        <v>1265.8173787254088</v>
      </c>
    </row>
    <row r="22" spans="1:47">
      <c r="A22" s="3" t="s">
        <v>351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2">
        <v>400</v>
      </c>
      <c r="D23" s="190">
        <f>C23*(1+Assumptions!$P$30)</f>
        <v>408</v>
      </c>
      <c r="E23" s="190">
        <f>D23*(1+Assumptions!$P$30)</f>
        <v>416.16</v>
      </c>
      <c r="F23" s="190">
        <f>E23*(1+Assumptions!$P$30)</f>
        <v>424.48320000000001</v>
      </c>
      <c r="G23" s="190">
        <f>F23*(1+Assumptions!$P$30)</f>
        <v>432.97286400000002</v>
      </c>
      <c r="H23" s="190">
        <f>G23*(1+Assumptions!$P$30)</f>
        <v>441.63232128000004</v>
      </c>
      <c r="I23" s="190">
        <f>H23*(1+Assumptions!$P$30)</f>
        <v>450.46496770560003</v>
      </c>
      <c r="J23" s="190">
        <f>I23*(1+Assumptions!$P$30)</f>
        <v>459.47426705971202</v>
      </c>
      <c r="K23" s="190">
        <f>J23*(1+Assumptions!$P$30)</f>
        <v>468.66375240090628</v>
      </c>
      <c r="L23" s="190">
        <f>K23*(1+Assumptions!$P$30)</f>
        <v>478.03702744892439</v>
      </c>
      <c r="M23" s="190">
        <f>L23*(1+Assumptions!$P$30)</f>
        <v>487.59776799790291</v>
      </c>
      <c r="N23" s="190">
        <f>M23*(1+Assumptions!$P$30)</f>
        <v>497.34972335786097</v>
      </c>
      <c r="O23" s="190">
        <f>N23*(1+Assumptions!$P$30)</f>
        <v>507.29671782501822</v>
      </c>
      <c r="P23" s="190">
        <f>O23*(1+Assumptions!$P$30)</f>
        <v>517.44265218151861</v>
      </c>
      <c r="Q23" s="190">
        <f>P23*(1+Assumptions!$P$30)</f>
        <v>527.79150522514897</v>
      </c>
      <c r="R23" s="190">
        <f>Q23*(1+Assumptions!$P$30)</f>
        <v>538.34733532965197</v>
      </c>
      <c r="S23" s="190">
        <f>R23*(1+Assumptions!$P$30)</f>
        <v>549.11428203624507</v>
      </c>
      <c r="T23" s="190">
        <f>S23*(1+Assumptions!$P$30)</f>
        <v>560.09656767697004</v>
      </c>
      <c r="U23" s="190">
        <f>T23*(1+Assumptions!$P$30)</f>
        <v>571.29849903050945</v>
      </c>
      <c r="V23" s="190">
        <f>U23*(1+Assumptions!$P$30)</f>
        <v>582.7244690111196</v>
      </c>
      <c r="W23" s="190">
        <f>V23*(1+Assumptions!$P$30)</f>
        <v>594.37895839134205</v>
      </c>
      <c r="X23" s="190">
        <f>W23*(1+Assumptions!$P$30)</f>
        <v>606.26653755916891</v>
      </c>
      <c r="Y23" s="190">
        <f>X23*(1+Assumptions!$P$30)</f>
        <v>618.39186831035227</v>
      </c>
      <c r="Z23" s="190">
        <f>Y23*(1+Assumptions!$P$30)</f>
        <v>630.75970567655929</v>
      </c>
      <c r="AA23" s="190">
        <f>Z23*(1+Assumptions!$P$30)</f>
        <v>643.37489979009047</v>
      </c>
      <c r="AB23" s="190">
        <f>AA23*(1+Assumptions!$P$30)</f>
        <v>656.24239778589231</v>
      </c>
      <c r="AC23" s="190">
        <f>AB23*(1+Assumptions!$P$30)</f>
        <v>669.36724574161019</v>
      </c>
      <c r="AD23" s="190">
        <f>AC23*(1+Assumptions!$P$30)</f>
        <v>682.75459065644236</v>
      </c>
      <c r="AE23" s="190">
        <f>AD23*(1+Assumptions!$P$30)</f>
        <v>696.40968246957118</v>
      </c>
      <c r="AF23" s="190">
        <f>AE23*(1+Assumptions!$P$30)</f>
        <v>710.33787611896264</v>
      </c>
      <c r="AG23" s="190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44</v>
      </c>
      <c r="D28" s="74">
        <f>Assumptions!$N24*(1+Assumptions!$N$11)</f>
        <v>67.98</v>
      </c>
      <c r="E28" s="74">
        <f>D28*(1+Assumptions!$N$11)</f>
        <v>70.019400000000005</v>
      </c>
      <c r="F28" s="74">
        <f>E28*(1+Assumptions!$N$11)</f>
        <v>72.119982000000007</v>
      </c>
      <c r="G28" s="74">
        <f>F28*(1+Assumptions!$N$11)</f>
        <v>74.283581460000008</v>
      </c>
      <c r="H28" s="74">
        <f>G28*(1+Assumptions!$N$11)</f>
        <v>76.512088903800006</v>
      </c>
      <c r="I28" s="74">
        <f>H28*(1+Assumptions!$N$11)</f>
        <v>78.807451570914012</v>
      </c>
      <c r="J28" s="74">
        <f>I28*(1+Assumptions!$N$11)</f>
        <v>81.171675118041435</v>
      </c>
      <c r="K28" s="74">
        <f>J28*(1+Assumptions!$N$11)</f>
        <v>83.606825371582687</v>
      </c>
      <c r="L28" s="74">
        <f>K28*(1+Assumptions!$N$11)</f>
        <v>86.115030132730169</v>
      </c>
      <c r="M28" s="74">
        <f>L28*(1+Assumptions!$N$11)</f>
        <v>88.698481036712082</v>
      </c>
      <c r="N28" s="74">
        <f>M28*(1+Assumptions!$N$11)</f>
        <v>91.359435467813441</v>
      </c>
      <c r="O28" s="74">
        <f>N28*(1+Assumptions!$N$11)</f>
        <v>94.100218531847844</v>
      </c>
      <c r="P28" s="74">
        <f>O28*(1+Assumptions!$N$11)</f>
        <v>96.923225087803289</v>
      </c>
      <c r="Q28" s="74">
        <f>P28*(1+Assumptions!$N$11)</f>
        <v>99.830921840437384</v>
      </c>
      <c r="R28" s="74">
        <f>Q28*(1+Assumptions!$N$11)</f>
        <v>102.8258494956505</v>
      </c>
      <c r="S28" s="74">
        <f>R28*(1+Assumptions!$N$11)</f>
        <v>105.91062498052003</v>
      </c>
      <c r="T28" s="74">
        <f>S28*(1+Assumptions!$N$11)</f>
        <v>109.08794372993563</v>
      </c>
      <c r="U28" s="74">
        <f>T28*(1+Assumptions!$N$11)</f>
        <v>112.36058204183371</v>
      </c>
      <c r="V28" s="74">
        <f>U28*(1+Assumptions!$N$11)</f>
        <v>115.73139950308872</v>
      </c>
      <c r="W28" s="74">
        <f>V28*(1+Assumptions!$N$11)</f>
        <v>119.20334148818139</v>
      </c>
      <c r="X28" s="74">
        <f>W28*(1+Assumptions!$N$11)</f>
        <v>122.77944173282684</v>
      </c>
      <c r="Y28" s="74">
        <f>X28*(1+Assumptions!$N$11)</f>
        <v>126.46282498481165</v>
      </c>
      <c r="Z28" s="74">
        <f>Y28*(1+Assumptions!$N$11)</f>
        <v>130.25670973435601</v>
      </c>
      <c r="AA28" s="74">
        <f>Z28*(1+Assumptions!$N$11)</f>
        <v>134.16441102638669</v>
      </c>
      <c r="AB28" s="74">
        <f>AA28*(1+Assumptions!$N$11)</f>
        <v>138.1893433571783</v>
      </c>
      <c r="AC28" s="74">
        <f>AB28*(1+Assumptions!$N$11)</f>
        <v>142.33502365789366</v>
      </c>
      <c r="AD28" s="74">
        <f>AC28*(1+Assumptions!$N$11)</f>
        <v>146.60507436763046</v>
      </c>
      <c r="AE28" s="74">
        <f>AD28*(1+Assumptions!$N$11)</f>
        <v>151.00322659865938</v>
      </c>
      <c r="AF28" s="74">
        <f>AE28*(1+Assumptions!$N$11)</f>
        <v>155.53332339661915</v>
      </c>
      <c r="AG28" s="74">
        <f>AF28*(1+Assumptions!$N$11)</f>
        <v>160.19932309851774</v>
      </c>
    </row>
    <row r="29" spans="1:47">
      <c r="A29" s="3" t="s">
        <v>46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47</v>
      </c>
      <c r="C30" s="65">
        <f t="shared" ref="C30:X30" si="1">SUM(C16:C29)</f>
        <v>20795.490335062801</v>
      </c>
      <c r="D30" s="65">
        <f t="shared" si="1"/>
        <v>21052.132925206668</v>
      </c>
      <c r="E30" s="65">
        <f t="shared" si="1"/>
        <v>21302.342260741611</v>
      </c>
      <c r="F30" s="65">
        <f t="shared" si="1"/>
        <v>21657.160899995422</v>
      </c>
      <c r="G30" s="65">
        <f t="shared" si="1"/>
        <v>22073.797469420602</v>
      </c>
      <c r="H30" s="65">
        <f t="shared" si="1"/>
        <v>22514.722936169786</v>
      </c>
      <c r="I30" s="65">
        <f t="shared" si="1"/>
        <v>22969.967021195516</v>
      </c>
      <c r="J30" s="65">
        <f t="shared" si="1"/>
        <v>23457.118241795266</v>
      </c>
      <c r="K30" s="65">
        <f t="shared" si="1"/>
        <v>23976.230169794453</v>
      </c>
      <c r="L30" s="65">
        <f t="shared" si="1"/>
        <v>24527.357948842709</v>
      </c>
      <c r="M30" s="65">
        <f t="shared" si="1"/>
        <v>25110.558340861953</v>
      </c>
      <c r="N30" s="65">
        <f t="shared" si="1"/>
        <v>25654.491279967515</v>
      </c>
      <c r="O30" s="65">
        <f t="shared" si="1"/>
        <v>26149.196068278583</v>
      </c>
      <c r="P30" s="65">
        <f t="shared" si="1"/>
        <v>27053.188102409953</v>
      </c>
      <c r="Q30" s="65">
        <f t="shared" si="1"/>
        <v>27765.280635063853</v>
      </c>
      <c r="R30" s="65">
        <f t="shared" si="1"/>
        <v>28509.755588954456</v>
      </c>
      <c r="S30" s="65">
        <f t="shared" si="1"/>
        <v>29286.680491235733</v>
      </c>
      <c r="T30" s="65">
        <f t="shared" si="1"/>
        <v>30096.124853480898</v>
      </c>
      <c r="U30" s="65">
        <f t="shared" si="1"/>
        <v>30938.160230386988</v>
      </c>
      <c r="V30" s="65">
        <f t="shared" si="1"/>
        <v>31812.860280224231</v>
      </c>
      <c r="W30" s="65">
        <f t="shared" si="1"/>
        <v>32720.300827081781</v>
      </c>
      <c r="X30" s="65">
        <f t="shared" si="1"/>
        <v>16807.759631745008</v>
      </c>
      <c r="Y30" s="65">
        <f t="shared" ref="Y30:AG30" si="2">SUM(Y16:Y29)</f>
        <v>16909.104441821772</v>
      </c>
      <c r="Z30" s="65">
        <f t="shared" si="2"/>
        <v>17013.368342893318</v>
      </c>
      <c r="AA30" s="65">
        <f t="shared" si="2"/>
        <v>17120.636482623351</v>
      </c>
      <c r="AB30" s="65">
        <f t="shared" si="2"/>
        <v>17230.99651460415</v>
      </c>
      <c r="AC30" s="65">
        <f t="shared" si="2"/>
        <v>17344.53867256442</v>
      </c>
      <c r="AD30" s="65">
        <f t="shared" si="2"/>
        <v>17461.355846783932</v>
      </c>
      <c r="AE30" s="65">
        <f t="shared" si="2"/>
        <v>17581.543662780885</v>
      </c>
      <c r="AF30" s="65">
        <f t="shared" si="2"/>
        <v>17705.200562339622</v>
      </c>
      <c r="AG30" s="65">
        <f t="shared" si="2"/>
        <v>17832.427886948615</v>
      </c>
    </row>
    <row r="31" spans="1:47">
      <c r="A31" s="4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</row>
    <row r="32" spans="1:47">
      <c r="A32" s="1" t="s">
        <v>48</v>
      </c>
      <c r="C32" s="122">
        <f t="shared" ref="C32:X32" si="3">C13-C30</f>
        <v>11534.608154211739</v>
      </c>
      <c r="D32" s="122">
        <f t="shared" si="3"/>
        <v>17465.727231317618</v>
      </c>
      <c r="E32" s="122">
        <f t="shared" si="3"/>
        <v>17428.536681317626</v>
      </c>
      <c r="F32" s="122">
        <f t="shared" si="3"/>
        <v>17390.31201481762</v>
      </c>
      <c r="G32" s="122">
        <f t="shared" si="3"/>
        <v>17351.023840322621</v>
      </c>
      <c r="H32" s="122">
        <f t="shared" si="3"/>
        <v>17310.641917232762</v>
      </c>
      <c r="I32" s="122">
        <f t="shared" si="3"/>
        <v>17269.135131023017</v>
      </c>
      <c r="J32" s="122">
        <f t="shared" si="3"/>
        <v>17226.471467691241</v>
      </c>
      <c r="K32" s="122">
        <f t="shared" si="3"/>
        <v>17182.617987453061</v>
      </c>
      <c r="L32" s="122">
        <f t="shared" si="3"/>
        <v>17137.540797661128</v>
      </c>
      <c r="M32" s="122">
        <f t="shared" si="3"/>
        <v>17091.205024925908</v>
      </c>
      <c r="N32" s="122">
        <f t="shared" si="3"/>
        <v>17043.574786414152</v>
      </c>
      <c r="O32" s="122">
        <f t="shared" si="3"/>
        <v>16994.613160300625</v>
      </c>
      <c r="P32" s="122">
        <f t="shared" si="3"/>
        <v>16944.282155348355</v>
      </c>
      <c r="Q32" s="122">
        <f t="shared" si="3"/>
        <v>16892.542679591108</v>
      </c>
      <c r="R32" s="122">
        <f t="shared" si="3"/>
        <v>16839.354508091561</v>
      </c>
      <c r="S32" s="122">
        <f t="shared" si="3"/>
        <v>16784.676249748081</v>
      </c>
      <c r="T32" s="122">
        <f t="shared" si="3"/>
        <v>16728.465313121334</v>
      </c>
      <c r="U32" s="122">
        <f t="shared" si="3"/>
        <v>16670.677871252214</v>
      </c>
      <c r="V32" s="122">
        <f t="shared" si="3"/>
        <v>16611.268825440566</v>
      </c>
      <c r="W32" s="122">
        <f t="shared" si="3"/>
        <v>4176.0290220468014</v>
      </c>
      <c r="X32" s="122">
        <f t="shared" si="3"/>
        <v>-2354.0132876802418</v>
      </c>
      <c r="Y32" s="122">
        <f t="shared" ref="Y32:AG32" si="4">Y13-Y30</f>
        <v>-2418.5710209350618</v>
      </c>
      <c r="Z32" s="122">
        <f t="shared" si="4"/>
        <v>-2484.9442328800051</v>
      </c>
      <c r="AA32" s="122">
        <f t="shared" si="4"/>
        <v>-2553.1849628096388</v>
      </c>
      <c r="AB32" s="122">
        <f t="shared" si="4"/>
        <v>-2623.3467626960264</v>
      </c>
      <c r="AC32" s="122">
        <f t="shared" si="4"/>
        <v>-2695.4847415990535</v>
      </c>
      <c r="AD32" s="122">
        <f t="shared" si="4"/>
        <v>-2769.6556113896058</v>
      </c>
      <c r="AE32" s="122">
        <f t="shared" si="4"/>
        <v>-2845.9177338247282</v>
      </c>
      <c r="AF32" s="122">
        <f t="shared" si="4"/>
        <v>-2924.3311690147766</v>
      </c>
      <c r="AG32" s="122">
        <f t="shared" si="4"/>
        <v>-3004.9577253240295</v>
      </c>
    </row>
    <row r="33" spans="1:33">
      <c r="A33" s="1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</row>
    <row r="34" spans="1:33">
      <c r="A34" s="3" t="s">
        <v>49</v>
      </c>
      <c r="C34" s="65">
        <f>Depreciation!D48</f>
        <v>3078.6062094588801</v>
      </c>
      <c r="D34" s="65">
        <f>Depreciation!E48</f>
        <v>4617.9093141883204</v>
      </c>
      <c r="E34" s="65">
        <f>Depreciation!F48</f>
        <v>4617.9093141883204</v>
      </c>
      <c r="F34" s="65">
        <f>Depreciation!G48</f>
        <v>4617.9093141883204</v>
      </c>
      <c r="G34" s="65">
        <f>Depreciation!H48</f>
        <v>4617.9093141883204</v>
      </c>
      <c r="H34" s="65">
        <f>Depreciation!I48</f>
        <v>4006.4693141883208</v>
      </c>
      <c r="I34" s="65">
        <f>Depreciation!J48</f>
        <v>3700.7493141883206</v>
      </c>
      <c r="J34" s="65">
        <f>Depreciation!K48</f>
        <v>3700.7493141883206</v>
      </c>
      <c r="K34" s="65">
        <f>Depreciation!L48</f>
        <v>3700.7493141883206</v>
      </c>
      <c r="L34" s="65">
        <f>Depreciation!M48</f>
        <v>3700.7493141883206</v>
      </c>
      <c r="M34" s="65">
        <f>Depreciation!N48</f>
        <v>3700.7493141883206</v>
      </c>
      <c r="N34" s="65">
        <f>Depreciation!O48</f>
        <v>3700.7493141883206</v>
      </c>
      <c r="O34" s="65">
        <f>Depreciation!P48</f>
        <v>3700.7493141883206</v>
      </c>
      <c r="P34" s="65">
        <f>Depreciation!Q48</f>
        <v>3700.7493141883206</v>
      </c>
      <c r="Q34" s="65">
        <f>Depreciation!R48</f>
        <v>3700.7493141883206</v>
      </c>
      <c r="R34" s="65">
        <f>Depreciation!S48</f>
        <v>3700.7493141883206</v>
      </c>
      <c r="S34" s="65">
        <f>Depreciation!T48</f>
        <v>3700.7493141883206</v>
      </c>
      <c r="T34" s="65">
        <f>Depreciation!U48</f>
        <v>3700.7493141883206</v>
      </c>
      <c r="U34" s="65">
        <f>Depreciation!V48</f>
        <v>3700.7493141883206</v>
      </c>
      <c r="V34" s="65">
        <f>Depreciation!W48</f>
        <v>3700.7493141883206</v>
      </c>
      <c r="W34" s="65">
        <f>Depreciation!X48</f>
        <v>3667.4159808549871</v>
      </c>
      <c r="X34" s="65">
        <f>Depreciation!Y48</f>
        <v>3650.7493141883206</v>
      </c>
      <c r="Y34" s="65">
        <f>Depreciation!Z48</f>
        <v>3650.7493141883206</v>
      </c>
      <c r="Z34" s="65">
        <f>Depreciation!AA48</f>
        <v>3650.7493141883206</v>
      </c>
      <c r="AA34" s="65">
        <f>Depreciation!AB48</f>
        <v>3650.7493141883206</v>
      </c>
      <c r="AB34" s="65">
        <f>Depreciation!AC48</f>
        <v>3650.7493141883206</v>
      </c>
      <c r="AC34" s="65">
        <f>Depreciation!AD48</f>
        <v>3650.7493141883206</v>
      </c>
      <c r="AD34" s="65">
        <f>Depreciation!AE48</f>
        <v>3650.7493141883206</v>
      </c>
      <c r="AE34" s="65">
        <f>Depreciation!AF48</f>
        <v>3650.7493141883206</v>
      </c>
      <c r="AF34" s="65">
        <f>Depreciation!AG48</f>
        <v>3650.7493141883206</v>
      </c>
      <c r="AG34" s="65">
        <f>Depreciation!AH48</f>
        <v>1216.9164380627738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8456.0019447528593</v>
      </c>
      <c r="D36" s="122">
        <f t="shared" ref="D36:X36" si="5">D32-D34</f>
        <v>12847.817917129298</v>
      </c>
      <c r="E36" s="122">
        <f t="shared" si="5"/>
        <v>12810.627367129306</v>
      </c>
      <c r="F36" s="122">
        <f t="shared" si="5"/>
        <v>12772.4027006293</v>
      </c>
      <c r="G36" s="122">
        <f t="shared" si="5"/>
        <v>12733.114526134301</v>
      </c>
      <c r="H36" s="122">
        <f t="shared" si="5"/>
        <v>13304.172603044441</v>
      </c>
      <c r="I36" s="122">
        <f t="shared" si="5"/>
        <v>13568.385816834696</v>
      </c>
      <c r="J36" s="122">
        <f t="shared" si="5"/>
        <v>13525.72215350292</v>
      </c>
      <c r="K36" s="122">
        <f t="shared" si="5"/>
        <v>13481.86867326474</v>
      </c>
      <c r="L36" s="122">
        <f t="shared" si="5"/>
        <v>13436.791483472807</v>
      </c>
      <c r="M36" s="122">
        <f t="shared" si="5"/>
        <v>13390.455710737588</v>
      </c>
      <c r="N36" s="122">
        <f t="shared" si="5"/>
        <v>13342.825472225832</v>
      </c>
      <c r="O36" s="122">
        <f t="shared" si="5"/>
        <v>13293.863846112305</v>
      </c>
      <c r="P36" s="122">
        <f t="shared" si="5"/>
        <v>13243.532841160035</v>
      </c>
      <c r="Q36" s="122">
        <f t="shared" si="5"/>
        <v>13191.793365402787</v>
      </c>
      <c r="R36" s="122">
        <f t="shared" si="5"/>
        <v>13138.60519390324</v>
      </c>
      <c r="S36" s="122">
        <f t="shared" si="5"/>
        <v>13083.926935559761</v>
      </c>
      <c r="T36" s="122">
        <f t="shared" si="5"/>
        <v>13027.715998933014</v>
      </c>
      <c r="U36" s="122">
        <f t="shared" si="5"/>
        <v>12969.928557063893</v>
      </c>
      <c r="V36" s="122">
        <f t="shared" si="5"/>
        <v>12910.519511252245</v>
      </c>
      <c r="W36" s="122">
        <f t="shared" si="5"/>
        <v>508.61304119181432</v>
      </c>
      <c r="X36" s="122">
        <f t="shared" si="5"/>
        <v>-6004.7626018685623</v>
      </c>
      <c r="Y36" s="122">
        <f t="shared" ref="Y36:AG36" si="6">Y32-Y34</f>
        <v>-6069.3203351233824</v>
      </c>
      <c r="Z36" s="122">
        <f t="shared" si="6"/>
        <v>-6135.6935470683256</v>
      </c>
      <c r="AA36" s="122">
        <f t="shared" si="6"/>
        <v>-6203.9342769979594</v>
      </c>
      <c r="AB36" s="122">
        <f t="shared" si="6"/>
        <v>-6274.096076884347</v>
      </c>
      <c r="AC36" s="122">
        <f t="shared" si="6"/>
        <v>-6346.234055787374</v>
      </c>
      <c r="AD36" s="122">
        <f t="shared" si="6"/>
        <v>-6420.4049255779264</v>
      </c>
      <c r="AE36" s="122">
        <f t="shared" si="6"/>
        <v>-6496.6670480130488</v>
      </c>
      <c r="AF36" s="122">
        <f t="shared" si="6"/>
        <v>-6575.0804832030972</v>
      </c>
      <c r="AG36" s="122">
        <f t="shared" si="6"/>
        <v>-4221.874163386803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4979.5372677556261</v>
      </c>
      <c r="D38" s="65">
        <f>Debt!C57</f>
        <v>7076.0379678375284</v>
      </c>
      <c r="E38" s="65">
        <f>Debt!D57</f>
        <v>6543.1785806888092</v>
      </c>
      <c r="F38" s="65">
        <f>Debt!E57</f>
        <v>5966.9569666082962</v>
      </c>
      <c r="G38" s="65">
        <f>Debt!F57</f>
        <v>5342.2652567626083</v>
      </c>
      <c r="H38" s="65">
        <f>Debt!G57</f>
        <v>4669.2153934847483</v>
      </c>
      <c r="I38" s="65">
        <f>Debt!H57</f>
        <v>3941.8225050947754</v>
      </c>
      <c r="J38" s="65">
        <f>Debt!I57</f>
        <v>3156.9873049066646</v>
      </c>
      <c r="K38" s="65">
        <f>Debt!J57</f>
        <v>2306.3100305178805</v>
      </c>
      <c r="L38" s="65">
        <f>Debt!K57</f>
        <v>1388.6504633695813</v>
      </c>
      <c r="M38" s="65">
        <f>Debt!L57</f>
        <v>427.38283536457857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23.273310494273577</v>
      </c>
      <c r="Y38" s="65">
        <f>Debt!X57</f>
        <v>125.99992483977661</v>
      </c>
      <c r="Z38" s="65">
        <f>Debt!Y57</f>
        <v>294.16467013433413</v>
      </c>
      <c r="AA38" s="65">
        <f>Debt!Z57</f>
        <v>481.21387832816924</v>
      </c>
      <c r="AB38" s="65">
        <f>Debt!AA57</f>
        <v>688.17465094177237</v>
      </c>
      <c r="AC38" s="65">
        <f>Debt!AB57</f>
        <v>917.19911637032749</v>
      </c>
      <c r="AD38" s="65">
        <f>Debt!AC57</f>
        <v>1170.0147818407156</v>
      </c>
      <c r="AE38" s="65">
        <f>Debt!AD57</f>
        <v>1449.43295162709</v>
      </c>
      <c r="AF38" s="65">
        <f>Debt!AE57</f>
        <v>1756.9930784531721</v>
      </c>
      <c r="AG38" s="65">
        <f>Debt!AF57</f>
        <v>2157.0905002158388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3476.4646769972333</v>
      </c>
      <c r="D40" s="122">
        <f t="shared" ref="D40:X40" si="7">D36-D38</f>
        <v>5771.7799492917693</v>
      </c>
      <c r="E40" s="122">
        <f t="shared" si="7"/>
        <v>6267.4487864404964</v>
      </c>
      <c r="F40" s="122">
        <f t="shared" si="7"/>
        <v>6805.4457340210038</v>
      </c>
      <c r="G40" s="122">
        <f t="shared" si="7"/>
        <v>7390.8492693716926</v>
      </c>
      <c r="H40" s="122">
        <f t="shared" si="7"/>
        <v>8634.9572095596923</v>
      </c>
      <c r="I40" s="122">
        <f t="shared" si="7"/>
        <v>9626.5633117399211</v>
      </c>
      <c r="J40" s="122">
        <f t="shared" si="7"/>
        <v>10368.734848596256</v>
      </c>
      <c r="K40" s="122">
        <f t="shared" si="7"/>
        <v>11175.558642746859</v>
      </c>
      <c r="L40" s="122">
        <f t="shared" si="7"/>
        <v>12048.141020103227</v>
      </c>
      <c r="M40" s="122">
        <f t="shared" si="7"/>
        <v>12963.072875373009</v>
      </c>
      <c r="N40" s="122">
        <f t="shared" si="7"/>
        <v>13342.825472225832</v>
      </c>
      <c r="O40" s="122">
        <f t="shared" si="7"/>
        <v>13293.863846112305</v>
      </c>
      <c r="P40" s="122">
        <f t="shared" si="7"/>
        <v>13243.532841160035</v>
      </c>
      <c r="Q40" s="122">
        <f t="shared" si="7"/>
        <v>13191.793365402787</v>
      </c>
      <c r="R40" s="122">
        <f t="shared" si="7"/>
        <v>13138.60519390324</v>
      </c>
      <c r="S40" s="122">
        <f t="shared" si="7"/>
        <v>13083.926935559761</v>
      </c>
      <c r="T40" s="122">
        <f t="shared" si="7"/>
        <v>13027.715998933014</v>
      </c>
      <c r="U40" s="122">
        <f t="shared" si="7"/>
        <v>12969.928557063893</v>
      </c>
      <c r="V40" s="122">
        <f t="shared" si="7"/>
        <v>12910.519511252245</v>
      </c>
      <c r="W40" s="122">
        <f t="shared" si="7"/>
        <v>508.61304119181432</v>
      </c>
      <c r="X40" s="122">
        <f t="shared" si="7"/>
        <v>-6028.0359123628359</v>
      </c>
      <c r="Y40" s="122">
        <f t="shared" ref="Y40:AG40" si="8">Y36-Y38</f>
        <v>-6195.3202599631586</v>
      </c>
      <c r="Z40" s="122">
        <f t="shared" si="8"/>
        <v>-6429.8582172026599</v>
      </c>
      <c r="AA40" s="122">
        <f t="shared" si="8"/>
        <v>-6685.1481553261283</v>
      </c>
      <c r="AB40" s="122">
        <f t="shared" si="8"/>
        <v>-6962.2707278261196</v>
      </c>
      <c r="AC40" s="122">
        <f t="shared" si="8"/>
        <v>-7263.4331721577018</v>
      </c>
      <c r="AD40" s="122">
        <f t="shared" si="8"/>
        <v>-7590.4197074186422</v>
      </c>
      <c r="AE40" s="122">
        <f t="shared" si="8"/>
        <v>-7946.0999996401388</v>
      </c>
      <c r="AF40" s="122">
        <f t="shared" si="8"/>
        <v>-8332.0735616562688</v>
      </c>
      <c r="AG40" s="122">
        <f t="shared" si="8"/>
        <v>-6378.9646636026418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0">
        <f>Assumptions!N51</f>
        <v>7.0000000000000007E-2</v>
      </c>
      <c r="C42" s="74">
        <f>-C40*$B$42</f>
        <v>-243.35252738980634</v>
      </c>
      <c r="D42" s="74">
        <f t="shared" ref="D42:AG42" si="9">-D40*$B$42</f>
        <v>-404.02459645042387</v>
      </c>
      <c r="E42" s="74">
        <f t="shared" si="9"/>
        <v>-438.72141505083476</v>
      </c>
      <c r="F42" s="74">
        <f t="shared" si="9"/>
        <v>-476.38120138147031</v>
      </c>
      <c r="G42" s="74">
        <f t="shared" si="9"/>
        <v>-517.3594488560185</v>
      </c>
      <c r="H42" s="74">
        <f t="shared" si="9"/>
        <v>-604.44700466917857</v>
      </c>
      <c r="I42" s="74">
        <f t="shared" si="9"/>
        <v>-673.85943182179449</v>
      </c>
      <c r="J42" s="74">
        <f t="shared" si="9"/>
        <v>-725.81143940173797</v>
      </c>
      <c r="K42" s="74">
        <f t="shared" si="9"/>
        <v>-782.28910499228016</v>
      </c>
      <c r="L42" s="74">
        <f t="shared" si="9"/>
        <v>-843.3698714072259</v>
      </c>
      <c r="M42" s="74">
        <f t="shared" si="9"/>
        <v>-907.4151012761107</v>
      </c>
      <c r="N42" s="74">
        <f t="shared" si="9"/>
        <v>-933.99778305580833</v>
      </c>
      <c r="O42" s="74">
        <f t="shared" si="9"/>
        <v>-930.57046922786139</v>
      </c>
      <c r="P42" s="74">
        <f t="shared" si="9"/>
        <v>-927.04729888120255</v>
      </c>
      <c r="Q42" s="74">
        <f t="shared" si="9"/>
        <v>-923.42553557819519</v>
      </c>
      <c r="R42" s="74">
        <f t="shared" si="9"/>
        <v>-919.70236357322688</v>
      </c>
      <c r="S42" s="74">
        <f t="shared" si="9"/>
        <v>-915.87488548918338</v>
      </c>
      <c r="T42" s="74">
        <f t="shared" si="9"/>
        <v>-911.94011992531102</v>
      </c>
      <c r="U42" s="74">
        <f t="shared" si="9"/>
        <v>-907.89499899447264</v>
      </c>
      <c r="V42" s="74">
        <f t="shared" si="9"/>
        <v>-903.73636578765729</v>
      </c>
      <c r="W42" s="74">
        <f t="shared" si="9"/>
        <v>-35.602912883427003</v>
      </c>
      <c r="X42" s="74">
        <f t="shared" si="9"/>
        <v>421.96251386539853</v>
      </c>
      <c r="Y42" s="74">
        <f t="shared" si="9"/>
        <v>433.67241819742117</v>
      </c>
      <c r="Z42" s="74">
        <f t="shared" si="9"/>
        <v>450.09007520418623</v>
      </c>
      <c r="AA42" s="74">
        <f t="shared" si="9"/>
        <v>467.960370872829</v>
      </c>
      <c r="AB42" s="74">
        <f t="shared" si="9"/>
        <v>487.35895094782842</v>
      </c>
      <c r="AC42" s="74">
        <f t="shared" si="9"/>
        <v>508.44032205103917</v>
      </c>
      <c r="AD42" s="74">
        <f t="shared" si="9"/>
        <v>531.32937951930501</v>
      </c>
      <c r="AE42" s="74">
        <f t="shared" si="9"/>
        <v>556.22699997480981</v>
      </c>
      <c r="AF42" s="74">
        <f t="shared" si="9"/>
        <v>583.24514931593887</v>
      </c>
      <c r="AG42" s="74">
        <f t="shared" si="9"/>
        <v>446.52752645218499</v>
      </c>
    </row>
    <row r="43" spans="1:33">
      <c r="A43" s="3" t="s">
        <v>52</v>
      </c>
      <c r="B43" s="340">
        <f>Assumptions!N50</f>
        <v>0.35</v>
      </c>
      <c r="C43" s="74">
        <f t="shared" ref="C43:AG43" si="10">(C40+C42)*-$B$43</f>
        <v>-1131.5892523625994</v>
      </c>
      <c r="D43" s="74">
        <f t="shared" si="10"/>
        <v>-1878.7143734944707</v>
      </c>
      <c r="E43" s="74">
        <f t="shared" si="10"/>
        <v>-2040.0545799863817</v>
      </c>
      <c r="F43" s="74">
        <f t="shared" si="10"/>
        <v>-2215.1725864238365</v>
      </c>
      <c r="G43" s="74">
        <f t="shared" si="10"/>
        <v>-2405.7214371804857</v>
      </c>
      <c r="H43" s="74">
        <f t="shared" si="10"/>
        <v>-2810.6785717116795</v>
      </c>
      <c r="I43" s="74">
        <f t="shared" si="10"/>
        <v>-3133.4463579713442</v>
      </c>
      <c r="J43" s="74">
        <f t="shared" si="10"/>
        <v>-3375.0231932180814</v>
      </c>
      <c r="K43" s="74">
        <f t="shared" si="10"/>
        <v>-3637.6443382141024</v>
      </c>
      <c r="L43" s="74">
        <f t="shared" si="10"/>
        <v>-3921.6699020436004</v>
      </c>
      <c r="M43" s="74">
        <f t="shared" si="10"/>
        <v>-4219.4802209339141</v>
      </c>
      <c r="N43" s="74">
        <f t="shared" si="10"/>
        <v>-4343.0896912095077</v>
      </c>
      <c r="O43" s="74">
        <f t="shared" si="10"/>
        <v>-4327.1526819095552</v>
      </c>
      <c r="P43" s="74">
        <f t="shared" si="10"/>
        <v>-4310.7699397975903</v>
      </c>
      <c r="Q43" s="74">
        <f t="shared" si="10"/>
        <v>-4293.9287404386068</v>
      </c>
      <c r="R43" s="74">
        <f t="shared" si="10"/>
        <v>-4276.6159906155044</v>
      </c>
      <c r="S43" s="74">
        <f t="shared" si="10"/>
        <v>-4258.818217524702</v>
      </c>
      <c r="T43" s="74">
        <f t="shared" si="10"/>
        <v>-4240.5215576526953</v>
      </c>
      <c r="U43" s="74">
        <f t="shared" si="10"/>
        <v>-4221.7117453242972</v>
      </c>
      <c r="V43" s="74">
        <f t="shared" si="10"/>
        <v>-4202.3741009126052</v>
      </c>
      <c r="W43" s="74">
        <f t="shared" si="10"/>
        <v>-165.55354490793556</v>
      </c>
      <c r="X43" s="74">
        <f t="shared" si="10"/>
        <v>1962.125689474103</v>
      </c>
      <c r="Y43" s="74">
        <f t="shared" si="10"/>
        <v>2016.576744618008</v>
      </c>
      <c r="Z43" s="74">
        <f t="shared" si="10"/>
        <v>2092.9188496994657</v>
      </c>
      <c r="AA43" s="74">
        <f t="shared" si="10"/>
        <v>2176.0157245586547</v>
      </c>
      <c r="AB43" s="74">
        <f t="shared" si="10"/>
        <v>2266.2191219074016</v>
      </c>
      <c r="AC43" s="74">
        <f t="shared" si="10"/>
        <v>2364.2474975373316</v>
      </c>
      <c r="AD43" s="74">
        <f t="shared" si="10"/>
        <v>2470.6816147647678</v>
      </c>
      <c r="AE43" s="74">
        <f t="shared" si="10"/>
        <v>2586.4555498828649</v>
      </c>
      <c r="AF43" s="74">
        <f t="shared" si="10"/>
        <v>2712.0899443191151</v>
      </c>
      <c r="AG43" s="74">
        <f t="shared" si="10"/>
        <v>2076.3529980026597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4">
        <f t="shared" ref="C45:AG45" si="11">C40+C42+C43</f>
        <v>2101.5228972448276</v>
      </c>
      <c r="D45" s="364">
        <f t="shared" si="11"/>
        <v>3489.0409793468748</v>
      </c>
      <c r="E45" s="364">
        <f t="shared" si="11"/>
        <v>3788.6727914032804</v>
      </c>
      <c r="F45" s="364">
        <f t="shared" si="11"/>
        <v>4113.8919462156973</v>
      </c>
      <c r="G45" s="364">
        <f t="shared" si="11"/>
        <v>4467.7683833351884</v>
      </c>
      <c r="H45" s="364">
        <f t="shared" si="11"/>
        <v>5219.8316331788337</v>
      </c>
      <c r="I45" s="364">
        <f t="shared" si="11"/>
        <v>5819.2575219467817</v>
      </c>
      <c r="J45" s="364">
        <f t="shared" si="11"/>
        <v>6267.9002159764368</v>
      </c>
      <c r="K45" s="364">
        <f t="shared" si="11"/>
        <v>6755.6251995404764</v>
      </c>
      <c r="L45" s="364">
        <f t="shared" si="11"/>
        <v>7283.1012466524007</v>
      </c>
      <c r="M45" s="364">
        <f t="shared" si="11"/>
        <v>7836.1775531629846</v>
      </c>
      <c r="N45" s="364">
        <f t="shared" si="11"/>
        <v>8065.7379979605148</v>
      </c>
      <c r="O45" s="364">
        <f t="shared" si="11"/>
        <v>8036.140694974888</v>
      </c>
      <c r="P45" s="364">
        <f t="shared" si="11"/>
        <v>8005.7156024812411</v>
      </c>
      <c r="Q45" s="364">
        <f t="shared" si="11"/>
        <v>7974.4390893859854</v>
      </c>
      <c r="R45" s="364">
        <f t="shared" si="11"/>
        <v>7942.2868397145085</v>
      </c>
      <c r="S45" s="364">
        <f t="shared" si="11"/>
        <v>7909.233832545875</v>
      </c>
      <c r="T45" s="364">
        <f t="shared" si="11"/>
        <v>7875.2543213550071</v>
      </c>
      <c r="U45" s="364">
        <f t="shared" si="11"/>
        <v>7840.3218127451237</v>
      </c>
      <c r="V45" s="364">
        <f t="shared" si="11"/>
        <v>7804.4090445519823</v>
      </c>
      <c r="W45" s="364">
        <f t="shared" si="11"/>
        <v>307.45658340045179</v>
      </c>
      <c r="X45" s="364">
        <f t="shared" si="11"/>
        <v>-3643.9477090233349</v>
      </c>
      <c r="Y45" s="364">
        <f t="shared" si="11"/>
        <v>-3745.0710971477292</v>
      </c>
      <c r="Z45" s="364">
        <f t="shared" si="11"/>
        <v>-3886.8492922990081</v>
      </c>
      <c r="AA45" s="364">
        <f t="shared" si="11"/>
        <v>-4041.1720598946445</v>
      </c>
      <c r="AB45" s="364">
        <f t="shared" si="11"/>
        <v>-4208.6926549708896</v>
      </c>
      <c r="AC45" s="364">
        <f t="shared" si="11"/>
        <v>-4390.7453525693309</v>
      </c>
      <c r="AD45" s="364">
        <f t="shared" si="11"/>
        <v>-4588.4087131345696</v>
      </c>
      <c r="AE45" s="364">
        <f t="shared" si="11"/>
        <v>-4803.4174497824642</v>
      </c>
      <c r="AF45" s="364">
        <f t="shared" si="11"/>
        <v>-5036.7384680212144</v>
      </c>
      <c r="AG45" s="364">
        <f t="shared" si="11"/>
        <v>-3856.084139147797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</row>
    <row r="50" spans="1:33">
      <c r="A50" s="11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</row>
    <row r="51" spans="1:33">
      <c r="C51" s="365"/>
      <c r="D51" s="365"/>
      <c r="E51" s="365"/>
      <c r="F51" s="365"/>
      <c r="G51" s="365"/>
    </row>
    <row r="52" spans="1:33">
      <c r="C52" s="6"/>
      <c r="D52" s="6"/>
      <c r="E52" s="6"/>
      <c r="F52" s="6"/>
      <c r="G52" s="6"/>
    </row>
    <row r="53" spans="1:33">
      <c r="C53" s="365"/>
      <c r="D53" s="365"/>
      <c r="E53" s="365"/>
      <c r="F53" s="365"/>
      <c r="G53" s="365"/>
    </row>
    <row r="54" spans="1:33">
      <c r="C54" s="365"/>
      <c r="D54" s="365"/>
      <c r="E54" s="365"/>
      <c r="F54" s="365"/>
      <c r="G54" s="365"/>
    </row>
    <row r="55" spans="1:33">
      <c r="C55" s="365"/>
      <c r="D55" s="365"/>
      <c r="E55" s="365"/>
      <c r="F55" s="365"/>
      <c r="G55" s="365"/>
    </row>
    <row r="56" spans="1:33">
      <c r="C56" s="365"/>
      <c r="D56" s="365"/>
      <c r="E56" s="365"/>
      <c r="F56" s="365"/>
      <c r="G56" s="365"/>
    </row>
    <row r="57" spans="1:33">
      <c r="C57" s="365"/>
      <c r="D57" s="365"/>
      <c r="E57" s="365"/>
      <c r="F57" s="365"/>
      <c r="G57" s="365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6"/>
      <c r="D60" s="366"/>
      <c r="E60" s="366"/>
      <c r="F60" s="366"/>
      <c r="G60" s="6"/>
    </row>
    <row r="61" spans="1:33">
      <c r="C61" s="6"/>
      <c r="D61" s="6"/>
      <c r="E61" s="6"/>
      <c r="F61" s="6"/>
      <c r="G61" s="6"/>
    </row>
    <row r="62" spans="1:33">
      <c r="C62" s="366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137</v>
      </c>
      <c r="B4" s="8"/>
      <c r="C4" s="8"/>
    </row>
    <row r="6" spans="1:60">
      <c r="C6" s="310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1" t="s">
        <v>253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138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140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141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142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143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144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49"/>
      <c r="AA17" s="149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145</v>
      </c>
      <c r="B18" s="12"/>
      <c r="C18" s="314">
        <f>Assumptions!C61</f>
        <v>128277.44380627736</v>
      </c>
      <c r="D18" s="18">
        <f>Depreciation!$B$48</f>
        <v>127277.44380627736</v>
      </c>
      <c r="E18" s="18">
        <f>Depreciation!$B$48</f>
        <v>127277.44380627736</v>
      </c>
      <c r="F18" s="18">
        <f>Depreciation!$B$48</f>
        <v>127277.44380627736</v>
      </c>
      <c r="G18" s="18">
        <f>Depreciation!$B$48</f>
        <v>127277.44380627736</v>
      </c>
      <c r="H18" s="18">
        <f>Depreciation!$B$48</f>
        <v>127277.44380627736</v>
      </c>
      <c r="I18" s="18">
        <f>Depreciation!$B$48</f>
        <v>127277.44380627736</v>
      </c>
      <c r="J18" s="18">
        <f>Depreciation!$B$48</f>
        <v>127277.44380627736</v>
      </c>
      <c r="K18" s="18">
        <f>Depreciation!$B$48</f>
        <v>127277.44380627736</v>
      </c>
      <c r="L18" s="18">
        <f>Depreciation!$B$48</f>
        <v>127277.44380627736</v>
      </c>
      <c r="M18" s="18">
        <f>Depreciation!$B$48</f>
        <v>127277.44380627736</v>
      </c>
      <c r="N18" s="18">
        <f>Depreciation!$B$48</f>
        <v>127277.44380627736</v>
      </c>
      <c r="O18" s="18">
        <f>Depreciation!$B$48</f>
        <v>127277.44380627736</v>
      </c>
      <c r="P18" s="18">
        <f>Depreciation!$B$48</f>
        <v>127277.44380627736</v>
      </c>
      <c r="Q18" s="18">
        <f>Depreciation!$B$48</f>
        <v>127277.44380627736</v>
      </c>
      <c r="R18" s="18">
        <f>Depreciation!$B$48</f>
        <v>127277.44380627736</v>
      </c>
      <c r="S18" s="18">
        <f>Depreciation!$B$48</f>
        <v>127277.44380627736</v>
      </c>
      <c r="T18" s="18">
        <f>Depreciation!$B$48</f>
        <v>127277.44380627736</v>
      </c>
      <c r="U18" s="18">
        <f>Depreciation!$B$48</f>
        <v>127277.44380627736</v>
      </c>
      <c r="V18" s="18">
        <f>Depreciation!$B$48</f>
        <v>127277.44380627736</v>
      </c>
      <c r="W18" s="18">
        <f>Depreciation!$B$48</f>
        <v>127277.44380627736</v>
      </c>
      <c r="X18" s="18">
        <f>Depreciation!$B$48</f>
        <v>127277.44380627736</v>
      </c>
      <c r="Y18" s="18">
        <f>Depreciation!$B$48</f>
        <v>127277.44380627736</v>
      </c>
      <c r="Z18" s="18">
        <f>Depreciation!$B$48</f>
        <v>127277.44380627736</v>
      </c>
      <c r="AA18" s="18">
        <f>Depreciation!$B$48</f>
        <v>127277.44380627736</v>
      </c>
      <c r="AB18" s="18">
        <f>Depreciation!$B$48</f>
        <v>127277.44380627736</v>
      </c>
      <c r="AC18" s="18">
        <f>Depreciation!$B$48</f>
        <v>127277.44380627736</v>
      </c>
      <c r="AD18" s="18">
        <f>Depreciation!$B$48</f>
        <v>127277.44380627736</v>
      </c>
      <c r="AE18" s="18">
        <f>Depreciation!$B$48</f>
        <v>127277.44380627736</v>
      </c>
      <c r="AF18" s="18">
        <f>Depreciation!$B$48</f>
        <v>127277.44380627736</v>
      </c>
      <c r="AG18" s="18">
        <f>Depreciation!$B$48</f>
        <v>127277.44380627736</v>
      </c>
      <c r="AH18" s="18">
        <f>Depreciation!$B$48</f>
        <v>127277.44380627736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146</v>
      </c>
      <c r="B19" s="13"/>
      <c r="C19" s="316">
        <v>0</v>
      </c>
      <c r="D19" s="304">
        <f>SUM(Depreciation!$D$48:D48)</f>
        <v>3078.6062094588801</v>
      </c>
      <c r="E19" s="304">
        <f>SUM(Depreciation!$D$48:E48)</f>
        <v>7696.5155236472001</v>
      </c>
      <c r="F19" s="304">
        <f>SUM(Depreciation!$D$48:F48)</f>
        <v>12314.424837835521</v>
      </c>
      <c r="G19" s="304">
        <f>SUM(Depreciation!$D$48:G48)</f>
        <v>16932.334152023839</v>
      </c>
      <c r="H19" s="304">
        <f>SUM(Depreciation!$D$48:H48)</f>
        <v>21550.24346621216</v>
      </c>
      <c r="I19" s="304">
        <f>SUM(Depreciation!$D$48:I48)</f>
        <v>25556.712780400481</v>
      </c>
      <c r="J19" s="304">
        <f>SUM(Depreciation!$D$48:J48)</f>
        <v>29257.462094588802</v>
      </c>
      <c r="K19" s="304">
        <f>SUM(Depreciation!$D$48:K48)</f>
        <v>32958.211408777119</v>
      </c>
      <c r="L19" s="304">
        <f>SUM(Depreciation!$D$48:L48)</f>
        <v>36658.960722965436</v>
      </c>
      <c r="M19" s="304">
        <f>SUM(Depreciation!$D$48:M48)</f>
        <v>40359.710037153753</v>
      </c>
      <c r="N19" s="304">
        <f>SUM(Depreciation!$D$48:N48)</f>
        <v>44060.45935134207</v>
      </c>
      <c r="O19" s="304">
        <f>SUM(Depreciation!$D$48:O48)</f>
        <v>47761.208665530386</v>
      </c>
      <c r="P19" s="304">
        <f>SUM(Depreciation!$D$48:P48)</f>
        <v>51461.957979718703</v>
      </c>
      <c r="Q19" s="304">
        <f>SUM(Depreciation!$D$48:Q48)</f>
        <v>55162.70729390702</v>
      </c>
      <c r="R19" s="304">
        <f>SUM(Depreciation!$D$48:R48)</f>
        <v>58863.456608095337</v>
      </c>
      <c r="S19" s="304">
        <f>SUM(Depreciation!$D$48:S48)</f>
        <v>62564.205922283654</v>
      </c>
      <c r="T19" s="304">
        <f>SUM(Depreciation!$D$48:T48)</f>
        <v>66264.955236471971</v>
      </c>
      <c r="U19" s="304">
        <f>SUM(Depreciation!$D$48:U48)</f>
        <v>69965.704550660288</v>
      </c>
      <c r="V19" s="304">
        <f>SUM(Depreciation!$D$48:V48)</f>
        <v>73666.453864848605</v>
      </c>
      <c r="W19" s="304">
        <f>SUM(Depreciation!$D$48:W48)</f>
        <v>77367.203179036922</v>
      </c>
      <c r="X19" s="304">
        <f>SUM(Depreciation!$D$48:X48)</f>
        <v>81034.61915989191</v>
      </c>
      <c r="Y19" s="304">
        <f>SUM(Depreciation!$D$48:Y48)</f>
        <v>84685.368474080227</v>
      </c>
      <c r="Z19" s="304">
        <f>SUM(Depreciation!$D$48:Z48)</f>
        <v>88336.117788268544</v>
      </c>
      <c r="AA19" s="304">
        <f>SUM(Depreciation!$D$48:AA48)</f>
        <v>91986.867102456861</v>
      </c>
      <c r="AB19" s="304">
        <f>SUM(Depreciation!$D$48:AB48)</f>
        <v>95637.616416645178</v>
      </c>
      <c r="AC19" s="304">
        <f>SUM(Depreciation!$D$48:AC48)</f>
        <v>99288.365730833495</v>
      </c>
      <c r="AD19" s="304">
        <f>SUM(Depreciation!$D$48:AD48)</f>
        <v>102939.11504502181</v>
      </c>
      <c r="AE19" s="304">
        <f>SUM(Depreciation!$D$48:AE48)</f>
        <v>106589.86435921013</v>
      </c>
      <c r="AF19" s="304">
        <f>SUM(Depreciation!$D$48:AF48)</f>
        <v>110240.61367339845</v>
      </c>
      <c r="AG19" s="304">
        <f>SUM(Depreciation!$D$48:AG48)</f>
        <v>113891.36298758676</v>
      </c>
      <c r="AH19" s="304">
        <f>SUM(Depreciation!$D$48:AH48)</f>
        <v>115108.27942564954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147</v>
      </c>
      <c r="B20" s="13"/>
      <c r="C20" s="317">
        <f>C18-C19</f>
        <v>128277.44380627736</v>
      </c>
      <c r="D20" s="23">
        <f>D18-D19</f>
        <v>124198.83759681847</v>
      </c>
      <c r="E20" s="23">
        <f t="shared" ref="E20:AH20" si="2">E18-E19</f>
        <v>119580.92828263015</v>
      </c>
      <c r="F20" s="23">
        <f t="shared" si="2"/>
        <v>114963.01896844183</v>
      </c>
      <c r="G20" s="23">
        <f t="shared" si="2"/>
        <v>110345.10965425352</v>
      </c>
      <c r="H20" s="23">
        <f t="shared" si="2"/>
        <v>105727.2003400652</v>
      </c>
      <c r="I20" s="23">
        <f t="shared" si="2"/>
        <v>101720.73102587687</v>
      </c>
      <c r="J20" s="23">
        <f t="shared" si="2"/>
        <v>98019.981711688553</v>
      </c>
      <c r="K20" s="23">
        <f t="shared" si="2"/>
        <v>94319.232397500236</v>
      </c>
      <c r="L20" s="23">
        <f t="shared" si="2"/>
        <v>90618.483083311919</v>
      </c>
      <c r="M20" s="23">
        <f t="shared" si="2"/>
        <v>86917.733769123603</v>
      </c>
      <c r="N20" s="23">
        <f t="shared" si="2"/>
        <v>83216.984454935286</v>
      </c>
      <c r="O20" s="23">
        <f t="shared" si="2"/>
        <v>79516.235140746969</v>
      </c>
      <c r="P20" s="23">
        <f t="shared" si="2"/>
        <v>75815.485826558652</v>
      </c>
      <c r="Q20" s="23">
        <f t="shared" si="2"/>
        <v>72114.736512370335</v>
      </c>
      <c r="R20" s="23">
        <f t="shared" si="2"/>
        <v>68413.987198182018</v>
      </c>
      <c r="S20" s="23">
        <f t="shared" si="2"/>
        <v>64713.237883993701</v>
      </c>
      <c r="T20" s="23">
        <f t="shared" si="2"/>
        <v>61012.488569805384</v>
      </c>
      <c r="U20" s="23">
        <f t="shared" si="2"/>
        <v>57311.739255617067</v>
      </c>
      <c r="V20" s="23">
        <f t="shared" si="2"/>
        <v>53610.98994142875</v>
      </c>
      <c r="W20" s="23">
        <f t="shared" si="2"/>
        <v>49910.240627240433</v>
      </c>
      <c r="X20" s="23">
        <f t="shared" si="2"/>
        <v>46242.824646385445</v>
      </c>
      <c r="Y20" s="23">
        <f t="shared" si="2"/>
        <v>42592.075332197128</v>
      </c>
      <c r="Z20" s="23">
        <f t="shared" si="2"/>
        <v>38941.326018008811</v>
      </c>
      <c r="AA20" s="23">
        <f t="shared" si="2"/>
        <v>35290.576703820494</v>
      </c>
      <c r="AB20" s="23">
        <f t="shared" si="2"/>
        <v>31639.827389632177</v>
      </c>
      <c r="AC20" s="23">
        <f t="shared" si="2"/>
        <v>27989.07807544386</v>
      </c>
      <c r="AD20" s="23">
        <f t="shared" si="2"/>
        <v>24338.328761255543</v>
      </c>
      <c r="AE20" s="23">
        <f t="shared" si="2"/>
        <v>20687.579447067226</v>
      </c>
      <c r="AF20" s="23">
        <f t="shared" si="2"/>
        <v>17036.830132878909</v>
      </c>
      <c r="AG20" s="23">
        <f t="shared" si="2"/>
        <v>13386.080818690592</v>
      </c>
      <c r="AH20" s="23">
        <f t="shared" si="2"/>
        <v>12169.164380627815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148</v>
      </c>
      <c r="B22" s="13"/>
      <c r="C22" s="314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149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49"/>
      <c r="AA24" s="149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2" t="s">
        <v>150</v>
      </c>
      <c r="B25" s="13"/>
      <c r="C25" s="317">
        <f>SUM(C16,C20,C22,C23)</f>
        <v>129277.44380627736</v>
      </c>
      <c r="D25" s="23">
        <f>SUM(D16,D20,D22,D23)</f>
        <v>125198.83759681847</v>
      </c>
      <c r="E25" s="23">
        <f t="shared" ref="E25:AH25" si="3">SUM(E16,E20,E22,E23)</f>
        <v>120580.92828263015</v>
      </c>
      <c r="F25" s="23">
        <f t="shared" si="3"/>
        <v>115963.01896844183</v>
      </c>
      <c r="G25" s="23">
        <f t="shared" si="3"/>
        <v>111345.10965425352</v>
      </c>
      <c r="H25" s="23">
        <f t="shared" si="3"/>
        <v>106727.2003400652</v>
      </c>
      <c r="I25" s="23">
        <f t="shared" si="3"/>
        <v>102720.73102587687</v>
      </c>
      <c r="J25" s="23">
        <f t="shared" si="3"/>
        <v>99019.981711688553</v>
      </c>
      <c r="K25" s="23">
        <f t="shared" si="3"/>
        <v>95319.232397500236</v>
      </c>
      <c r="L25" s="23">
        <f t="shared" si="3"/>
        <v>91618.483083311919</v>
      </c>
      <c r="M25" s="23">
        <f t="shared" si="3"/>
        <v>87917.733769123603</v>
      </c>
      <c r="N25" s="23">
        <f t="shared" si="3"/>
        <v>84216.984454935286</v>
      </c>
      <c r="O25" s="23">
        <f t="shared" si="3"/>
        <v>80516.235140746969</v>
      </c>
      <c r="P25" s="23">
        <f t="shared" si="3"/>
        <v>76815.485826558652</v>
      </c>
      <c r="Q25" s="23">
        <f t="shared" si="3"/>
        <v>73114.736512370335</v>
      </c>
      <c r="R25" s="23">
        <f t="shared" si="3"/>
        <v>69413.987198182018</v>
      </c>
      <c r="S25" s="23">
        <f t="shared" si="3"/>
        <v>65713.237883993701</v>
      </c>
      <c r="T25" s="23">
        <f t="shared" si="3"/>
        <v>62012.488569805384</v>
      </c>
      <c r="U25" s="23">
        <f t="shared" si="3"/>
        <v>58311.739255617067</v>
      </c>
      <c r="V25" s="23">
        <f t="shared" si="3"/>
        <v>54610.98994142875</v>
      </c>
      <c r="W25" s="23">
        <f t="shared" si="3"/>
        <v>50910.240627240433</v>
      </c>
      <c r="X25" s="23">
        <f t="shared" si="3"/>
        <v>47242.824646385445</v>
      </c>
      <c r="Y25" s="23">
        <f t="shared" si="3"/>
        <v>43592.075332197128</v>
      </c>
      <c r="Z25" s="23">
        <f t="shared" si="3"/>
        <v>39941.326018008811</v>
      </c>
      <c r="AA25" s="23">
        <f t="shared" si="3"/>
        <v>36290.576703820494</v>
      </c>
      <c r="AB25" s="23">
        <f t="shared" si="3"/>
        <v>32639.827389632177</v>
      </c>
      <c r="AC25" s="23">
        <f t="shared" si="3"/>
        <v>28989.07807544386</v>
      </c>
      <c r="AD25" s="23">
        <f t="shared" si="3"/>
        <v>25338.328761255543</v>
      </c>
      <c r="AE25" s="23">
        <f t="shared" si="3"/>
        <v>21687.579447067226</v>
      </c>
      <c r="AF25" s="23">
        <f t="shared" si="3"/>
        <v>18036.830132878909</v>
      </c>
      <c r="AG25" s="23">
        <f t="shared" si="3"/>
        <v>14386.080818690592</v>
      </c>
      <c r="AH25" s="23">
        <f t="shared" si="3"/>
        <v>13169.164380627815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49"/>
      <c r="AA26" s="149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49"/>
      <c r="AA27" s="149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2" t="s">
        <v>151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49"/>
      <c r="AA28" s="149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2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49"/>
      <c r="AA29" s="149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152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153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154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155</v>
      </c>
      <c r="C33" s="314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156</v>
      </c>
      <c r="C34" s="317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157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49"/>
      <c r="AA36" s="149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2" t="s">
        <v>158</v>
      </c>
      <c r="B37" s="13"/>
      <c r="C37" s="317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49"/>
      <c r="AA38" s="149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2" t="s">
        <v>159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49"/>
      <c r="AA39" s="149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2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49"/>
      <c r="AA40" s="149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160</v>
      </c>
      <c r="C41" s="317">
        <f>Assumptions!$C$10</f>
        <v>37027.047772255843</v>
      </c>
      <c r="D41" s="23">
        <f>Assumptions!$C$10</f>
        <v>37027.047772255843</v>
      </c>
      <c r="E41" s="23">
        <f>Assumptions!$C$10</f>
        <v>37027.047772255843</v>
      </c>
      <c r="F41" s="23">
        <f>Assumptions!$C$10</f>
        <v>37027.047772255843</v>
      </c>
      <c r="G41" s="23">
        <f>Assumptions!$C$10</f>
        <v>37027.047772255843</v>
      </c>
      <c r="H41" s="23">
        <f>Assumptions!$C$10</f>
        <v>37027.047772255843</v>
      </c>
      <c r="I41" s="23">
        <f>Assumptions!$C$10</f>
        <v>37027.047772255843</v>
      </c>
      <c r="J41" s="23">
        <f>Assumptions!$C$10</f>
        <v>37027.047772255843</v>
      </c>
      <c r="K41" s="23">
        <f>Assumptions!$C$10</f>
        <v>37027.047772255843</v>
      </c>
      <c r="L41" s="23">
        <f>Assumptions!$C$10</f>
        <v>37027.047772255843</v>
      </c>
      <c r="M41" s="23">
        <f>Assumptions!$C$10</f>
        <v>37027.047772255843</v>
      </c>
      <c r="N41" s="23">
        <f>Assumptions!$C$10</f>
        <v>37027.047772255843</v>
      </c>
      <c r="O41" s="23">
        <f>Assumptions!$C$10</f>
        <v>37027.047772255843</v>
      </c>
      <c r="P41" s="23">
        <f>Assumptions!$C$10</f>
        <v>37027.047772255843</v>
      </c>
      <c r="Q41" s="23">
        <f>Assumptions!$C$10</f>
        <v>37027.047772255843</v>
      </c>
      <c r="R41" s="23">
        <f>Assumptions!$C$10</f>
        <v>37027.047772255843</v>
      </c>
      <c r="S41" s="23">
        <f>Assumptions!$C$10</f>
        <v>37027.047772255843</v>
      </c>
      <c r="T41" s="23">
        <f>Assumptions!$C$10</f>
        <v>37027.047772255843</v>
      </c>
      <c r="U41" s="23">
        <f>Assumptions!$C$10</f>
        <v>37027.047772255843</v>
      </c>
      <c r="V41" s="23">
        <f>Assumptions!$C$10</f>
        <v>37027.047772255843</v>
      </c>
      <c r="W41" s="23">
        <f>Assumptions!$C$10</f>
        <v>37027.047772255843</v>
      </c>
      <c r="X41" s="23">
        <f>Assumptions!$C$10</f>
        <v>37027.047772255843</v>
      </c>
      <c r="Y41" s="23">
        <f>Assumptions!$C$10</f>
        <v>37027.047772255843</v>
      </c>
      <c r="Z41" s="23">
        <f>Assumptions!$C$10</f>
        <v>37027.047772255843</v>
      </c>
      <c r="AA41" s="23">
        <f>Assumptions!$C$10</f>
        <v>37027.047772255843</v>
      </c>
      <c r="AB41" s="23">
        <f>Assumptions!$C$10</f>
        <v>37027.047772255843</v>
      </c>
      <c r="AC41" s="23">
        <f>Assumptions!$C$10</f>
        <v>37027.047772255843</v>
      </c>
      <c r="AD41" s="23">
        <f>Assumptions!$C$10</f>
        <v>37027.047772255843</v>
      </c>
      <c r="AE41" s="23">
        <f>Assumptions!$C$10</f>
        <v>37027.047772255843</v>
      </c>
      <c r="AF41" s="23">
        <f>Assumptions!$C$10</f>
        <v>37027.047772255843</v>
      </c>
      <c r="AG41" s="23">
        <f>Assumptions!$C$10</f>
        <v>37027.047772255843</v>
      </c>
      <c r="AH41" s="23">
        <f>Assumptions!$C$10</f>
        <v>37027.047772255843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161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162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49"/>
      <c r="AA44" s="149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2" t="s">
        <v>163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49"/>
      <c r="AA46" s="149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2" t="s">
        <v>164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49"/>
      <c r="AA48" s="149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49"/>
      <c r="AA49" s="149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49"/>
      <c r="AA50" s="149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49"/>
      <c r="AA51" s="149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49"/>
      <c r="AA52" s="149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49"/>
      <c r="AA53" s="149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49"/>
      <c r="AA54" s="149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7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49"/>
      <c r="AA55" s="149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7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49"/>
      <c r="AA56" s="149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7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49"/>
      <c r="AA57" s="149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7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49"/>
      <c r="AA58" s="149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7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49"/>
      <c r="AA59" s="149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7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49"/>
      <c r="AA60" s="149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7"/>
      <c r="B61" s="177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49"/>
      <c r="AA61" s="149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49"/>
      <c r="AA62" s="149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49"/>
      <c r="AA63" s="149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49"/>
      <c r="AA64" s="149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49"/>
      <c r="AA65" s="149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49"/>
      <c r="AA66" s="149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49"/>
      <c r="AA67" s="149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49"/>
      <c r="AA68" s="149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49"/>
      <c r="AA69" s="149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49"/>
      <c r="AA70" s="149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49"/>
      <c r="AA71" s="149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49"/>
      <c r="AA72" s="149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49"/>
      <c r="AA73" s="149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49"/>
      <c r="AA74" s="149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49"/>
      <c r="AA75" s="149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49"/>
      <c r="AA76" s="149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49"/>
      <c r="AA77" s="149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49"/>
      <c r="AA78" s="149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49"/>
      <c r="AA79" s="149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49"/>
      <c r="AA80" s="149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49"/>
      <c r="AA81" s="149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49"/>
      <c r="AA82" s="149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49"/>
      <c r="AA83" s="149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49"/>
      <c r="AA84" s="149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49"/>
      <c r="AA85" s="149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49"/>
      <c r="AA86" s="149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49"/>
      <c r="AA87" s="149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49"/>
      <c r="AA88" s="149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49"/>
      <c r="AA89" s="149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49"/>
      <c r="AA90" s="149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C38" sqref="C3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5" thickBot="1">
      <c r="A7" s="121" t="s">
        <v>39</v>
      </c>
      <c r="B7" s="7" t="s">
        <v>253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11534.608154211739</v>
      </c>
      <c r="D11" s="18">
        <f>IS!D32</f>
        <v>17465.727231317618</v>
      </c>
      <c r="E11" s="18">
        <f>IS!E32</f>
        <v>17428.536681317626</v>
      </c>
      <c r="F11" s="18">
        <f>IS!F32</f>
        <v>17390.31201481762</v>
      </c>
      <c r="G11" s="18">
        <f>IS!G32</f>
        <v>17351.023840322621</v>
      </c>
      <c r="H11" s="18">
        <f>IS!H32</f>
        <v>17310.641917232762</v>
      </c>
      <c r="I11" s="18">
        <f>IS!I32</f>
        <v>17269.135131023017</v>
      </c>
      <c r="J11" s="18">
        <f>IS!J32</f>
        <v>17226.471467691241</v>
      </c>
      <c r="K11" s="18">
        <f>IS!K32</f>
        <v>17182.617987453061</v>
      </c>
      <c r="L11" s="18">
        <f>IS!L32</f>
        <v>17137.540797661128</v>
      </c>
      <c r="M11" s="18">
        <f>IS!M32</f>
        <v>17091.205024925908</v>
      </c>
      <c r="N11" s="18">
        <f>IS!N32</f>
        <v>17043.574786414152</v>
      </c>
      <c r="O11" s="18">
        <f>IS!O32</f>
        <v>16994.613160300625</v>
      </c>
      <c r="P11" s="18">
        <f>IS!P32</f>
        <v>16944.282155348355</v>
      </c>
      <c r="Q11" s="18">
        <f>IS!Q32</f>
        <v>16892.542679591108</v>
      </c>
      <c r="R11" s="18">
        <f>IS!R32</f>
        <v>16839.354508091561</v>
      </c>
      <c r="S11" s="18">
        <f>IS!S32</f>
        <v>16784.676249748081</v>
      </c>
      <c r="T11" s="18">
        <f>IS!T32</f>
        <v>16728.465313121334</v>
      </c>
      <c r="U11" s="18">
        <f>IS!U32</f>
        <v>16670.677871252214</v>
      </c>
      <c r="V11" s="18">
        <f>IS!V32</f>
        <v>16611.268825440566</v>
      </c>
      <c r="W11" s="18">
        <f>IS!W32</f>
        <v>4176.0290220468014</v>
      </c>
      <c r="X11" s="18">
        <f>IS!X32</f>
        <v>-2354.0132876802418</v>
      </c>
      <c r="Y11" s="18">
        <f>IS!Y32</f>
        <v>-2418.5710209350618</v>
      </c>
      <c r="Z11" s="18">
        <f>IS!Z32</f>
        <v>-2484.9442328800051</v>
      </c>
      <c r="AA11" s="18">
        <f>IS!AA32</f>
        <v>-2553.1849628096388</v>
      </c>
      <c r="AB11" s="18">
        <f>IS!AB32</f>
        <v>-2623.3467626960264</v>
      </c>
      <c r="AC11" s="18">
        <f>IS!AC32</f>
        <v>-2695.4847415990535</v>
      </c>
      <c r="AD11" s="18">
        <f>IS!AD32</f>
        <v>-2769.6556113896058</v>
      </c>
      <c r="AE11" s="18">
        <f>IS!AE32</f>
        <v>-2845.9177338247282</v>
      </c>
      <c r="AF11" s="18">
        <f>IS!AF32</f>
        <v>-2924.3311690147766</v>
      </c>
      <c r="AG11" s="18">
        <f>IS!AG32</f>
        <v>-3004.9577253240295</v>
      </c>
    </row>
    <row r="12" spans="1:35">
      <c r="A12" s="45" t="s">
        <v>80</v>
      </c>
      <c r="B12" s="440">
        <v>0</v>
      </c>
      <c r="C12" s="440">
        <f>-(Debt!B36)</f>
        <v>-3153.4787787527357</v>
      </c>
      <c r="D12" s="440">
        <f>-(Debt!B44+Debt!C27+Debt!C36)</f>
        <v>-7202.1583325872534</v>
      </c>
      <c r="E12" s="440">
        <f>-(Debt!C44+Debt!D27+Debt!D36)</f>
        <v>-6681.6467535180655</v>
      </c>
      <c r="F12" s="440">
        <f>-(Debt!D44+Debt!E27+Debt!E36)</f>
        <v>-6120.4131601573808</v>
      </c>
      <c r="G12" s="440">
        <f>-(Debt!E44+Debt!F27+Debt!F36)</f>
        <v>-5499.7795303456332</v>
      </c>
      <c r="H12" s="440">
        <f>-(Debt!F44+Debt!G27+Debt!G36)</f>
        <v>-4843.6359465663008</v>
      </c>
      <c r="I12" s="440">
        <f>-(Debt!G44+Debt!H27+Debt!H36)</f>
        <v>-4130.263769144517</v>
      </c>
      <c r="J12" s="440">
        <f>-(Debt!H44+Debt!I27+Debt!I36)</f>
        <v>-3362.6019758840712</v>
      </c>
      <c r="K12" s="440">
        <f>-(Debt!I44+Debt!J27+Debt!J36)</f>
        <v>-2524.3683158353247</v>
      </c>
      <c r="L12" s="440">
        <f>-(Debt!J44+Debt!K27+Debt!K36)</f>
        <v>-1626.5219334570561</v>
      </c>
      <c r="M12" s="440">
        <f>-(Debt!K44+Debt!L27+Debt!L36)</f>
        <v>-653.47607614275773</v>
      </c>
      <c r="N12" s="440">
        <f>-(Debt!L44+Debt!M27+Debt!M36)</f>
        <v>0</v>
      </c>
      <c r="O12" s="440">
        <f>-(Debt!M44+Debt!N27+Debt!N36)</f>
        <v>0</v>
      </c>
      <c r="P12" s="440">
        <f>-(Debt!N44+Debt!O27+Debt!O36)</f>
        <v>0</v>
      </c>
      <c r="Q12" s="440">
        <f>-(Debt!O44+Debt!P27+Debt!P36)</f>
        <v>0</v>
      </c>
      <c r="R12" s="440">
        <f>-(Debt!P44+Debt!Q27+Debt!Q36)</f>
        <v>0</v>
      </c>
      <c r="S12" s="440">
        <f>-(Debt!Q44+Debt!R27+Debt!R36)</f>
        <v>0</v>
      </c>
      <c r="T12" s="440">
        <f>-(Debt!R44+Debt!S27+Debt!S36)</f>
        <v>0</v>
      </c>
      <c r="U12" s="440">
        <f>-(Debt!S44+Debt!T27+Debt!T36)</f>
        <v>0</v>
      </c>
      <c r="V12" s="440">
        <f>-(Debt!T44+Debt!U27+Debt!U36)</f>
        <v>0</v>
      </c>
      <c r="W12" s="440">
        <f>-(Debt!U44+Debt!V27+Debt!V36)</f>
        <v>0</v>
      </c>
      <c r="X12" s="440">
        <f>-(Debt!V44+Debt!W27+Debt!W36)</f>
        <v>-11.549433851795479</v>
      </c>
      <c r="Y12" s="440">
        <f>-(Debt!W44+Debt!X27+Debt!X36)</f>
        <v>-86.214840751441955</v>
      </c>
      <c r="Z12" s="440">
        <f>-(Debt!X44+Debt!Y27+Debt!Y36)</f>
        <v>-250.1984930348425</v>
      </c>
      <c r="AA12" s="440">
        <f>-(Debt!Y44+Debt!Z27+Debt!Z36)</f>
        <v>-431.96707544258788</v>
      </c>
      <c r="AB12" s="440">
        <f>-(Debt!Z44+Debt!AA27+Debt!AA36)</f>
        <v>-633.90653507434229</v>
      </c>
      <c r="AC12" s="440">
        <f>-(Debt!AA44+Debt!AB27+Debt!AB36)</f>
        <v>-857.2045313428132</v>
      </c>
      <c r="AD12" s="440">
        <f>-(Debt!AB44+Debt!AC27+Debt!AC36)</f>
        <v>-1104.624482776652</v>
      </c>
      <c r="AE12" s="440">
        <f>-(Debt!AC44+Debt!AD27+Debt!AD36)</f>
        <v>-1375.5539814020626</v>
      </c>
      <c r="AF12" s="440">
        <f>-(Debt!AD44+Debt!AE27+Debt!AE36)</f>
        <v>-1676.5497617327746</v>
      </c>
      <c r="AG12" s="440">
        <f>-(Debt!AE44+Debt!AF27+Debt!AF36)</f>
        <v>-1131.4370507993162</v>
      </c>
      <c r="AH12" s="13"/>
      <c r="AI12" s="13"/>
    </row>
    <row r="13" spans="1:35">
      <c r="A13" s="45" t="s">
        <v>353</v>
      </c>
      <c r="B13" s="64">
        <f>SUM(B11:B12)</f>
        <v>0</v>
      </c>
      <c r="C13" s="64">
        <f t="shared" ref="C13:AG13" si="0">SUM(C11:C12)</f>
        <v>8381.1293754590042</v>
      </c>
      <c r="D13" s="64">
        <f t="shared" si="0"/>
        <v>10263.568898730366</v>
      </c>
      <c r="E13" s="64">
        <f t="shared" si="0"/>
        <v>10746.889927799561</v>
      </c>
      <c r="F13" s="64">
        <f t="shared" si="0"/>
        <v>11269.89885466024</v>
      </c>
      <c r="G13" s="64">
        <f t="shared" si="0"/>
        <v>11851.244309976988</v>
      </c>
      <c r="H13" s="64">
        <f t="shared" si="0"/>
        <v>12467.005970666462</v>
      </c>
      <c r="I13" s="64">
        <f t="shared" si="0"/>
        <v>13138.8713618785</v>
      </c>
      <c r="J13" s="64">
        <f t="shared" si="0"/>
        <v>13863.869491807171</v>
      </c>
      <c r="K13" s="64">
        <f t="shared" si="0"/>
        <v>14658.249671617736</v>
      </c>
      <c r="L13" s="64">
        <f t="shared" si="0"/>
        <v>15511.018864204072</v>
      </c>
      <c r="M13" s="64">
        <f t="shared" si="0"/>
        <v>16437.728948783151</v>
      </c>
      <c r="N13" s="64">
        <f t="shared" si="0"/>
        <v>17043.574786414152</v>
      </c>
      <c r="O13" s="64">
        <f t="shared" si="0"/>
        <v>16994.613160300625</v>
      </c>
      <c r="P13" s="64">
        <f t="shared" si="0"/>
        <v>16944.282155348355</v>
      </c>
      <c r="Q13" s="64">
        <f t="shared" si="0"/>
        <v>16892.542679591108</v>
      </c>
      <c r="R13" s="64">
        <f t="shared" si="0"/>
        <v>16839.354508091561</v>
      </c>
      <c r="S13" s="64">
        <f t="shared" si="0"/>
        <v>16784.676249748081</v>
      </c>
      <c r="T13" s="64">
        <f t="shared" si="0"/>
        <v>16728.465313121334</v>
      </c>
      <c r="U13" s="64">
        <f t="shared" si="0"/>
        <v>16670.677871252214</v>
      </c>
      <c r="V13" s="64">
        <f t="shared" si="0"/>
        <v>16611.268825440566</v>
      </c>
      <c r="W13" s="64">
        <f t="shared" si="0"/>
        <v>4176.0290220468014</v>
      </c>
      <c r="X13" s="64">
        <f t="shared" si="0"/>
        <v>-2365.5627215320374</v>
      </c>
      <c r="Y13" s="64">
        <f t="shared" si="0"/>
        <v>-2504.7858616865037</v>
      </c>
      <c r="Z13" s="64">
        <f t="shared" si="0"/>
        <v>-2735.1427259148477</v>
      </c>
      <c r="AA13" s="64">
        <f t="shared" si="0"/>
        <v>-2985.1520382522267</v>
      </c>
      <c r="AB13" s="64">
        <f t="shared" si="0"/>
        <v>-3257.2532977703686</v>
      </c>
      <c r="AC13" s="64">
        <f t="shared" si="0"/>
        <v>-3552.6892729418669</v>
      </c>
      <c r="AD13" s="64">
        <f t="shared" si="0"/>
        <v>-3874.2800941662581</v>
      </c>
      <c r="AE13" s="64">
        <f t="shared" si="0"/>
        <v>-4221.4717152267913</v>
      </c>
      <c r="AF13" s="64">
        <f t="shared" si="0"/>
        <v>-4600.8809307475512</v>
      </c>
      <c r="AG13" s="64">
        <f t="shared" si="0"/>
        <v>-4136.3947761233458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-354.13353288570556</v>
      </c>
      <c r="H15" s="18">
        <f>-Taxes!G24-Taxes!G41</f>
        <v>-1860.5574188309974</v>
      </c>
      <c r="I15" s="18">
        <f>-Taxes!H24-Taxes!H41</f>
        <v>-2411.5634811570408</v>
      </c>
      <c r="J15" s="18">
        <f>-Taxes!I24-Taxes!I41</f>
        <v>-2700.2794194711828</v>
      </c>
      <c r="K15" s="18">
        <f>-Taxes!J24-Taxes!J41</f>
        <v>-3024.1911345702847</v>
      </c>
      <c r="L15" s="18">
        <f>-Taxes!K24-Taxes!K41</f>
        <v>-3364.4845603021899</v>
      </c>
      <c r="M15" s="18">
        <f>-Taxes!L24-Taxes!L41</f>
        <v>-3731.1530135739281</v>
      </c>
      <c r="N15" s="18">
        <f>-Taxes!M24-Taxes!M41</f>
        <v>-3876.5322611166798</v>
      </c>
      <c r="O15" s="18">
        <f>-Taxes!N24-Taxes!N41</f>
        <v>-3861.9808425013189</v>
      </c>
      <c r="P15" s="18">
        <f>-Taxes!O24-Taxes!O41</f>
        <v>-3837.2620255301576</v>
      </c>
      <c r="Q15" s="18">
        <f>-Taxes!P24-Taxes!P41</f>
        <v>-3821.6119673807048</v>
      </c>
      <c r="R15" s="18">
        <f>-Taxes!Q24-Taxes!Q41</f>
        <v>-5220.3828767514224</v>
      </c>
      <c r="S15" s="18">
        <f>-Taxes!R24-Taxes!R41</f>
        <v>-6618.5644567753661</v>
      </c>
      <c r="T15" s="18">
        <f>-Taxes!S24-Taxes!S41</f>
        <v>-6596.3330313394872</v>
      </c>
      <c r="U15" s="18">
        <f>-Taxes!T24-Taxes!T41</f>
        <v>-6573.4780980802498</v>
      </c>
      <c r="V15" s="18">
        <f>-Taxes!U24-Taxes!U41</f>
        <v>-6549.9818204617441</v>
      </c>
      <c r="W15" s="18">
        <f>-Taxes!V24-Taxes!V41</f>
        <v>-1645.0278115528431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-2410.1878277869837</v>
      </c>
      <c r="D16" s="23">
        <f>-Debt!C48</f>
        <v>-6192.5338336197601</v>
      </c>
      <c r="E16" s="23">
        <f>-Debt!D48</f>
        <v>-6732.0523586651398</v>
      </c>
      <c r="F16" s="23">
        <f>-Debt!E48</f>
        <v>-7273.1930586135131</v>
      </c>
      <c r="G16" s="23">
        <f>-Debt!F48</f>
        <v>-7845.5842311927117</v>
      </c>
      <c r="H16" s="23">
        <f>-Debt!G48</f>
        <v>-8479.9869297058467</v>
      </c>
      <c r="I16" s="23">
        <f>-Debt!H48</f>
        <v>-9161.6465372168896</v>
      </c>
      <c r="J16" s="23">
        <f>-Debt!I48</f>
        <v>-9905.7385162264691</v>
      </c>
      <c r="K16" s="23">
        <f>-Debt!J48</f>
        <v>-10692.413871068966</v>
      </c>
      <c r="L16" s="23">
        <f>-Debt!K48</f>
        <v>-11564.846697559547</v>
      </c>
      <c r="M16" s="23">
        <f>-Debt!L48</f>
        <v>-10992.212172365686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569.99200459600479</v>
      </c>
      <c r="Y16" s="23">
        <f>-Debt!X48</f>
        <v>1934.2731524798064</v>
      </c>
      <c r="Z16" s="23">
        <f>-Debt!Y48</f>
        <v>2150.2670368491176</v>
      </c>
      <c r="AA16" s="23">
        <f>-Debt!Z48</f>
        <v>2381.566155898352</v>
      </c>
      <c r="AB16" s="23">
        <f>-Debt!AA48</f>
        <v>2638.4098956526113</v>
      </c>
      <c r="AC16" s="23">
        <f>-Debt!AB48</f>
        <v>2916.8196516873431</v>
      </c>
      <c r="AD16" s="23">
        <f>-Debt!AC48</f>
        <v>3222.3555243500632</v>
      </c>
      <c r="AE16" s="23">
        <f>-Debt!AD48</f>
        <v>3548.6445809470788</v>
      </c>
      <c r="AF16" s="23">
        <f>-Debt!AE48</f>
        <v>3910.997083309383</v>
      </c>
      <c r="AG16" s="23">
        <f>-Debt!AF48</f>
        <v>4003.7736285097817</v>
      </c>
    </row>
    <row r="17" spans="1:33">
      <c r="A17" s="45" t="s">
        <v>355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356</v>
      </c>
      <c r="B18" s="64">
        <f>B13+B17+B16+B15</f>
        <v>0</v>
      </c>
      <c r="C18" s="64">
        <f t="shared" ref="C18:AG18" si="1">C13+C17+C16+C15</f>
        <v>5970.9415476720205</v>
      </c>
      <c r="D18" s="64">
        <f t="shared" si="1"/>
        <v>4071.0350651106055</v>
      </c>
      <c r="E18" s="64">
        <f t="shared" si="1"/>
        <v>4014.8375691344208</v>
      </c>
      <c r="F18" s="64">
        <f t="shared" si="1"/>
        <v>3996.7057960467264</v>
      </c>
      <c r="G18" s="64">
        <f t="shared" si="1"/>
        <v>3651.5265458985705</v>
      </c>
      <c r="H18" s="64">
        <f t="shared" si="1"/>
        <v>2126.4616221296174</v>
      </c>
      <c r="I18" s="64">
        <f t="shared" si="1"/>
        <v>1565.6613435045701</v>
      </c>
      <c r="J18" s="64">
        <f t="shared" si="1"/>
        <v>1257.8515561095187</v>
      </c>
      <c r="K18" s="64">
        <f t="shared" si="1"/>
        <v>941.64466597848514</v>
      </c>
      <c r="L18" s="64">
        <f t="shared" si="1"/>
        <v>581.68760634233467</v>
      </c>
      <c r="M18" s="64">
        <f t="shared" si="1"/>
        <v>1714.3637628435376</v>
      </c>
      <c r="N18" s="64">
        <f t="shared" si="1"/>
        <v>13167.042525297473</v>
      </c>
      <c r="O18" s="64">
        <f t="shared" si="1"/>
        <v>13132.632317799307</v>
      </c>
      <c r="P18" s="64">
        <f t="shared" si="1"/>
        <v>13107.020129818198</v>
      </c>
      <c r="Q18" s="64">
        <f t="shared" si="1"/>
        <v>13070.930712210404</v>
      </c>
      <c r="R18" s="64">
        <f t="shared" si="1"/>
        <v>11618.971631340139</v>
      </c>
      <c r="S18" s="64">
        <f t="shared" si="1"/>
        <v>10166.111792972715</v>
      </c>
      <c r="T18" s="64">
        <f t="shared" si="1"/>
        <v>10132.132281781847</v>
      </c>
      <c r="U18" s="64">
        <f t="shared" si="1"/>
        <v>10097.199773171964</v>
      </c>
      <c r="V18" s="64">
        <f t="shared" si="1"/>
        <v>10061.287004978822</v>
      </c>
      <c r="W18" s="64">
        <f t="shared" si="1"/>
        <v>2531.0012104939583</v>
      </c>
      <c r="X18" s="64">
        <f t="shared" si="1"/>
        <v>-1795.5707169360326</v>
      </c>
      <c r="Y18" s="64">
        <f t="shared" si="1"/>
        <v>-570.51270920669731</v>
      </c>
      <c r="Z18" s="64">
        <f t="shared" si="1"/>
        <v>-584.87568906573006</v>
      </c>
      <c r="AA18" s="64">
        <f t="shared" si="1"/>
        <v>-603.58588235387469</v>
      </c>
      <c r="AB18" s="64">
        <f t="shared" si="1"/>
        <v>-618.84340211775725</v>
      </c>
      <c r="AC18" s="64">
        <f t="shared" si="1"/>
        <v>-635.86962125452374</v>
      </c>
      <c r="AD18" s="64">
        <f t="shared" si="1"/>
        <v>-651.92456981619489</v>
      </c>
      <c r="AE18" s="64">
        <f t="shared" si="1"/>
        <v>-672.82713427971248</v>
      </c>
      <c r="AF18" s="64">
        <f t="shared" si="1"/>
        <v>-689.88384743816823</v>
      </c>
      <c r="AG18" s="64">
        <f t="shared" si="1"/>
        <v>-132.62114761356406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406</v>
      </c>
      <c r="B20" s="512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5970.9415476720205</v>
      </c>
      <c r="D21" s="64">
        <f t="shared" si="2"/>
        <v>4071.0350651106055</v>
      </c>
      <c r="E21" s="64">
        <f t="shared" si="2"/>
        <v>4014.8375691344208</v>
      </c>
      <c r="F21" s="64">
        <f t="shared" si="2"/>
        <v>3996.7057960467264</v>
      </c>
      <c r="G21" s="64">
        <f t="shared" si="2"/>
        <v>3651.5265458985705</v>
      </c>
      <c r="H21" s="64">
        <f t="shared" si="2"/>
        <v>2126.4616221296174</v>
      </c>
      <c r="I21" s="64">
        <f t="shared" si="2"/>
        <v>1565.6613435045701</v>
      </c>
      <c r="J21" s="64">
        <f t="shared" si="2"/>
        <v>1257.8515561095187</v>
      </c>
      <c r="K21" s="64">
        <f t="shared" si="2"/>
        <v>941.64466597848514</v>
      </c>
      <c r="L21" s="64">
        <f t="shared" si="2"/>
        <v>581.68760634233467</v>
      </c>
      <c r="M21" s="64">
        <f t="shared" si="2"/>
        <v>1714.3637628435376</v>
      </c>
      <c r="N21" s="64">
        <f t="shared" si="2"/>
        <v>13167.042525297473</v>
      </c>
      <c r="O21" s="64">
        <f t="shared" si="2"/>
        <v>13132.632317799307</v>
      </c>
      <c r="P21" s="64">
        <f t="shared" si="2"/>
        <v>13107.020129818198</v>
      </c>
      <c r="Q21" s="64">
        <f t="shared" si="2"/>
        <v>13070.930712210404</v>
      </c>
      <c r="R21" s="64">
        <f t="shared" si="2"/>
        <v>11618.971631340139</v>
      </c>
      <c r="S21" s="64">
        <f t="shared" si="2"/>
        <v>10166.111792972715</v>
      </c>
      <c r="T21" s="64">
        <f t="shared" si="2"/>
        <v>10132.132281781847</v>
      </c>
      <c r="U21" s="64">
        <f t="shared" si="2"/>
        <v>10097.199773171964</v>
      </c>
      <c r="V21" s="64">
        <f t="shared" si="2"/>
        <v>10061.287004978822</v>
      </c>
      <c r="W21" s="64">
        <f t="shared" si="2"/>
        <v>2531.0012104939583</v>
      </c>
      <c r="X21" s="64">
        <f t="shared" si="2"/>
        <v>-1795.5707169360326</v>
      </c>
      <c r="Y21" s="64">
        <f t="shared" si="2"/>
        <v>-570.51270920669731</v>
      </c>
      <c r="Z21" s="64">
        <f t="shared" si="2"/>
        <v>-584.87568906573006</v>
      </c>
      <c r="AA21" s="64">
        <f t="shared" si="2"/>
        <v>-603.58588235387469</v>
      </c>
      <c r="AB21" s="64">
        <f t="shared" si="2"/>
        <v>-618.84340211775725</v>
      </c>
      <c r="AC21" s="64">
        <f t="shared" si="2"/>
        <v>-635.86962125452374</v>
      </c>
      <c r="AD21" s="64">
        <f t="shared" si="2"/>
        <v>-651.92456981619489</v>
      </c>
      <c r="AE21" s="64">
        <f t="shared" si="2"/>
        <v>-672.82713427971248</v>
      </c>
      <c r="AF21" s="64">
        <f t="shared" si="2"/>
        <v>-689.88384743816823</v>
      </c>
      <c r="AG21" s="64">
        <f t="shared" si="2"/>
        <v>-132.62114761356406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3" t="s">
        <v>363</v>
      </c>
      <c r="B24" s="448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-37027.047772255843</v>
      </c>
      <c r="C25" s="18">
        <f t="shared" ref="C25:V25" si="3">+B29</f>
        <v>-37027.047772255843</v>
      </c>
      <c r="D25" s="18">
        <f t="shared" si="3"/>
        <v>-36239.892912699637</v>
      </c>
      <c r="E25" s="18">
        <f t="shared" si="3"/>
        <v>-36239.892912699637</v>
      </c>
      <c r="F25" s="18">
        <f t="shared" si="3"/>
        <v>-36239.892912699637</v>
      </c>
      <c r="G25" s="18">
        <f t="shared" si="3"/>
        <v>-36239.892912699637</v>
      </c>
      <c r="H25" s="18">
        <f t="shared" si="3"/>
        <v>-36239.892912699637</v>
      </c>
      <c r="I25" s="18">
        <f t="shared" si="3"/>
        <v>-36239.892912699637</v>
      </c>
      <c r="J25" s="18">
        <f t="shared" si="3"/>
        <v>-36239.892912699637</v>
      </c>
      <c r="K25" s="18">
        <f t="shared" si="3"/>
        <v>-36239.892912699637</v>
      </c>
      <c r="L25" s="18">
        <f t="shared" si="3"/>
        <v>-36239.892912699637</v>
      </c>
      <c r="M25" s="18">
        <f t="shared" si="3"/>
        <v>-36239.892912699637</v>
      </c>
      <c r="N25" s="18">
        <f t="shared" si="3"/>
        <v>-36239.892912699637</v>
      </c>
      <c r="O25" s="18">
        <f t="shared" si="3"/>
        <v>-28146.435395180113</v>
      </c>
      <c r="P25" s="18">
        <f t="shared" si="3"/>
        <v>-18954.304032706023</v>
      </c>
      <c r="Q25" s="18">
        <f t="shared" si="3"/>
        <v>-8500.8864674666675</v>
      </c>
      <c r="R25" s="18">
        <f t="shared" si="3"/>
        <v>3379.9201392984032</v>
      </c>
      <c r="S25" s="18">
        <f t="shared" si="3"/>
        <v>15472.080590140318</v>
      </c>
      <c r="T25" s="18">
        <f t="shared" si="3"/>
        <v>27804.283665732677</v>
      </c>
      <c r="U25" s="18">
        <f t="shared" si="3"/>
        <v>41829.015660717101</v>
      </c>
      <c r="V25" s="18">
        <f t="shared" si="3"/>
        <v>57782.277626389463</v>
      </c>
      <c r="W25" s="18">
        <f t="shared" ref="W25:AG25" si="4">+V29</f>
        <v>75933.083499062806</v>
      </c>
      <c r="X25" s="18">
        <f t="shared" si="4"/>
        <v>89094.716399425553</v>
      </c>
      <c r="Y25" s="18">
        <f t="shared" si="4"/>
        <v>99772.405978409108</v>
      </c>
      <c r="Z25" s="18">
        <f t="shared" si="4"/>
        <v>113170.03010617969</v>
      </c>
      <c r="AA25" s="18">
        <f t="shared" si="4"/>
        <v>128428.95863197913</v>
      </c>
      <c r="AB25" s="18">
        <f t="shared" si="4"/>
        <v>145805.42695810233</v>
      </c>
      <c r="AC25" s="18">
        <f t="shared" si="4"/>
        <v>165599.34333011889</v>
      </c>
      <c r="AD25" s="18">
        <f t="shared" si="4"/>
        <v>188147.38177508101</v>
      </c>
      <c r="AE25" s="18">
        <f t="shared" si="4"/>
        <v>213836.09065377616</v>
      </c>
      <c r="AF25" s="18">
        <f t="shared" si="4"/>
        <v>243100.31621102511</v>
      </c>
      <c r="AG25" s="18">
        <f t="shared" si="4"/>
        <v>276444.47663313046</v>
      </c>
    </row>
    <row r="26" spans="1:33">
      <c r="A26" s="45" t="s">
        <v>362</v>
      </c>
      <c r="B26" s="18">
        <v>0</v>
      </c>
      <c r="C26" s="18">
        <f>+-B25*$B$24</f>
        <v>5183.7866881158188</v>
      </c>
      <c r="D26" s="18">
        <f t="shared" ref="D26:V26" si="5">+-D25*$B$24</f>
        <v>5073.5850077779496</v>
      </c>
      <c r="E26" s="18">
        <f t="shared" si="5"/>
        <v>5073.5850077779496</v>
      </c>
      <c r="F26" s="18">
        <f t="shared" si="5"/>
        <v>5073.5850077779496</v>
      </c>
      <c r="G26" s="18">
        <f t="shared" si="5"/>
        <v>5073.5850077779496</v>
      </c>
      <c r="H26" s="18">
        <f t="shared" si="5"/>
        <v>5073.5850077779496</v>
      </c>
      <c r="I26" s="18">
        <f t="shared" si="5"/>
        <v>5073.5850077779496</v>
      </c>
      <c r="J26" s="18">
        <f t="shared" si="5"/>
        <v>5073.5850077779496</v>
      </c>
      <c r="K26" s="18">
        <f t="shared" si="5"/>
        <v>5073.5850077779496</v>
      </c>
      <c r="L26" s="18">
        <f t="shared" si="5"/>
        <v>5073.5850077779496</v>
      </c>
      <c r="M26" s="18">
        <f t="shared" si="5"/>
        <v>5073.5850077779496</v>
      </c>
      <c r="N26" s="18">
        <f t="shared" si="5"/>
        <v>5073.5850077779496</v>
      </c>
      <c r="O26" s="18">
        <f t="shared" si="5"/>
        <v>3940.5009553252162</v>
      </c>
      <c r="P26" s="18">
        <f t="shared" si="5"/>
        <v>2653.6025645788436</v>
      </c>
      <c r="Q26" s="18">
        <f t="shared" si="5"/>
        <v>1190.1241054453335</v>
      </c>
      <c r="R26" s="18">
        <f t="shared" si="5"/>
        <v>-473.18881950177649</v>
      </c>
      <c r="S26" s="18">
        <f t="shared" si="5"/>
        <v>-2166.091282619645</v>
      </c>
      <c r="T26" s="18">
        <f t="shared" si="5"/>
        <v>-3892.599713202575</v>
      </c>
      <c r="U26" s="18">
        <f t="shared" si="5"/>
        <v>-5856.0621925003943</v>
      </c>
      <c r="V26" s="18">
        <f t="shared" si="5"/>
        <v>-8089.5188676945254</v>
      </c>
      <c r="W26" s="18">
        <f t="shared" ref="W26:AG26" si="6">+-W25*$B$24</f>
        <v>-10630.631689868795</v>
      </c>
      <c r="X26" s="18">
        <f t="shared" si="6"/>
        <v>-12473.260295919579</v>
      </c>
      <c r="Y26" s="18">
        <f t="shared" si="6"/>
        <v>-13968.136836977277</v>
      </c>
      <c r="Z26" s="18">
        <f t="shared" si="6"/>
        <v>-15843.804214865158</v>
      </c>
      <c r="AA26" s="18">
        <f t="shared" si="6"/>
        <v>-17980.054208477079</v>
      </c>
      <c r="AB26" s="18">
        <f t="shared" si="6"/>
        <v>-20412.759774134327</v>
      </c>
      <c r="AC26" s="18">
        <f t="shared" si="6"/>
        <v>-23183.908066216649</v>
      </c>
      <c r="AD26" s="18">
        <f t="shared" si="6"/>
        <v>-26340.633448511344</v>
      </c>
      <c r="AE26" s="18">
        <f t="shared" si="6"/>
        <v>-29937.052691528665</v>
      </c>
      <c r="AF26" s="18">
        <f t="shared" si="6"/>
        <v>-34034.044269543519</v>
      </c>
      <c r="AG26" s="18">
        <f t="shared" si="6"/>
        <v>-38702.22672863827</v>
      </c>
    </row>
    <row r="27" spans="1:33">
      <c r="A27" s="45" t="s">
        <v>358</v>
      </c>
      <c r="B27" s="18">
        <f>B21</f>
        <v>0</v>
      </c>
      <c r="C27" s="18">
        <f t="shared" ref="C27:AG27" si="7">C21</f>
        <v>5970.9415476720205</v>
      </c>
      <c r="D27" s="18">
        <f t="shared" si="7"/>
        <v>4071.0350651106055</v>
      </c>
      <c r="E27" s="18">
        <f t="shared" si="7"/>
        <v>4014.8375691344208</v>
      </c>
      <c r="F27" s="18">
        <f t="shared" si="7"/>
        <v>3996.7057960467264</v>
      </c>
      <c r="G27" s="18">
        <f t="shared" si="7"/>
        <v>3651.5265458985705</v>
      </c>
      <c r="H27" s="18">
        <f t="shared" si="7"/>
        <v>2126.4616221296174</v>
      </c>
      <c r="I27" s="18">
        <f t="shared" si="7"/>
        <v>1565.6613435045701</v>
      </c>
      <c r="J27" s="18">
        <f t="shared" si="7"/>
        <v>1257.8515561095187</v>
      </c>
      <c r="K27" s="18">
        <f t="shared" si="7"/>
        <v>941.64466597848514</v>
      </c>
      <c r="L27" s="18">
        <f t="shared" si="7"/>
        <v>581.68760634233467</v>
      </c>
      <c r="M27" s="18">
        <f t="shared" si="7"/>
        <v>1714.3637628435376</v>
      </c>
      <c r="N27" s="18">
        <f t="shared" si="7"/>
        <v>13167.042525297473</v>
      </c>
      <c r="O27" s="18">
        <f t="shared" si="7"/>
        <v>13132.632317799307</v>
      </c>
      <c r="P27" s="18">
        <f t="shared" si="7"/>
        <v>13107.020129818198</v>
      </c>
      <c r="Q27" s="18">
        <f t="shared" si="7"/>
        <v>13070.930712210404</v>
      </c>
      <c r="R27" s="18">
        <f t="shared" si="7"/>
        <v>11618.971631340139</v>
      </c>
      <c r="S27" s="18">
        <f t="shared" si="7"/>
        <v>10166.111792972715</v>
      </c>
      <c r="T27" s="18">
        <f t="shared" si="7"/>
        <v>10132.132281781847</v>
      </c>
      <c r="U27" s="18">
        <f t="shared" si="7"/>
        <v>10097.199773171964</v>
      </c>
      <c r="V27" s="18">
        <f t="shared" si="7"/>
        <v>10061.287004978822</v>
      </c>
      <c r="W27" s="18">
        <f t="shared" si="7"/>
        <v>2531.0012104939583</v>
      </c>
      <c r="X27" s="18">
        <f t="shared" si="7"/>
        <v>-1795.5707169360326</v>
      </c>
      <c r="Y27" s="18">
        <f t="shared" si="7"/>
        <v>-570.51270920669731</v>
      </c>
      <c r="Z27" s="18">
        <f t="shared" si="7"/>
        <v>-584.87568906573006</v>
      </c>
      <c r="AA27" s="18">
        <f t="shared" si="7"/>
        <v>-603.58588235387469</v>
      </c>
      <c r="AB27" s="18">
        <f t="shared" si="7"/>
        <v>-618.84340211775725</v>
      </c>
      <c r="AC27" s="18">
        <f t="shared" si="7"/>
        <v>-635.86962125452374</v>
      </c>
      <c r="AD27" s="18">
        <f t="shared" si="7"/>
        <v>-651.92456981619489</v>
      </c>
      <c r="AE27" s="18">
        <f t="shared" si="7"/>
        <v>-672.82713427971248</v>
      </c>
      <c r="AF27" s="18">
        <f t="shared" si="7"/>
        <v>-689.88384743816823</v>
      </c>
      <c r="AG27" s="18">
        <f t="shared" si="7"/>
        <v>-132.62114761356406</v>
      </c>
    </row>
    <row r="28" spans="1:33">
      <c r="A28" s="45" t="s">
        <v>361</v>
      </c>
      <c r="B28" s="305">
        <v>0</v>
      </c>
      <c r="C28" s="305">
        <f t="shared" ref="C28:V28" si="8">+IF(C27&gt;C26,C27-C26,0)</f>
        <v>787.1548595562017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8093.4575175195232</v>
      </c>
      <c r="O28" s="305">
        <f t="shared" si="8"/>
        <v>9192.1313624740906</v>
      </c>
      <c r="P28" s="305">
        <f t="shared" si="8"/>
        <v>10453.417565239355</v>
      </c>
      <c r="Q28" s="305">
        <f t="shared" si="8"/>
        <v>11880.806606765071</v>
      </c>
      <c r="R28" s="305">
        <f t="shared" si="8"/>
        <v>12092.160450841915</v>
      </c>
      <c r="S28" s="305">
        <f t="shared" si="8"/>
        <v>12332.203075592361</v>
      </c>
      <c r="T28" s="305">
        <f t="shared" si="8"/>
        <v>14024.731994984422</v>
      </c>
      <c r="U28" s="305">
        <f t="shared" si="8"/>
        <v>15953.261965672358</v>
      </c>
      <c r="V28" s="305">
        <f t="shared" si="8"/>
        <v>18150.805872673347</v>
      </c>
      <c r="W28" s="305">
        <f t="shared" ref="W28:AG28" si="9">+IF(W27&gt;W26,W27-W26,0)</f>
        <v>13161.632900362752</v>
      </c>
      <c r="X28" s="305">
        <f t="shared" si="9"/>
        <v>10677.689578983547</v>
      </c>
      <c r="Y28" s="305">
        <f t="shared" si="9"/>
        <v>13397.624127770579</v>
      </c>
      <c r="Z28" s="305">
        <f t="shared" si="9"/>
        <v>15258.928525799429</v>
      </c>
      <c r="AA28" s="305">
        <f t="shared" si="9"/>
        <v>17376.468326123206</v>
      </c>
      <c r="AB28" s="305">
        <f t="shared" si="9"/>
        <v>19793.916372016571</v>
      </c>
      <c r="AC28" s="305">
        <f t="shared" si="9"/>
        <v>22548.038444962127</v>
      </c>
      <c r="AD28" s="305">
        <f t="shared" si="9"/>
        <v>25688.70887869515</v>
      </c>
      <c r="AE28" s="305">
        <f t="shared" si="9"/>
        <v>29264.225557248952</v>
      </c>
      <c r="AF28" s="305">
        <f t="shared" si="9"/>
        <v>33344.160422105349</v>
      </c>
      <c r="AG28" s="305">
        <f t="shared" si="9"/>
        <v>38569.605581024705</v>
      </c>
    </row>
    <row r="29" spans="1:33">
      <c r="A29" s="45" t="s">
        <v>58</v>
      </c>
      <c r="B29" s="18">
        <f t="shared" ref="B29:V29" si="10">+B25+B28</f>
        <v>-37027.047772255843</v>
      </c>
      <c r="C29" s="18">
        <f t="shared" si="10"/>
        <v>-36239.892912699637</v>
      </c>
      <c r="D29" s="18">
        <f t="shared" si="10"/>
        <v>-36239.892912699637</v>
      </c>
      <c r="E29" s="18">
        <f t="shared" si="10"/>
        <v>-36239.892912699637</v>
      </c>
      <c r="F29" s="18">
        <f t="shared" si="10"/>
        <v>-36239.892912699637</v>
      </c>
      <c r="G29" s="18">
        <f t="shared" si="10"/>
        <v>-36239.892912699637</v>
      </c>
      <c r="H29" s="18">
        <f t="shared" si="10"/>
        <v>-36239.892912699637</v>
      </c>
      <c r="I29" s="18">
        <f t="shared" si="10"/>
        <v>-36239.892912699637</v>
      </c>
      <c r="J29" s="18">
        <f t="shared" si="10"/>
        <v>-36239.892912699637</v>
      </c>
      <c r="K29" s="18">
        <f t="shared" si="10"/>
        <v>-36239.892912699637</v>
      </c>
      <c r="L29" s="18">
        <f t="shared" si="10"/>
        <v>-36239.892912699637</v>
      </c>
      <c r="M29" s="18">
        <f t="shared" si="10"/>
        <v>-36239.892912699637</v>
      </c>
      <c r="N29" s="18">
        <f t="shared" si="10"/>
        <v>-28146.435395180113</v>
      </c>
      <c r="O29" s="18">
        <f t="shared" si="10"/>
        <v>-18954.304032706023</v>
      </c>
      <c r="P29" s="18">
        <f t="shared" si="10"/>
        <v>-8500.8864674666675</v>
      </c>
      <c r="Q29" s="18">
        <f t="shared" si="10"/>
        <v>3379.9201392984032</v>
      </c>
      <c r="R29" s="18">
        <f t="shared" si="10"/>
        <v>15472.080590140318</v>
      </c>
      <c r="S29" s="18">
        <f t="shared" si="10"/>
        <v>27804.283665732677</v>
      </c>
      <c r="T29" s="18">
        <f t="shared" si="10"/>
        <v>41829.015660717101</v>
      </c>
      <c r="U29" s="18">
        <f t="shared" si="10"/>
        <v>57782.277626389463</v>
      </c>
      <c r="V29" s="18">
        <f t="shared" si="10"/>
        <v>75933.083499062806</v>
      </c>
      <c r="W29" s="18">
        <f t="shared" ref="W29:AG29" si="11">+W25+W28</f>
        <v>89094.716399425553</v>
      </c>
      <c r="X29" s="18">
        <f t="shared" si="11"/>
        <v>99772.405978409108</v>
      </c>
      <c r="Y29" s="18">
        <f t="shared" si="11"/>
        <v>113170.03010617969</v>
      </c>
      <c r="Z29" s="18">
        <f t="shared" si="11"/>
        <v>128428.95863197913</v>
      </c>
      <c r="AA29" s="18">
        <f t="shared" si="11"/>
        <v>145805.42695810233</v>
      </c>
      <c r="AB29" s="18">
        <f t="shared" si="11"/>
        <v>165599.34333011889</v>
      </c>
      <c r="AC29" s="18">
        <f t="shared" si="11"/>
        <v>188147.38177508101</v>
      </c>
      <c r="AD29" s="18">
        <f t="shared" si="11"/>
        <v>213836.09065377616</v>
      </c>
      <c r="AE29" s="18">
        <f t="shared" si="11"/>
        <v>243100.31621102511</v>
      </c>
      <c r="AF29" s="18">
        <f t="shared" si="11"/>
        <v>276444.47663313046</v>
      </c>
      <c r="AG29" s="18">
        <f t="shared" si="11"/>
        <v>315014.08221415518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3" t="s">
        <v>393</v>
      </c>
    </row>
    <row r="34" spans="1:33">
      <c r="A34" s="443"/>
    </row>
    <row r="35" spans="1:33">
      <c r="A35" s="442" t="s">
        <v>360</v>
      </c>
    </row>
    <row r="36" spans="1:33" s="18" customFormat="1">
      <c r="A36" s="45" t="s">
        <v>359</v>
      </c>
      <c r="B36" s="18">
        <f>-Assumptions!C10*Assumptions!$G$48</f>
        <v>-37027.047772255843</v>
      </c>
    </row>
    <row r="37" spans="1:33" s="18" customFormat="1">
      <c r="A37" s="45" t="s">
        <v>358</v>
      </c>
      <c r="B37" s="449">
        <f>B21*Assumptions!$G$48</f>
        <v>0</v>
      </c>
      <c r="C37" s="449">
        <f>C21*Assumptions!$G$48</f>
        <v>5970.9415476720205</v>
      </c>
      <c r="D37" s="449">
        <f>D21*Assumptions!$G$48</f>
        <v>4071.0350651106055</v>
      </c>
      <c r="E37" s="449">
        <f>E21*Assumptions!$G$48</f>
        <v>4014.8375691344208</v>
      </c>
      <c r="F37" s="449">
        <f>F21*Assumptions!$G$48</f>
        <v>3996.7057960467264</v>
      </c>
      <c r="G37" s="449">
        <f>G21*Assumptions!$G$48</f>
        <v>3651.5265458985705</v>
      </c>
      <c r="H37" s="449">
        <f>H21*Assumptions!$G$48</f>
        <v>2126.4616221296174</v>
      </c>
      <c r="I37" s="449">
        <f>I21*Assumptions!$G$48</f>
        <v>1565.6613435045701</v>
      </c>
      <c r="J37" s="449">
        <f>J21*Assumptions!$G$48</f>
        <v>1257.8515561095187</v>
      </c>
      <c r="K37" s="449">
        <f>K21*Assumptions!$G$48</f>
        <v>941.64466597848514</v>
      </c>
      <c r="L37" s="449">
        <f>L21*Assumptions!$G$48</f>
        <v>581.68760634233467</v>
      </c>
      <c r="M37" s="449">
        <f>M21*Assumptions!$G$48</f>
        <v>1714.3637628435376</v>
      </c>
      <c r="N37" s="449">
        <f>N21*Assumptions!$G$48</f>
        <v>13167.042525297473</v>
      </c>
      <c r="O37" s="449">
        <f>O21*Assumptions!$G$48</f>
        <v>13132.632317799307</v>
      </c>
      <c r="P37" s="449">
        <f>P21*Assumptions!$G$48</f>
        <v>13107.020129818198</v>
      </c>
      <c r="Q37" s="449">
        <f>Q21*Assumptions!$G$48</f>
        <v>13070.930712210404</v>
      </c>
      <c r="R37" s="449">
        <f>R21*Assumptions!$G$48</f>
        <v>11618.971631340139</v>
      </c>
      <c r="S37" s="449">
        <f>S21*Assumptions!$G$48</f>
        <v>10166.111792972715</v>
      </c>
      <c r="T37" s="449">
        <f>T21*Assumptions!$G$48</f>
        <v>10132.132281781847</v>
      </c>
      <c r="U37" s="449">
        <f>U21*Assumptions!$G$48</f>
        <v>10097.199773171964</v>
      </c>
      <c r="V37" s="449">
        <f>V21*Assumptions!$G$48</f>
        <v>10061.287004978822</v>
      </c>
      <c r="W37" s="449">
        <f>W21*Assumptions!$G$48</f>
        <v>2531.0012104939583</v>
      </c>
      <c r="X37" s="449">
        <f>X21*Assumptions!$G$48</f>
        <v>-1795.5707169360326</v>
      </c>
      <c r="Y37" s="449">
        <f>Y21*Assumptions!$G$48</f>
        <v>-570.51270920669731</v>
      </c>
      <c r="Z37" s="449">
        <f>Z21*Assumptions!$G$48</f>
        <v>-584.87568906573006</v>
      </c>
      <c r="AA37" s="449">
        <f>AA21*Assumptions!$G$48</f>
        <v>-603.58588235387469</v>
      </c>
      <c r="AB37" s="449">
        <f>AB21*Assumptions!$G$48</f>
        <v>-618.84340211775725</v>
      </c>
      <c r="AC37" s="449">
        <f>AC21*Assumptions!$G$48</f>
        <v>-635.86962125452374</v>
      </c>
      <c r="AD37" s="449">
        <f>AD21*Assumptions!$G$48</f>
        <v>-651.92456981619489</v>
      </c>
      <c r="AE37" s="449">
        <f>AE21*Assumptions!$G$48</f>
        <v>-672.82713427971248</v>
      </c>
      <c r="AF37" s="449">
        <f>AF21*Assumptions!$G$48</f>
        <v>-689.88384743816823</v>
      </c>
      <c r="AG37" s="449">
        <f>AG21*Assumptions!$G$48</f>
        <v>-132.62114761356406</v>
      </c>
    </row>
    <row r="38" spans="1:33" s="18" customFormat="1">
      <c r="A38" s="45" t="s">
        <v>357</v>
      </c>
      <c r="B38" s="18">
        <f t="shared" ref="B38:AG38" si="12">SUM(B36:B37)</f>
        <v>-37027.047772255843</v>
      </c>
      <c r="C38" s="18">
        <f t="shared" si="12"/>
        <v>5970.9415476720205</v>
      </c>
      <c r="D38" s="18">
        <f t="shared" si="12"/>
        <v>4071.0350651106055</v>
      </c>
      <c r="E38" s="18">
        <f t="shared" si="12"/>
        <v>4014.8375691344208</v>
      </c>
      <c r="F38" s="18">
        <f t="shared" si="12"/>
        <v>3996.7057960467264</v>
      </c>
      <c r="G38" s="18">
        <f t="shared" si="12"/>
        <v>3651.5265458985705</v>
      </c>
      <c r="H38" s="18">
        <f t="shared" si="12"/>
        <v>2126.4616221296174</v>
      </c>
      <c r="I38" s="18">
        <f t="shared" si="12"/>
        <v>1565.6613435045701</v>
      </c>
      <c r="J38" s="18">
        <f t="shared" si="12"/>
        <v>1257.8515561095187</v>
      </c>
      <c r="K38" s="18">
        <f t="shared" si="12"/>
        <v>941.64466597848514</v>
      </c>
      <c r="L38" s="18">
        <f t="shared" si="12"/>
        <v>581.68760634233467</v>
      </c>
      <c r="M38" s="18">
        <f t="shared" si="12"/>
        <v>1714.3637628435376</v>
      </c>
      <c r="N38" s="18">
        <f t="shared" si="12"/>
        <v>13167.042525297473</v>
      </c>
      <c r="O38" s="18">
        <f t="shared" si="12"/>
        <v>13132.632317799307</v>
      </c>
      <c r="P38" s="18">
        <f t="shared" si="12"/>
        <v>13107.020129818198</v>
      </c>
      <c r="Q38" s="18">
        <f t="shared" si="12"/>
        <v>13070.930712210404</v>
      </c>
      <c r="R38" s="18">
        <f t="shared" si="12"/>
        <v>11618.971631340139</v>
      </c>
      <c r="S38" s="18">
        <f t="shared" si="12"/>
        <v>10166.111792972715</v>
      </c>
      <c r="T38" s="18">
        <f t="shared" si="12"/>
        <v>10132.132281781847</v>
      </c>
      <c r="U38" s="18">
        <f t="shared" si="12"/>
        <v>10097.199773171964</v>
      </c>
      <c r="V38" s="18">
        <f t="shared" si="12"/>
        <v>10061.287004978822</v>
      </c>
      <c r="W38" s="18">
        <f t="shared" si="12"/>
        <v>2531.0012104939583</v>
      </c>
      <c r="X38" s="18">
        <f t="shared" si="12"/>
        <v>-1795.5707169360326</v>
      </c>
      <c r="Y38" s="18">
        <f t="shared" si="12"/>
        <v>-570.51270920669731</v>
      </c>
      <c r="Z38" s="18">
        <f t="shared" si="12"/>
        <v>-584.87568906573006</v>
      </c>
      <c r="AA38" s="18">
        <f t="shared" si="12"/>
        <v>-603.58588235387469</v>
      </c>
      <c r="AB38" s="18">
        <f t="shared" si="12"/>
        <v>-618.84340211775725</v>
      </c>
      <c r="AC38" s="18">
        <f t="shared" si="12"/>
        <v>-635.86962125452374</v>
      </c>
      <c r="AD38" s="18">
        <f t="shared" si="12"/>
        <v>-651.92456981619489</v>
      </c>
      <c r="AE38" s="18">
        <f t="shared" si="12"/>
        <v>-672.82713427971248</v>
      </c>
      <c r="AF38" s="18">
        <f t="shared" si="12"/>
        <v>-689.88384743816823</v>
      </c>
      <c r="AG38" s="18">
        <f t="shared" si="12"/>
        <v>-132.62114761356406</v>
      </c>
    </row>
    <row r="39" spans="1:33">
      <c r="B39" s="442" t="s">
        <v>1</v>
      </c>
      <c r="C39" s="447">
        <f>XIRR(B38:W38,B8:W8)</f>
        <v>0.11325476765632631</v>
      </c>
    </row>
    <row r="40" spans="1:33">
      <c r="A40" s="45"/>
      <c r="B40" s="444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359</v>
      </c>
      <c r="B42" s="18">
        <f>-Assumptions!C10*Assumptions!$G$48</f>
        <v>-37027.047772255843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358</v>
      </c>
      <c r="B43" s="445">
        <f>B21*Assumptions!$G$48</f>
        <v>0</v>
      </c>
      <c r="C43" s="445">
        <f>C21*Assumptions!$G$48</f>
        <v>5970.9415476720205</v>
      </c>
      <c r="D43" s="445">
        <f>D21*Assumptions!$G$48</f>
        <v>4071.0350651106055</v>
      </c>
      <c r="E43" s="445">
        <f>E21*Assumptions!$G$48</f>
        <v>4014.8375691344208</v>
      </c>
      <c r="F43" s="445">
        <f>F21*Assumptions!$G$48</f>
        <v>3996.7057960467264</v>
      </c>
      <c r="G43" s="445">
        <f>G21*Assumptions!$G$48</f>
        <v>3651.5265458985705</v>
      </c>
      <c r="H43" s="445">
        <f>H21*Assumptions!$G$48</f>
        <v>2126.4616221296174</v>
      </c>
      <c r="I43" s="445">
        <f>I21*Assumptions!$G$48</f>
        <v>1565.6613435045701</v>
      </c>
      <c r="J43" s="445">
        <f>J21*Assumptions!$G$48</f>
        <v>1257.8515561095187</v>
      </c>
      <c r="K43" s="445">
        <f>K21*Assumptions!$G$48</f>
        <v>941.64466597848514</v>
      </c>
      <c r="L43" s="445">
        <f>L21*Assumptions!$G$48</f>
        <v>581.68760634233467</v>
      </c>
      <c r="M43" s="445">
        <f>M21*Assumptions!$G$48</f>
        <v>1714.3637628435376</v>
      </c>
      <c r="N43" s="445">
        <f>N21*Assumptions!$G$48</f>
        <v>13167.042525297473</v>
      </c>
      <c r="O43" s="445">
        <f>O21*Assumptions!$G$48</f>
        <v>13132.632317799307</v>
      </c>
      <c r="P43" s="445">
        <f>P21*Assumptions!$G$48</f>
        <v>13107.020129818198</v>
      </c>
      <c r="Q43" s="445">
        <f>Q21*Assumptions!$G$48</f>
        <v>13070.930712210404</v>
      </c>
      <c r="R43" s="445">
        <f>R21*Assumptions!$G$48</f>
        <v>11618.971631340139</v>
      </c>
      <c r="S43" s="445">
        <f>S21*Assumptions!$G$48</f>
        <v>10166.111792972715</v>
      </c>
      <c r="T43" s="445">
        <f>T21*Assumptions!$G$48</f>
        <v>10132.132281781847</v>
      </c>
      <c r="U43" s="445">
        <f>U21*Assumptions!$G$48</f>
        <v>10097.199773171964</v>
      </c>
      <c r="V43" s="445">
        <f>V21*Assumptions!$G$48</f>
        <v>10061.287004978822</v>
      </c>
      <c r="W43" s="445">
        <f>W21*Assumptions!$G$48</f>
        <v>2531.0012104939583</v>
      </c>
      <c r="X43" s="445">
        <f>X21*Assumptions!$G$48</f>
        <v>-1795.5707169360326</v>
      </c>
      <c r="Y43" s="445">
        <f>Y21*Assumptions!$G$48</f>
        <v>-570.51270920669731</v>
      </c>
      <c r="Z43" s="445">
        <f>Z21*Assumptions!$G$48</f>
        <v>-584.87568906573006</v>
      </c>
      <c r="AA43" s="445">
        <f>AA21*Assumptions!$G$48</f>
        <v>-603.58588235387469</v>
      </c>
      <c r="AB43" s="445">
        <f>AB21*Assumptions!$G$48</f>
        <v>-618.84340211775725</v>
      </c>
      <c r="AC43" s="445">
        <f>AC21*Assumptions!$G$48</f>
        <v>-635.86962125452374</v>
      </c>
      <c r="AD43" s="445">
        <f>AD21*Assumptions!$G$48</f>
        <v>-651.92456981619489</v>
      </c>
      <c r="AE43" s="445">
        <f>AE21*Assumptions!$G$48</f>
        <v>-672.82713427971248</v>
      </c>
      <c r="AF43" s="445">
        <f>AF21*Assumptions!$G$48</f>
        <v>-689.88384743816823</v>
      </c>
      <c r="AG43" s="445">
        <f>AG21*Assumptions!$G$48</f>
        <v>-132.62114761356406</v>
      </c>
    </row>
    <row r="44" spans="1:33">
      <c r="A44" s="56" t="s">
        <v>125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Assumptions!H23*IS!W32*Assumptions!G48</f>
        <v>20880.145110234007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-14621.655845073883</v>
      </c>
    </row>
    <row r="45" spans="1:33">
      <c r="A45" s="56" t="s">
        <v>357</v>
      </c>
      <c r="B45" s="18">
        <f t="shared" ref="B45:AG45" si="13">SUM(B42:B44)</f>
        <v>-37027.047772255843</v>
      </c>
      <c r="C45" s="18">
        <f t="shared" si="13"/>
        <v>5970.9415476720205</v>
      </c>
      <c r="D45" s="18">
        <f t="shared" si="13"/>
        <v>4071.0350651106055</v>
      </c>
      <c r="E45" s="18">
        <f t="shared" si="13"/>
        <v>4014.8375691344208</v>
      </c>
      <c r="F45" s="18">
        <f t="shared" si="13"/>
        <v>3996.7057960467264</v>
      </c>
      <c r="G45" s="18">
        <f t="shared" si="13"/>
        <v>3651.5265458985705</v>
      </c>
      <c r="H45" s="18">
        <f t="shared" si="13"/>
        <v>2126.4616221296174</v>
      </c>
      <c r="I45" s="18">
        <f t="shared" si="13"/>
        <v>1565.6613435045701</v>
      </c>
      <c r="J45" s="18">
        <f t="shared" si="13"/>
        <v>1257.8515561095187</v>
      </c>
      <c r="K45" s="18">
        <f t="shared" si="13"/>
        <v>941.64466597848514</v>
      </c>
      <c r="L45" s="18">
        <f t="shared" si="13"/>
        <v>581.68760634233467</v>
      </c>
      <c r="M45" s="18">
        <f t="shared" si="13"/>
        <v>1714.3637628435376</v>
      </c>
      <c r="N45" s="18">
        <f t="shared" si="13"/>
        <v>13167.042525297473</v>
      </c>
      <c r="O45" s="18">
        <f t="shared" si="13"/>
        <v>13132.632317799307</v>
      </c>
      <c r="P45" s="18">
        <f t="shared" si="13"/>
        <v>13107.020129818198</v>
      </c>
      <c r="Q45" s="18">
        <f t="shared" si="13"/>
        <v>13070.930712210404</v>
      </c>
      <c r="R45" s="18">
        <f t="shared" si="13"/>
        <v>11618.971631340139</v>
      </c>
      <c r="S45" s="18">
        <f t="shared" si="13"/>
        <v>10166.111792972715</v>
      </c>
      <c r="T45" s="18">
        <f t="shared" si="13"/>
        <v>10132.132281781847</v>
      </c>
      <c r="U45" s="18">
        <f t="shared" si="13"/>
        <v>10097.199773171964</v>
      </c>
      <c r="V45" s="18">
        <f t="shared" si="13"/>
        <v>10061.287004978822</v>
      </c>
      <c r="W45" s="18">
        <f t="shared" si="13"/>
        <v>23411.146320727967</v>
      </c>
      <c r="X45" s="18">
        <f t="shared" si="13"/>
        <v>-1795.5707169360326</v>
      </c>
      <c r="Y45" s="18">
        <f t="shared" si="13"/>
        <v>-570.51270920669731</v>
      </c>
      <c r="Z45" s="18">
        <f t="shared" si="13"/>
        <v>-584.87568906573006</v>
      </c>
      <c r="AA45" s="18">
        <f t="shared" si="13"/>
        <v>-603.58588235387469</v>
      </c>
      <c r="AB45" s="18">
        <f t="shared" si="13"/>
        <v>-618.84340211775725</v>
      </c>
      <c r="AC45" s="18">
        <f t="shared" si="13"/>
        <v>-635.86962125452374</v>
      </c>
      <c r="AD45" s="18">
        <f t="shared" si="13"/>
        <v>-651.92456981619489</v>
      </c>
      <c r="AE45" s="18">
        <f t="shared" si="13"/>
        <v>-672.82713427971248</v>
      </c>
      <c r="AF45" s="18">
        <f t="shared" si="13"/>
        <v>-689.88384743816823</v>
      </c>
      <c r="AG45" s="18">
        <f t="shared" si="13"/>
        <v>-14754.276992687446</v>
      </c>
    </row>
    <row r="46" spans="1:33">
      <c r="A46" s="13"/>
      <c r="B46" s="442" t="s">
        <v>1</v>
      </c>
      <c r="C46" s="447">
        <f>XIRR(B45:W45,B8:W8)</f>
        <v>0.1188391625881195</v>
      </c>
    </row>
    <row r="47" spans="1:33">
      <c r="A47" s="56"/>
      <c r="B47" s="444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359</v>
      </c>
      <c r="B49" s="18">
        <f>-Assumptions!C10*Assumptions!G48</f>
        <v>-37027.047772255843</v>
      </c>
    </row>
    <row r="50" spans="1:33" s="18" customFormat="1">
      <c r="A50" s="56" t="s">
        <v>358</v>
      </c>
      <c r="B50" s="18">
        <f>+B21*Assumptions!$G$48</f>
        <v>0</v>
      </c>
      <c r="C50" s="18">
        <f>+C21*Assumptions!$G$48</f>
        <v>5970.9415476720205</v>
      </c>
      <c r="D50" s="18">
        <f>+D21*Assumptions!$G$48</f>
        <v>4071.0350651106055</v>
      </c>
      <c r="E50" s="18">
        <f>+E21*Assumptions!$G$48</f>
        <v>4014.8375691344208</v>
      </c>
      <c r="F50" s="18">
        <f>+F21*Assumptions!$G$48</f>
        <v>3996.7057960467264</v>
      </c>
      <c r="G50" s="18">
        <f>+G21*Assumptions!$G$48</f>
        <v>3651.5265458985705</v>
      </c>
      <c r="H50" s="18">
        <f>+H21*Assumptions!$G$48</f>
        <v>2126.4616221296174</v>
      </c>
      <c r="I50" s="18">
        <f>+I21*Assumptions!$G$48</f>
        <v>1565.6613435045701</v>
      </c>
      <c r="J50" s="18">
        <f>+J21*Assumptions!$G$48</f>
        <v>1257.8515561095187</v>
      </c>
      <c r="K50" s="18">
        <f>+K21*Assumptions!$G$48</f>
        <v>941.64466597848514</v>
      </c>
      <c r="L50" s="18">
        <f>+L21*Assumptions!$G$48</f>
        <v>581.68760634233467</v>
      </c>
      <c r="M50" s="18">
        <f>+M21*Assumptions!$G$48</f>
        <v>1714.3637628435376</v>
      </c>
      <c r="N50" s="18">
        <f>+N21*Assumptions!$G$48</f>
        <v>13167.042525297473</v>
      </c>
      <c r="O50" s="18">
        <f>+O21*Assumptions!$G$48</f>
        <v>13132.632317799307</v>
      </c>
      <c r="P50" s="18">
        <f>+P21*Assumptions!$G$48</f>
        <v>13107.020129818198</v>
      </c>
      <c r="Q50" s="18">
        <f>+Q21*Assumptions!$G$48</f>
        <v>13070.930712210404</v>
      </c>
      <c r="R50" s="18">
        <f>+R21*Assumptions!$G$48</f>
        <v>11618.971631340139</v>
      </c>
      <c r="S50" s="18">
        <f>+S21*Assumptions!$G$48</f>
        <v>10166.111792972715</v>
      </c>
      <c r="T50" s="18">
        <f>+T21*Assumptions!$G$48</f>
        <v>10132.132281781847</v>
      </c>
      <c r="U50" s="18">
        <f>+U21*Assumptions!$G$48</f>
        <v>10097.199773171964</v>
      </c>
      <c r="V50" s="18">
        <f>+V21*Assumptions!$G$48</f>
        <v>10061.287004978822</v>
      </c>
      <c r="W50" s="18">
        <f>+W21*Assumptions!$G$48</f>
        <v>2531.0012104939583</v>
      </c>
      <c r="X50" s="18">
        <f>+X21*Assumptions!$G$48</f>
        <v>-1795.5707169360326</v>
      </c>
      <c r="Y50" s="18">
        <f>+Y21*Assumptions!$G$48</f>
        <v>-570.51270920669731</v>
      </c>
      <c r="Z50" s="18">
        <f>+Z21*Assumptions!$G$48</f>
        <v>-584.87568906573006</v>
      </c>
      <c r="AA50" s="18">
        <f>+AA21*Assumptions!$G$48</f>
        <v>-603.58588235387469</v>
      </c>
      <c r="AB50" s="18">
        <f>+AB21*Assumptions!$G$48</f>
        <v>-618.84340211775725</v>
      </c>
      <c r="AC50" s="18">
        <f>+AC21*Assumptions!$G$48</f>
        <v>-635.86962125452374</v>
      </c>
      <c r="AD50" s="18">
        <f>+AD21*Assumptions!$G$48</f>
        <v>-651.92456981619489</v>
      </c>
      <c r="AE50" s="18">
        <f>+AE21*Assumptions!$G$48</f>
        <v>-672.82713427971248</v>
      </c>
      <c r="AF50" s="18">
        <f>+AF21*Assumptions!$G$48</f>
        <v>-689.88384743816823</v>
      </c>
      <c r="AG50" s="18">
        <f>+AG21*Assumptions!$G$48</f>
        <v>-132.62114761356406</v>
      </c>
    </row>
    <row r="51" spans="1:33" s="18" customFormat="1">
      <c r="A51" s="56" t="s">
        <v>125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25655.488761255474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Assumptions!H24*Assumptions!C61*Assumptions!G48</f>
        <v>25655.488761255474</v>
      </c>
    </row>
    <row r="52" spans="1:33" s="18" customFormat="1">
      <c r="A52" s="56" t="s">
        <v>357</v>
      </c>
      <c r="B52" s="18">
        <f>SUM(B49:B51)</f>
        <v>-37027.047772255843</v>
      </c>
      <c r="C52" s="18">
        <f t="shared" ref="C52:AG52" si="14">SUM(C49:C51)</f>
        <v>5970.9415476720205</v>
      </c>
      <c r="D52" s="18">
        <f t="shared" si="14"/>
        <v>4071.0350651106055</v>
      </c>
      <c r="E52" s="18">
        <f t="shared" si="14"/>
        <v>4014.8375691344208</v>
      </c>
      <c r="F52" s="18">
        <f t="shared" si="14"/>
        <v>3996.7057960467264</v>
      </c>
      <c r="G52" s="18">
        <f t="shared" si="14"/>
        <v>3651.5265458985705</v>
      </c>
      <c r="H52" s="18">
        <f t="shared" si="14"/>
        <v>2126.4616221296174</v>
      </c>
      <c r="I52" s="18">
        <f t="shared" si="14"/>
        <v>1565.6613435045701</v>
      </c>
      <c r="J52" s="18">
        <f t="shared" si="14"/>
        <v>1257.8515561095187</v>
      </c>
      <c r="K52" s="18">
        <f t="shared" si="14"/>
        <v>941.64466597848514</v>
      </c>
      <c r="L52" s="18">
        <f t="shared" si="14"/>
        <v>581.68760634233467</v>
      </c>
      <c r="M52" s="18">
        <f t="shared" si="14"/>
        <v>1714.3637628435376</v>
      </c>
      <c r="N52" s="18">
        <f t="shared" si="14"/>
        <v>13167.042525297473</v>
      </c>
      <c r="O52" s="18">
        <f t="shared" si="14"/>
        <v>13132.632317799307</v>
      </c>
      <c r="P52" s="18">
        <f t="shared" si="14"/>
        <v>13107.020129818198</v>
      </c>
      <c r="Q52" s="18">
        <f t="shared" si="14"/>
        <v>13070.930712210404</v>
      </c>
      <c r="R52" s="18">
        <f t="shared" si="14"/>
        <v>11618.971631340139</v>
      </c>
      <c r="S52" s="18">
        <f t="shared" si="14"/>
        <v>10166.111792972715</v>
      </c>
      <c r="T52" s="18">
        <f t="shared" si="14"/>
        <v>10132.132281781847</v>
      </c>
      <c r="U52" s="18">
        <f t="shared" si="14"/>
        <v>10097.199773171964</v>
      </c>
      <c r="V52" s="18">
        <f t="shared" si="14"/>
        <v>10061.287004978822</v>
      </c>
      <c r="W52" s="18">
        <f t="shared" si="14"/>
        <v>28186.489971749434</v>
      </c>
      <c r="X52" s="18">
        <f t="shared" si="14"/>
        <v>-1795.5707169360326</v>
      </c>
      <c r="Y52" s="18">
        <f t="shared" si="14"/>
        <v>-570.51270920669731</v>
      </c>
      <c r="Z52" s="18">
        <f t="shared" si="14"/>
        <v>-584.87568906573006</v>
      </c>
      <c r="AA52" s="18">
        <f t="shared" si="14"/>
        <v>-603.58588235387469</v>
      </c>
      <c r="AB52" s="18">
        <f t="shared" si="14"/>
        <v>-618.84340211775725</v>
      </c>
      <c r="AC52" s="18">
        <f t="shared" si="14"/>
        <v>-635.86962125452374</v>
      </c>
      <c r="AD52" s="18">
        <f t="shared" si="14"/>
        <v>-651.92456981619489</v>
      </c>
      <c r="AE52" s="18">
        <f t="shared" si="14"/>
        <v>-672.82713427971248</v>
      </c>
      <c r="AF52" s="18">
        <f t="shared" si="14"/>
        <v>-689.88384743816823</v>
      </c>
      <c r="AG52" s="18">
        <f t="shared" si="14"/>
        <v>25522.867613641909</v>
      </c>
    </row>
    <row r="53" spans="1:33">
      <c r="A53" s="13"/>
      <c r="B53" s="442" t="s">
        <v>1</v>
      </c>
      <c r="C53" s="447">
        <f>XIRR(B52:W52,B8:W8)</f>
        <v>0.12001377940177915</v>
      </c>
    </row>
    <row r="54" spans="1:33">
      <c r="A54" s="56"/>
      <c r="B54" s="444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359</v>
      </c>
      <c r="B56" s="18">
        <f>-Assumptions!C10*Assumptions!G48</f>
        <v>-37027.047772255843</v>
      </c>
    </row>
    <row r="57" spans="1:33" s="18" customFormat="1">
      <c r="A57" s="56" t="s">
        <v>358</v>
      </c>
      <c r="B57" s="445">
        <f>B21*Assumptions!$G$48</f>
        <v>0</v>
      </c>
      <c r="C57" s="445">
        <f>C21*Assumptions!$G$48</f>
        <v>5970.9415476720205</v>
      </c>
      <c r="D57" s="445">
        <f>D21*Assumptions!$G$48</f>
        <v>4071.0350651106055</v>
      </c>
      <c r="E57" s="445">
        <f>E21*Assumptions!$G$48</f>
        <v>4014.8375691344208</v>
      </c>
      <c r="F57" s="445">
        <f>F21*Assumptions!$G$48</f>
        <v>3996.7057960467264</v>
      </c>
      <c r="G57" s="445">
        <f>G21*Assumptions!$G$48</f>
        <v>3651.5265458985705</v>
      </c>
      <c r="H57" s="445">
        <f>H21*Assumptions!$G$48</f>
        <v>2126.4616221296174</v>
      </c>
      <c r="I57" s="445">
        <f>I21*Assumptions!$G$48</f>
        <v>1565.6613435045701</v>
      </c>
      <c r="J57" s="445">
        <f>J21*Assumptions!$G$48</f>
        <v>1257.8515561095187</v>
      </c>
      <c r="K57" s="445">
        <f>K21*Assumptions!$G$48</f>
        <v>941.64466597848514</v>
      </c>
      <c r="L57" s="445">
        <f>L21*Assumptions!$G$48</f>
        <v>581.68760634233467</v>
      </c>
      <c r="M57" s="445">
        <f>M21*Assumptions!$G$48</f>
        <v>1714.3637628435376</v>
      </c>
      <c r="N57" s="445">
        <f>N21*Assumptions!$G$48</f>
        <v>13167.042525297473</v>
      </c>
      <c r="O57" s="445">
        <f>O21*Assumptions!$G$48</f>
        <v>13132.632317799307</v>
      </c>
      <c r="P57" s="445">
        <f>P21*Assumptions!$G$48</f>
        <v>13107.020129818198</v>
      </c>
      <c r="Q57" s="445">
        <f>Q21*Assumptions!$G$48</f>
        <v>13070.930712210404</v>
      </c>
      <c r="R57" s="445">
        <f>R21*Assumptions!$G$48</f>
        <v>11618.971631340139</v>
      </c>
      <c r="S57" s="445">
        <f>S21*Assumptions!$G$48</f>
        <v>10166.111792972715</v>
      </c>
      <c r="T57" s="445">
        <f>T21*Assumptions!$G$48</f>
        <v>10132.132281781847</v>
      </c>
      <c r="U57" s="445">
        <f>U21*Assumptions!$G$48</f>
        <v>10097.199773171964</v>
      </c>
      <c r="V57" s="445">
        <f>V21*Assumptions!$G$48</f>
        <v>10061.287004978822</v>
      </c>
      <c r="W57" s="445">
        <f>W21*Assumptions!$G$48</f>
        <v>2531.0012104939583</v>
      </c>
      <c r="X57" s="445">
        <f>X21*Assumptions!$G$48</f>
        <v>-1795.5707169360326</v>
      </c>
      <c r="Y57" s="445">
        <f>Y21*Assumptions!$G$48</f>
        <v>-570.51270920669731</v>
      </c>
      <c r="Z57" s="445">
        <f>Z21*Assumptions!$G$48</f>
        <v>-584.87568906573006</v>
      </c>
      <c r="AA57" s="445">
        <f>AA21*Assumptions!$G$48</f>
        <v>-603.58588235387469</v>
      </c>
      <c r="AB57" s="445">
        <f>AB21*Assumptions!$G$48</f>
        <v>-618.84340211775725</v>
      </c>
      <c r="AC57" s="445">
        <f>AC21*Assumptions!$G$48</f>
        <v>-635.86962125452374</v>
      </c>
      <c r="AD57" s="445">
        <f>AD21*Assumptions!$G$48</f>
        <v>-651.92456981619489</v>
      </c>
      <c r="AE57" s="445">
        <f>AE21*Assumptions!$G$48</f>
        <v>-672.82713427971248</v>
      </c>
      <c r="AF57" s="445">
        <f>AF21*Assumptions!$G$48</f>
        <v>-689.88384743816823</v>
      </c>
      <c r="AG57" s="445">
        <f>AG21*Assumptions!$G$48</f>
        <v>-132.62114761356406</v>
      </c>
    </row>
    <row r="58" spans="1:33" s="18" customFormat="1">
      <c r="A58" s="56" t="s">
        <v>125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46000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Assumptions!H25*Assumptions!H69*Assumptions!G48</f>
        <v>46000</v>
      </c>
    </row>
    <row r="59" spans="1:33" s="18" customFormat="1" ht="12" customHeight="1">
      <c r="A59" s="56" t="s">
        <v>357</v>
      </c>
      <c r="B59" s="18">
        <f>SUM(B56:B58)</f>
        <v>-37027.047772255843</v>
      </c>
      <c r="C59" s="18">
        <f t="shared" ref="C59:AG59" si="15">SUM(C56:C58)</f>
        <v>5970.9415476720205</v>
      </c>
      <c r="D59" s="18">
        <f t="shared" si="15"/>
        <v>4071.0350651106055</v>
      </c>
      <c r="E59" s="18">
        <f t="shared" si="15"/>
        <v>4014.8375691344208</v>
      </c>
      <c r="F59" s="18">
        <f t="shared" si="15"/>
        <v>3996.7057960467264</v>
      </c>
      <c r="G59" s="18">
        <f t="shared" si="15"/>
        <v>3651.5265458985705</v>
      </c>
      <c r="H59" s="18">
        <f t="shared" si="15"/>
        <v>2126.4616221296174</v>
      </c>
      <c r="I59" s="18">
        <f t="shared" si="15"/>
        <v>1565.6613435045701</v>
      </c>
      <c r="J59" s="18">
        <f t="shared" si="15"/>
        <v>1257.8515561095187</v>
      </c>
      <c r="K59" s="18">
        <f t="shared" si="15"/>
        <v>941.64466597848514</v>
      </c>
      <c r="L59" s="18">
        <f t="shared" si="15"/>
        <v>581.68760634233467</v>
      </c>
      <c r="M59" s="18">
        <f t="shared" si="15"/>
        <v>1714.3637628435376</v>
      </c>
      <c r="N59" s="18">
        <f t="shared" si="15"/>
        <v>13167.042525297473</v>
      </c>
      <c r="O59" s="18">
        <f t="shared" si="15"/>
        <v>13132.632317799307</v>
      </c>
      <c r="P59" s="18">
        <f t="shared" si="15"/>
        <v>13107.020129818198</v>
      </c>
      <c r="Q59" s="18">
        <f t="shared" si="15"/>
        <v>13070.930712210404</v>
      </c>
      <c r="R59" s="18">
        <f t="shared" si="15"/>
        <v>11618.971631340139</v>
      </c>
      <c r="S59" s="18">
        <f t="shared" si="15"/>
        <v>10166.111792972715</v>
      </c>
      <c r="T59" s="18">
        <f t="shared" si="15"/>
        <v>10132.132281781847</v>
      </c>
      <c r="U59" s="18">
        <f t="shared" si="15"/>
        <v>10097.199773171964</v>
      </c>
      <c r="V59" s="18">
        <f t="shared" si="15"/>
        <v>10061.287004978822</v>
      </c>
      <c r="W59" s="18">
        <f t="shared" si="15"/>
        <v>48531.00121049396</v>
      </c>
      <c r="X59" s="18">
        <f t="shared" si="15"/>
        <v>-1795.5707169360326</v>
      </c>
      <c r="Y59" s="18">
        <f t="shared" si="15"/>
        <v>-570.51270920669731</v>
      </c>
      <c r="Z59" s="18">
        <f t="shared" si="15"/>
        <v>-584.87568906573006</v>
      </c>
      <c r="AA59" s="18">
        <f t="shared" si="15"/>
        <v>-603.58588235387469</v>
      </c>
      <c r="AB59" s="18">
        <f t="shared" si="15"/>
        <v>-618.84340211775725</v>
      </c>
      <c r="AC59" s="18">
        <f t="shared" si="15"/>
        <v>-635.86962125452374</v>
      </c>
      <c r="AD59" s="18">
        <f t="shared" si="15"/>
        <v>-651.92456981619489</v>
      </c>
      <c r="AE59" s="18">
        <f t="shared" si="15"/>
        <v>-672.82713427971248</v>
      </c>
      <c r="AF59" s="18">
        <f t="shared" si="15"/>
        <v>-689.88384743816823</v>
      </c>
      <c r="AG59" s="18">
        <f t="shared" si="15"/>
        <v>45867.378852386435</v>
      </c>
    </row>
    <row r="60" spans="1:33">
      <c r="A60" s="13"/>
      <c r="B60" s="442" t="s">
        <v>1</v>
      </c>
      <c r="C60" s="447">
        <f>XIRR(B59:W59,B8:W8)</f>
        <v>0.12467008233070373</v>
      </c>
    </row>
    <row r="61" spans="1:33">
      <c r="A61" s="56"/>
      <c r="B61" s="444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2000-03-28T20:31:47Z</cp:lastPrinted>
  <dcterms:created xsi:type="dcterms:W3CDTF">1999-04-02T01:38:38Z</dcterms:created>
  <dcterms:modified xsi:type="dcterms:W3CDTF">2023-09-13T23:04:04Z</dcterms:modified>
</cp:coreProperties>
</file>